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CDI\HCCIS\Formsets\DI\DI 2019\final\"/>
    </mc:Choice>
  </mc:AlternateContent>
  <workbookProtection lockStructure="1"/>
  <bookViews>
    <workbookView xWindow="555" yWindow="90" windowWidth="11340" windowHeight="6540" tabRatio="908" firstSheet="3" activeTab="3"/>
  </bookViews>
  <sheets>
    <sheet name="demog check" sheetId="16" state="hidden" r:id="rId1"/>
    <sheet name="accred check" sheetId="21" state="hidden" r:id="rId2"/>
    <sheet name="load script" sheetId="7" state="hidden" r:id="rId3"/>
    <sheet name="Tip_Sheet" sheetId="6" r:id="rId4"/>
    <sheet name="Demog Contact" sheetId="4" r:id="rId5"/>
    <sheet name="Demog Contact (2)" sheetId="17" state="hidden" r:id="rId6"/>
    <sheet name="AccredExpl" sheetId="18" r:id="rId7"/>
    <sheet name="Accred (2)" sheetId="20" state="hidden" r:id="rId8"/>
    <sheet name="Fixed Equip" sheetId="11" r:id="rId9"/>
    <sheet name="Portable Equip" sheetId="10" r:id="rId10"/>
    <sheet name="Mobile Equip" sheetId="9" r:id="rId11"/>
    <sheet name="Leased Equip" sheetId="13" r:id="rId12"/>
    <sheet name="Mobile Locations" sheetId="12" r:id="rId13"/>
    <sheet name="Economic Interest" sheetId="2" r:id="rId14"/>
    <sheet name="Capital Expenditures" sheetId="8" r:id="rId15"/>
    <sheet name="Capital Expend Project Specific" sheetId="24" r:id="rId16"/>
    <sheet name="Definitions" sheetId="3" r:id="rId17"/>
    <sheet name="HCCIS_ID" sheetId="5" r:id="rId18"/>
    <sheet name="CapExpData" sheetId="23" state="hidden" r:id="rId19"/>
  </sheets>
  <definedNames>
    <definedName name="_xlnm._FilterDatabase" localSheetId="17" hidden="1">HCCIS_ID!$A$1:$CZ$365</definedName>
    <definedName name="accreditation">AccredExpl!$A$2</definedName>
    <definedName name="cap_exp_contact">'Demog Contact'!$D$59</definedName>
    <definedName name="cap_exp_errors">'Capital Expenditures'!$A$26</definedName>
    <definedName name="code_7594">'Capital Expenditures'!$J$5</definedName>
    <definedName name="code_7595">'Capital Expenditures'!$J$6</definedName>
    <definedName name="code_7596">'Capital Expenditures'!$J$7</definedName>
    <definedName name="def_cap_exp">Definitions!$A$15</definedName>
    <definedName name="def_date_spend_commit">Definitions!$A$16</definedName>
    <definedName name="def_econ_interest">Definitions!$A$10</definedName>
    <definedName name="def_exceptions">Definitions!$A$21</definedName>
    <definedName name="def_fixed">Definitions!$A$11</definedName>
    <definedName name="def_mobile">Definitions!$A$13</definedName>
    <definedName name="def_portable">Definitions!$A$12</definedName>
    <definedName name="def_prov_di">Definitions!$A$3</definedName>
    <definedName name="definitions">Definitions!$A$1</definedName>
    <definedName name="defs_NPI">Definitions!$A$6</definedName>
    <definedName name="demograpic">'Demog Contact'!$D$6</definedName>
    <definedName name="economic_interest">'Economic Interest'!$C$5</definedName>
    <definedName name="find_lease_entity">HCCIS_ID!$ES$2</definedName>
    <definedName name="fixed">'Fixed Equip'!$A$2</definedName>
    <definedName name="HCCIS_ID_list">HCCIS_ID!$A$2</definedName>
    <definedName name="ID_list">HCCIS_ID!$A$3:$EQ$336</definedName>
    <definedName name="lease_detail">'Leased Equip'!$A$2</definedName>
    <definedName name="lease_id">'Leased Equip'!$J$4</definedName>
    <definedName name="lease_id_list">HCCIS_ID!$ES$3:$EY$564</definedName>
    <definedName name="mobile">'Mobile Equip'!$A$2</definedName>
    <definedName name="mobile_locations">'Mobile Locations'!$E$2</definedName>
    <definedName name="NPI">'Demog Contact'!$I$6</definedName>
    <definedName name="portable">'Portable Equip'!$A$2</definedName>
    <definedName name="_xlnm.Print_Area" localSheetId="1">'accred check'!$A$1:$H$47</definedName>
    <definedName name="_xlnm.Print_Area" localSheetId="6">AccredExpl!$A$1:$K$38</definedName>
    <definedName name="_xlnm.Print_Area" localSheetId="15">'Capital Expend Project Specific'!$A$1:$Q$519</definedName>
    <definedName name="_xlnm.Print_Area" localSheetId="14">'Capital Expenditures'!$A$1:$P$24</definedName>
    <definedName name="_xlnm.Print_Area" localSheetId="16">Definitions!$A$1:$C$21</definedName>
    <definedName name="_xlnm.Print_Area" localSheetId="0">'demog check'!$A$1:$K$74</definedName>
    <definedName name="_xlnm.Print_Area" localSheetId="4">'Demog Contact'!$A$1:$K$65</definedName>
    <definedName name="_xlnm.Print_Area" localSheetId="13">'Economic Interest'!$C$1:$H$39</definedName>
    <definedName name="_xlnm.Print_Area" localSheetId="8">'Fixed Equip'!$A$1:$S$33</definedName>
    <definedName name="_xlnm.Print_Area" localSheetId="17">HCCIS_ID!$A$1:$C$287,HCCIS_ID!$ES$1:$EY$431</definedName>
    <definedName name="_xlnm.Print_Area" localSheetId="11">'Leased Equip'!$A$1:$W$48</definedName>
    <definedName name="_xlnm.Print_Area" localSheetId="10">'Mobile Equip'!$A$1:$S$34</definedName>
    <definedName name="_xlnm.Print_Area" localSheetId="12">'Mobile Locations'!$E$1:$V$48</definedName>
    <definedName name="_xlnm.Print_Area" localSheetId="9">'Portable Equip'!$A$1:$S$33</definedName>
    <definedName name="_xlnm.Print_Area" localSheetId="3">Tip_Sheet!$A$1:$K$31</definedName>
    <definedName name="_xlnm.Print_Titles" localSheetId="17">HCCIS_ID!$1:$2</definedName>
    <definedName name="Section_13">'Capital Expenditures'!$A$2</definedName>
    <definedName name="Section_14">'Capital Expenditures'!$A$9</definedName>
    <definedName name="Section_15" localSheetId="15">'Capital Expend Project Specific'!$A$1</definedName>
    <definedName name="Section_2">'Fixed Equip'!$A$21</definedName>
    <definedName name="Section_3">'Fixed Equip'!$A$26</definedName>
    <definedName name="Section_5">'Portable Equip'!$A$21</definedName>
    <definedName name="Section_6">'Portable Equip'!$A$26</definedName>
    <definedName name="Section_8">'Mobile Equip'!$A$21</definedName>
    <definedName name="Section_9">'Mobile Equip'!$A$26</definedName>
    <definedName name="start">'Demog Contact'!$D$5</definedName>
    <definedName name="text_01">AccredExpl!$C$24</definedName>
    <definedName name="text_02">AccredExpl!$C$25</definedName>
    <definedName name="text_03">AccredExpl!$C$26</definedName>
    <definedName name="text_04">AccredExpl!$C$27</definedName>
    <definedName name="text_05">AccredExpl!$C$28</definedName>
    <definedName name="text_06">AccredExpl!$C$29</definedName>
    <definedName name="text_07">AccredExpl!$C$30</definedName>
    <definedName name="text_08">AccredExpl!$C$31</definedName>
    <definedName name="text_09">AccredExpl!$C$32</definedName>
    <definedName name="text_10">AccredExpl!$C$33</definedName>
    <definedName name="text_11">AccredExpl!$C$34</definedName>
    <definedName name="text_12">AccredExpl!$C$35</definedName>
    <definedName name="text_13">AccredExpl!$C$36</definedName>
    <definedName name="text_14">AccredExpl!$C$37</definedName>
    <definedName name="text_15">AccredExpl!$C$38</definedName>
    <definedName name="text_accred">AccredExpl!$C$23</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62913"/>
</workbook>
</file>

<file path=xl/calcChain.xml><?xml version="1.0" encoding="utf-8"?>
<calcChain xmlns="http://schemas.openxmlformats.org/spreadsheetml/2006/main">
  <c r="AC3" i="24" l="1"/>
  <c r="AC4" i="24"/>
  <c r="AC5" i="24"/>
  <c r="AC6" i="24"/>
  <c r="AC7" i="24"/>
  <c r="AC8" i="24"/>
  <c r="AC9" i="24"/>
  <c r="AC10" i="24"/>
  <c r="AC11" i="24"/>
  <c r="AC12" i="24"/>
  <c r="AC13" i="24"/>
  <c r="AC2" i="24"/>
  <c r="C18" i="20"/>
  <c r="G13" i="20"/>
  <c r="G10" i="20"/>
  <c r="G9" i="20"/>
  <c r="G7" i="20"/>
  <c r="I4" i="20"/>
  <c r="K1" i="20"/>
  <c r="G17" i="20" s="1"/>
  <c r="E39" i="21" s="1"/>
  <c r="K17" i="20"/>
  <c r="E47" i="21" s="1"/>
  <c r="N2" i="24"/>
  <c r="N5" i="24"/>
  <c r="N48" i="24" s="1"/>
  <c r="R5" i="8"/>
  <c r="AA14" i="24" s="1"/>
  <c r="O6" i="24"/>
  <c r="O436" i="24" s="1"/>
  <c r="S518" i="24"/>
  <c r="AP13" i="24" s="1"/>
  <c r="S514" i="24"/>
  <c r="S511" i="24"/>
  <c r="S508" i="24"/>
  <c r="AN13" i="24" s="1"/>
  <c r="S507" i="24"/>
  <c r="BC110" i="24" s="1"/>
  <c r="S506" i="24"/>
  <c r="S503" i="24"/>
  <c r="AO13" i="24"/>
  <c r="S499" i="24"/>
  <c r="AR13" i="24" s="1"/>
  <c r="S498" i="24"/>
  <c r="BC108" i="24" s="1"/>
  <c r="S497" i="24"/>
  <c r="BC107" i="24"/>
  <c r="BB107" i="24" s="1"/>
  <c r="S496" i="24"/>
  <c r="V494" i="24"/>
  <c r="BC105" i="24"/>
  <c r="BA105" i="24" s="1"/>
  <c r="U494" i="24"/>
  <c r="T494" i="24"/>
  <c r="BC103" i="24"/>
  <c r="BB103" i="24" s="1"/>
  <c r="S494" i="24"/>
  <c r="S491" i="24"/>
  <c r="AX13" i="24" s="1"/>
  <c r="R491" i="24"/>
  <c r="S490" i="24"/>
  <c r="AW13" i="24" s="1"/>
  <c r="R490" i="24"/>
  <c r="S489" i="24"/>
  <c r="AV13" i="24" s="1"/>
  <c r="R489" i="24"/>
  <c r="S488" i="24"/>
  <c r="R488" i="24"/>
  <c r="S487" i="24"/>
  <c r="S486" i="24"/>
  <c r="AL13" i="24" s="1"/>
  <c r="S485" i="24"/>
  <c r="AK13" i="24" s="1"/>
  <c r="M485" i="24"/>
  <c r="S484" i="24"/>
  <c r="AJ13" i="24" s="1"/>
  <c r="M484" i="24"/>
  <c r="S483" i="24"/>
  <c r="M483" i="24"/>
  <c r="S482" i="24"/>
  <c r="AG13" i="24" s="1"/>
  <c r="M482" i="24"/>
  <c r="S481" i="24"/>
  <c r="AF13" i="24" s="1"/>
  <c r="M481" i="24"/>
  <c r="S480" i="24"/>
  <c r="S475" i="24"/>
  <c r="AP12" i="24" s="1"/>
  <c r="S471" i="24"/>
  <c r="AT12" i="24" s="1"/>
  <c r="S468" i="24"/>
  <c r="S465" i="24"/>
  <c r="S464" i="24"/>
  <c r="BC101" i="24" s="1"/>
  <c r="BB101" i="24" s="1"/>
  <c r="S463" i="24"/>
  <c r="S460" i="24"/>
  <c r="S456" i="24"/>
  <c r="AR12" i="24" s="1"/>
  <c r="S455" i="24"/>
  <c r="BC99" i="24"/>
  <c r="S454" i="24"/>
  <c r="BC98" i="24" s="1"/>
  <c r="BB98" i="24" s="1"/>
  <c r="S453" i="24"/>
  <c r="BC97" i="24" s="1"/>
  <c r="BB97" i="24" s="1"/>
  <c r="V451" i="24"/>
  <c r="BC96" i="24"/>
  <c r="BB96" i="24" s="1"/>
  <c r="U451" i="24"/>
  <c r="BC95" i="24"/>
  <c r="BB95" i="24" s="1"/>
  <c r="T451" i="24"/>
  <c r="S451" i="24"/>
  <c r="S448" i="24"/>
  <c r="AX12" i="24" s="1"/>
  <c r="R448" i="24"/>
  <c r="S447" i="24"/>
  <c r="R447" i="24"/>
  <c r="S446" i="24"/>
  <c r="AV12" i="24" s="1"/>
  <c r="R446" i="24"/>
  <c r="S445" i="24"/>
  <c r="AU12" i="24" s="1"/>
  <c r="R445" i="24"/>
  <c r="S444" i="24"/>
  <c r="S443" i="24"/>
  <c r="S442" i="24"/>
  <c r="M442" i="24"/>
  <c r="S441" i="24"/>
  <c r="AJ12" i="24" s="1"/>
  <c r="M441" i="24"/>
  <c r="S440" i="24"/>
  <c r="AI12" i="24" s="1"/>
  <c r="M440" i="24"/>
  <c r="S439" i="24"/>
  <c r="AG12" i="24"/>
  <c r="M439" i="24"/>
  <c r="S438" i="24"/>
  <c r="AF12" i="24" s="1"/>
  <c r="M438" i="24"/>
  <c r="S437" i="24"/>
  <c r="AQ12" i="24" s="1"/>
  <c r="S432" i="24"/>
  <c r="S428" i="24"/>
  <c r="S425" i="24"/>
  <c r="AS11" i="24"/>
  <c r="S422" i="24"/>
  <c r="AN11" i="24"/>
  <c r="S421" i="24"/>
  <c r="S420" i="24"/>
  <c r="BC91" i="24" s="1"/>
  <c r="S417" i="24"/>
  <c r="AO11" i="24"/>
  <c r="S413" i="24"/>
  <c r="S412" i="24"/>
  <c r="S411" i="24"/>
  <c r="S410" i="24"/>
  <c r="BC88" i="24"/>
  <c r="V408" i="24"/>
  <c r="BC87" i="24" s="1"/>
  <c r="U408" i="24"/>
  <c r="T408" i="24"/>
  <c r="BC85" i="24"/>
  <c r="BB85" i="24" s="1"/>
  <c r="S408" i="24"/>
  <c r="BC84" i="24" s="1"/>
  <c r="S405" i="24"/>
  <c r="AX11" i="24" s="1"/>
  <c r="R405" i="24"/>
  <c r="S404" i="24"/>
  <c r="AW11" i="24"/>
  <c r="R404" i="24"/>
  <c r="S403" i="24"/>
  <c r="R403" i="24"/>
  <c r="S402" i="24"/>
  <c r="AU11" i="24"/>
  <c r="R402" i="24"/>
  <c r="S401" i="24"/>
  <c r="AM11" i="24"/>
  <c r="S400" i="24"/>
  <c r="S399" i="24"/>
  <c r="AK11" i="24" s="1"/>
  <c r="M399" i="24"/>
  <c r="S398" i="24"/>
  <c r="AJ11" i="24" s="1"/>
  <c r="M398" i="24"/>
  <c r="S397" i="24"/>
  <c r="AI11" i="24"/>
  <c r="M397" i="24"/>
  <c r="S396" i="24"/>
  <c r="AG11" i="24" s="1"/>
  <c r="M396" i="24"/>
  <c r="S395" i="24"/>
  <c r="AF11" i="24"/>
  <c r="M395" i="24"/>
  <c r="S394" i="24"/>
  <c r="S389" i="24"/>
  <c r="AP10" i="24"/>
  <c r="S385" i="24"/>
  <c r="AT10" i="24" s="1"/>
  <c r="S382" i="24"/>
  <c r="S379" i="24"/>
  <c r="AN10" i="24"/>
  <c r="S378" i="24"/>
  <c r="BC83" i="24" s="1"/>
  <c r="BB83" i="24" s="1"/>
  <c r="S377" i="24"/>
  <c r="BC82" i="24"/>
  <c r="S374" i="24"/>
  <c r="S370" i="24"/>
  <c r="AR10" i="24" s="1"/>
  <c r="S369" i="24"/>
  <c r="BC81" i="24"/>
  <c r="BB81" i="24" s="1"/>
  <c r="S368" i="24"/>
  <c r="BC80" i="24" s="1"/>
  <c r="BB80" i="24" s="1"/>
  <c r="S367" i="24"/>
  <c r="BC79" i="24"/>
  <c r="BB79" i="24" s="1"/>
  <c r="V365" i="24"/>
  <c r="U365" i="24"/>
  <c r="BC77" i="24" s="1"/>
  <c r="BA77" i="24" s="1"/>
  <c r="T365" i="24"/>
  <c r="S365" i="24"/>
  <c r="BC75" i="24"/>
  <c r="BA75" i="24"/>
  <c r="S362" i="24"/>
  <c r="R362" i="24"/>
  <c r="S361" i="24"/>
  <c r="R361" i="24"/>
  <c r="S360" i="24"/>
  <c r="AV10" i="24" s="1"/>
  <c r="R360" i="24"/>
  <c r="S359" i="24"/>
  <c r="AU10" i="24" s="1"/>
  <c r="R359" i="24"/>
  <c r="S358" i="24"/>
  <c r="S357" i="24"/>
  <c r="AL10" i="24"/>
  <c r="S356" i="24"/>
  <c r="AK10" i="24" s="1"/>
  <c r="M356" i="24"/>
  <c r="S355" i="24"/>
  <c r="M355" i="24"/>
  <c r="S354" i="24"/>
  <c r="AI10" i="24" s="1"/>
  <c r="M354" i="24"/>
  <c r="S353" i="24"/>
  <c r="M353" i="24"/>
  <c r="S352" i="24"/>
  <c r="AF10" i="24" s="1"/>
  <c r="M352" i="24"/>
  <c r="S351" i="24"/>
  <c r="S346" i="24"/>
  <c r="AP9" i="24"/>
  <c r="S342" i="24"/>
  <c r="AT9" i="24" s="1"/>
  <c r="S339" i="24"/>
  <c r="S336" i="24"/>
  <c r="AN9" i="24"/>
  <c r="S335" i="24"/>
  <c r="S334" i="24"/>
  <c r="BC73" i="24"/>
  <c r="BB73" i="24"/>
  <c r="S331" i="24"/>
  <c r="S327" i="24"/>
  <c r="AR9" i="24" s="1"/>
  <c r="S326" i="24"/>
  <c r="BC72" i="24"/>
  <c r="BB72" i="24" s="1"/>
  <c r="S325" i="24"/>
  <c r="BC71" i="24"/>
  <c r="BB71" i="24"/>
  <c r="S324" i="24"/>
  <c r="V322" i="24"/>
  <c r="U322" i="24"/>
  <c r="T322" i="24"/>
  <c r="BC67" i="24" s="1"/>
  <c r="S322" i="24"/>
  <c r="BC66" i="24" s="1"/>
  <c r="BB66" i="24" s="1"/>
  <c r="S319" i="24"/>
  <c r="R319" i="24"/>
  <c r="S318" i="24"/>
  <c r="R318" i="24"/>
  <c r="S317" i="24"/>
  <c r="R317" i="24"/>
  <c r="S316" i="24"/>
  <c r="R316" i="24"/>
  <c r="S315" i="24"/>
  <c r="S314" i="24"/>
  <c r="AL9" i="24" s="1"/>
  <c r="S313" i="24"/>
  <c r="M313" i="24"/>
  <c r="S312" i="24"/>
  <c r="AJ9" i="24" s="1"/>
  <c r="M312" i="24"/>
  <c r="S311" i="24"/>
  <c r="M311" i="24"/>
  <c r="S310" i="24"/>
  <c r="AG9" i="24" s="1"/>
  <c r="M310" i="24"/>
  <c r="S309" i="24"/>
  <c r="AF9" i="24" s="1"/>
  <c r="M309" i="24"/>
  <c r="S308" i="24"/>
  <c r="AQ9" i="24"/>
  <c r="S303" i="24"/>
  <c r="S299" i="24"/>
  <c r="AT8" i="24" s="1"/>
  <c r="S296" i="24"/>
  <c r="S293" i="24"/>
  <c r="AN8" i="24"/>
  <c r="S292" i="24"/>
  <c r="BC65" i="24" s="1"/>
  <c r="BB65" i="24" s="1"/>
  <c r="S291" i="24"/>
  <c r="BC64" i="24"/>
  <c r="BB64" i="24"/>
  <c r="S288" i="24"/>
  <c r="AO8" i="24" s="1"/>
  <c r="S284" i="24"/>
  <c r="S283" i="24"/>
  <c r="BC63" i="24"/>
  <c r="BB63" i="24"/>
  <c r="S282" i="24"/>
  <c r="S281" i="24"/>
  <c r="V279" i="24"/>
  <c r="BC60" i="24"/>
  <c r="BB60" i="24" s="1"/>
  <c r="U279" i="24"/>
  <c r="BC59" i="24" s="1"/>
  <c r="T279" i="24"/>
  <c r="BC58" i="24" s="1"/>
  <c r="BB58" i="24" s="1"/>
  <c r="S279" i="24"/>
  <c r="BC57" i="24" s="1"/>
  <c r="S276" i="24"/>
  <c r="AX8" i="24"/>
  <c r="R276" i="24"/>
  <c r="S275" i="24"/>
  <c r="R275" i="24"/>
  <c r="S274" i="24"/>
  <c r="AV8" i="24"/>
  <c r="R274" i="24"/>
  <c r="S273" i="24"/>
  <c r="R273" i="24"/>
  <c r="S272" i="24"/>
  <c r="AM8" i="24"/>
  <c r="S271" i="24"/>
  <c r="S270" i="24"/>
  <c r="M270" i="24"/>
  <c r="S269" i="24"/>
  <c r="AJ8" i="24" s="1"/>
  <c r="M269" i="24"/>
  <c r="S268" i="24"/>
  <c r="AI8" i="24" s="1"/>
  <c r="M268" i="24"/>
  <c r="S267" i="24"/>
  <c r="AG8" i="24"/>
  <c r="M267" i="24"/>
  <c r="S266" i="24"/>
  <c r="AF8" i="24" s="1"/>
  <c r="M266" i="24"/>
  <c r="S265" i="24"/>
  <c r="AQ8" i="24" s="1"/>
  <c r="S260" i="24"/>
  <c r="AL256" i="24"/>
  <c r="S256" i="24"/>
  <c r="AT7" i="24" s="1"/>
  <c r="AL253" i="24"/>
  <c r="S253" i="24"/>
  <c r="AL252" i="24"/>
  <c r="AL251" i="24"/>
  <c r="S250" i="24"/>
  <c r="AN7" i="24" s="1"/>
  <c r="AL249" i="24"/>
  <c r="S249" i="24"/>
  <c r="BC56" i="24" s="1"/>
  <c r="AL248" i="24"/>
  <c r="S248" i="24"/>
  <c r="BC55" i="24" s="1"/>
  <c r="S245" i="24"/>
  <c r="S241" i="24"/>
  <c r="AR7" i="24" s="1"/>
  <c r="S240" i="24"/>
  <c r="BC54" i="24"/>
  <c r="S239" i="24"/>
  <c r="BC53" i="24" s="1"/>
  <c r="BB53" i="24" s="1"/>
  <c r="S238" i="24"/>
  <c r="BC52" i="24"/>
  <c r="BB52" i="24"/>
  <c r="V236" i="24"/>
  <c r="BC51" i="24"/>
  <c r="BB51" i="24" s="1"/>
  <c r="U236" i="24"/>
  <c r="T236" i="24"/>
  <c r="BC49" i="24" s="1"/>
  <c r="BB49" i="24" s="1"/>
  <c r="S236" i="24"/>
  <c r="BC48" i="24"/>
  <c r="BB48" i="24" s="1"/>
  <c r="BA48" i="24"/>
  <c r="S233" i="24"/>
  <c r="AX7" i="24" s="1"/>
  <c r="R233" i="24"/>
  <c r="S232" i="24"/>
  <c r="AW7" i="24"/>
  <c r="R232" i="24"/>
  <c r="S231" i="24"/>
  <c r="R231" i="24"/>
  <c r="S230" i="24"/>
  <c r="AU7" i="24"/>
  <c r="R230" i="24"/>
  <c r="S229" i="24"/>
  <c r="AM7" i="24" s="1"/>
  <c r="S228" i="24"/>
  <c r="AL7" i="24" s="1"/>
  <c r="S227" i="24"/>
  <c r="AK7" i="24" s="1"/>
  <c r="M227" i="24"/>
  <c r="S226" i="24"/>
  <c r="M226" i="24"/>
  <c r="S225" i="24"/>
  <c r="AI7" i="24" s="1"/>
  <c r="M225" i="24"/>
  <c r="S224" i="24"/>
  <c r="AG7" i="24" s="1"/>
  <c r="M224" i="24"/>
  <c r="S223" i="24"/>
  <c r="AF7" i="24"/>
  <c r="M223" i="24"/>
  <c r="S222" i="24"/>
  <c r="S217" i="24"/>
  <c r="S213" i="24"/>
  <c r="AT6" i="24"/>
  <c r="S210" i="24"/>
  <c r="S207" i="24"/>
  <c r="AN6" i="24" s="1"/>
  <c r="S206" i="24"/>
  <c r="BC47" i="24"/>
  <c r="BA47" i="24" s="1"/>
  <c r="S205" i="24"/>
  <c r="BC46" i="24" s="1"/>
  <c r="BA46" i="24" s="1"/>
  <c r="S202" i="24"/>
  <c r="AO6" i="24"/>
  <c r="S198" i="24"/>
  <c r="S197" i="24"/>
  <c r="BC45" i="24" s="1"/>
  <c r="S196" i="24"/>
  <c r="BC44" i="24" s="1"/>
  <c r="BB44" i="24" s="1"/>
  <c r="S195" i="24"/>
  <c r="BC43" i="24" s="1"/>
  <c r="V193" i="24"/>
  <c r="U193" i="24"/>
  <c r="BC41" i="24"/>
  <c r="BB41" i="24"/>
  <c r="T193" i="24"/>
  <c r="S193" i="24"/>
  <c r="S190" i="24"/>
  <c r="AX6" i="24"/>
  <c r="R190" i="24"/>
  <c r="S189" i="24"/>
  <c r="R189" i="24"/>
  <c r="S188" i="24"/>
  <c r="AV6" i="24" s="1"/>
  <c r="R188" i="24"/>
  <c r="S187" i="24"/>
  <c r="AU6" i="24" s="1"/>
  <c r="R187" i="24"/>
  <c r="S186" i="24"/>
  <c r="AM6" i="24" s="1"/>
  <c r="S185" i="24"/>
  <c r="AL6" i="24"/>
  <c r="S184" i="24"/>
  <c r="AK6" i="24" s="1"/>
  <c r="M184" i="24"/>
  <c r="S183" i="24"/>
  <c r="M183" i="24"/>
  <c r="S182" i="24"/>
  <c r="AI6" i="24" s="1"/>
  <c r="M182" i="24"/>
  <c r="S181" i="24"/>
  <c r="AG6" i="24" s="1"/>
  <c r="M181" i="24"/>
  <c r="S180" i="24"/>
  <c r="AF6" i="24" s="1"/>
  <c r="M180" i="24"/>
  <c r="S179" i="24"/>
  <c r="AQ6" i="24" s="1"/>
  <c r="S174" i="24"/>
  <c r="AP5" i="24" s="1"/>
  <c r="S170" i="24"/>
  <c r="AT5" i="24" s="1"/>
  <c r="S167" i="24"/>
  <c r="AS5" i="24"/>
  <c r="S164" i="24"/>
  <c r="AN5" i="24"/>
  <c r="S163" i="24"/>
  <c r="S162" i="24"/>
  <c r="BC37" i="24"/>
  <c r="BB37" i="24" s="1"/>
  <c r="S159" i="24"/>
  <c r="AO5" i="24" s="1"/>
  <c r="S155" i="24"/>
  <c r="AR5" i="24"/>
  <c r="S154" i="24"/>
  <c r="BC36" i="24"/>
  <c r="BB36" i="24" s="1"/>
  <c r="S153" i="24"/>
  <c r="S152" i="24"/>
  <c r="V150" i="24"/>
  <c r="BC33" i="24" s="1"/>
  <c r="BA33" i="24"/>
  <c r="U150" i="24"/>
  <c r="BC32" i="24" s="1"/>
  <c r="T150" i="24"/>
  <c r="BC31" i="24" s="1"/>
  <c r="S150" i="24"/>
  <c r="BC30" i="24"/>
  <c r="BB30" i="24" s="1"/>
  <c r="S147" i="24"/>
  <c r="AX5" i="24" s="1"/>
  <c r="R147" i="24"/>
  <c r="S146" i="24"/>
  <c r="AW5" i="24" s="1"/>
  <c r="R146" i="24"/>
  <c r="S145" i="24"/>
  <c r="AV5" i="24"/>
  <c r="R145" i="24"/>
  <c r="S144" i="24"/>
  <c r="R144" i="24"/>
  <c r="S143" i="24"/>
  <c r="AM5" i="24" s="1"/>
  <c r="S142" i="24"/>
  <c r="S141" i="24"/>
  <c r="M141" i="24"/>
  <c r="S140" i="24"/>
  <c r="AJ5" i="24" s="1"/>
  <c r="M140" i="24"/>
  <c r="S139" i="24"/>
  <c r="AI5" i="24" s="1"/>
  <c r="M139" i="24"/>
  <c r="S138" i="24"/>
  <c r="AG5" i="24"/>
  <c r="M138" i="24"/>
  <c r="S137" i="24"/>
  <c r="AF5" i="24" s="1"/>
  <c r="M137" i="24"/>
  <c r="S136" i="24"/>
  <c r="AQ5" i="24"/>
  <c r="S131" i="24"/>
  <c r="AP4" i="24" s="1"/>
  <c r="S127" i="24"/>
  <c r="S124" i="24"/>
  <c r="AS4" i="24"/>
  <c r="S121" i="24"/>
  <c r="S120" i="24"/>
  <c r="BC29" i="24"/>
  <c r="BB29" i="24"/>
  <c r="S119" i="24"/>
  <c r="BC28" i="24" s="1"/>
  <c r="S116" i="24"/>
  <c r="AO4" i="24"/>
  <c r="S112" i="24"/>
  <c r="AR4" i="24"/>
  <c r="S111" i="24"/>
  <c r="S110" i="24"/>
  <c r="BC26" i="24" s="1"/>
  <c r="BB26" i="24" s="1"/>
  <c r="BC109" i="24"/>
  <c r="BB109" i="24" s="1"/>
  <c r="S109" i="24"/>
  <c r="BC25" i="24"/>
  <c r="BB25" i="24"/>
  <c r="V107" i="24"/>
  <c r="U107" i="24"/>
  <c r="BC23" i="24"/>
  <c r="BB23" i="24"/>
  <c r="T107" i="24"/>
  <c r="S107" i="24"/>
  <c r="BC106" i="24"/>
  <c r="BB106" i="24"/>
  <c r="BC104" i="24"/>
  <c r="BB104" i="24"/>
  <c r="S104" i="24"/>
  <c r="R104" i="24"/>
  <c r="S103" i="24"/>
  <c r="R103" i="24"/>
  <c r="BC102" i="24"/>
  <c r="BB102" i="24"/>
  <c r="S102" i="24"/>
  <c r="R102" i="24"/>
  <c r="S101" i="24"/>
  <c r="AU4" i="24"/>
  <c r="R101" i="24"/>
  <c r="BC100" i="24"/>
  <c r="BB100" i="24"/>
  <c r="S100" i="24"/>
  <c r="AM4" i="24" s="1"/>
  <c r="S99" i="24"/>
  <c r="AL4" i="24" s="1"/>
  <c r="S98" i="24"/>
  <c r="AK4" i="24" s="1"/>
  <c r="M98" i="24"/>
  <c r="S97" i="24"/>
  <c r="AJ4" i="24" s="1"/>
  <c r="M97" i="24"/>
  <c r="S96" i="24"/>
  <c r="AI4" i="24" s="1"/>
  <c r="M96" i="24"/>
  <c r="S95" i="24"/>
  <c r="M95" i="24"/>
  <c r="BC94" i="24"/>
  <c r="BB94" i="24" s="1"/>
  <c r="S94" i="24"/>
  <c r="M94" i="24"/>
  <c r="BC93" i="24"/>
  <c r="BB93" i="24" s="1"/>
  <c r="S93" i="24"/>
  <c r="BC92" i="24"/>
  <c r="BB92" i="24"/>
  <c r="BC90" i="24"/>
  <c r="BA90" i="24"/>
  <c r="BC89" i="24"/>
  <c r="BA89" i="24"/>
  <c r="S88" i="24"/>
  <c r="BC86" i="24"/>
  <c r="S84" i="24"/>
  <c r="AT3" i="24"/>
  <c r="S81" i="24"/>
  <c r="BC78" i="24"/>
  <c r="S78" i="24"/>
  <c r="S77" i="24"/>
  <c r="BC20" i="24" s="1"/>
  <c r="BB20" i="24" s="1"/>
  <c r="BC76" i="24"/>
  <c r="BA76" i="24" s="1"/>
  <c r="S76" i="24"/>
  <c r="BC74" i="24"/>
  <c r="BB74" i="24"/>
  <c r="S73" i="24"/>
  <c r="AO3" i="24" s="1"/>
  <c r="BC70" i="24"/>
  <c r="BB70" i="24"/>
  <c r="BC69" i="24"/>
  <c r="BB69" i="24" s="1"/>
  <c r="S69" i="24"/>
  <c r="BC68" i="24"/>
  <c r="BB68" i="24" s="1"/>
  <c r="BA68" i="24"/>
  <c r="S68" i="24"/>
  <c r="BC18" i="24" s="1"/>
  <c r="S67" i="24"/>
  <c r="BC17" i="24" s="1"/>
  <c r="BA17" i="24" s="1"/>
  <c r="S66" i="24"/>
  <c r="BC16" i="24" s="1"/>
  <c r="V64" i="24"/>
  <c r="BC15" i="24"/>
  <c r="BB15" i="24"/>
  <c r="U64" i="24"/>
  <c r="BC14" i="24"/>
  <c r="BB14" i="24"/>
  <c r="T64" i="24"/>
  <c r="BC13" i="24" s="1"/>
  <c r="BB13" i="24" s="1"/>
  <c r="S64" i="24"/>
  <c r="BC62" i="24"/>
  <c r="BB62" i="24" s="1"/>
  <c r="BC61" i="24"/>
  <c r="BB61" i="24" s="1"/>
  <c r="S61" i="24"/>
  <c r="AX3" i="24" s="1"/>
  <c r="R61" i="24"/>
  <c r="S60" i="24"/>
  <c r="AW3" i="24" s="1"/>
  <c r="R60" i="24"/>
  <c r="BB59" i="24"/>
  <c r="S59" i="24"/>
  <c r="AV3" i="24" s="1"/>
  <c r="R59" i="24"/>
  <c r="S58" i="24"/>
  <c r="R58" i="24"/>
  <c r="S57" i="24"/>
  <c r="AM3" i="24" s="1"/>
  <c r="S56" i="24"/>
  <c r="AL3" i="24" s="1"/>
  <c r="S55" i="24"/>
  <c r="M55" i="24"/>
  <c r="S54" i="24"/>
  <c r="AJ3" i="24" s="1"/>
  <c r="M54" i="24"/>
  <c r="S53" i="24"/>
  <c r="AI3" i="24" s="1"/>
  <c r="M53" i="24"/>
  <c r="S52" i="24"/>
  <c r="AG3" i="24" s="1"/>
  <c r="M52" i="24"/>
  <c r="S51" i="24"/>
  <c r="AF3" i="24" s="1"/>
  <c r="M51" i="24"/>
  <c r="BC50" i="24"/>
  <c r="BB50" i="24" s="1"/>
  <c r="S50" i="24"/>
  <c r="S45" i="24"/>
  <c r="AP2" i="24" s="1"/>
  <c r="BC42" i="24"/>
  <c r="BB42" i="24" s="1"/>
  <c r="S41" i="24"/>
  <c r="BC40" i="24"/>
  <c r="BB40" i="24"/>
  <c r="BC39" i="24"/>
  <c r="BB39" i="24" s="1"/>
  <c r="BA39" i="24"/>
  <c r="BC38" i="24"/>
  <c r="BB38" i="24"/>
  <c r="S38" i="24"/>
  <c r="BC35" i="24"/>
  <c r="BA35" i="24"/>
  <c r="S35" i="24"/>
  <c r="BC34" i="24"/>
  <c r="BB34" i="24"/>
  <c r="BA34" i="24"/>
  <c r="S34" i="24"/>
  <c r="S33" i="24"/>
  <c r="BC10" i="24"/>
  <c r="BB10" i="24"/>
  <c r="S30" i="24"/>
  <c r="AO2" i="24"/>
  <c r="BC27" i="24"/>
  <c r="BB27" i="24"/>
  <c r="AN26" i="24"/>
  <c r="AM26" i="24"/>
  <c r="AL26" i="24"/>
  <c r="AK26" i="24"/>
  <c r="AJ26" i="24"/>
  <c r="AI26" i="24"/>
  <c r="S26" i="24"/>
  <c r="AR2" i="24"/>
  <c r="AN25" i="24"/>
  <c r="AM25" i="24"/>
  <c r="AL25" i="24"/>
  <c r="AK25" i="24"/>
  <c r="AJ25" i="24"/>
  <c r="AI25" i="24"/>
  <c r="S25" i="24"/>
  <c r="BC9" i="24"/>
  <c r="BB9" i="24" s="1"/>
  <c r="BC24" i="24"/>
  <c r="BB24" i="24" s="1"/>
  <c r="AN24" i="24"/>
  <c r="AM24" i="24"/>
  <c r="AL24" i="24"/>
  <c r="AK24" i="24"/>
  <c r="AJ24" i="24"/>
  <c r="AI24" i="24"/>
  <c r="S24" i="24"/>
  <c r="BC8" i="24" s="1"/>
  <c r="BB8" i="24" s="1"/>
  <c r="AN23" i="24"/>
  <c r="AM23" i="24"/>
  <c r="AL23" i="24"/>
  <c r="AK23" i="24"/>
  <c r="AJ23" i="24"/>
  <c r="AI23" i="24"/>
  <c r="S23" i="24"/>
  <c r="BC7" i="24"/>
  <c r="BB7" i="24" s="1"/>
  <c r="BC22" i="24"/>
  <c r="AN22" i="24"/>
  <c r="AM22" i="24"/>
  <c r="AL22" i="24"/>
  <c r="AK22" i="24"/>
  <c r="AJ22" i="24"/>
  <c r="AI22" i="24"/>
  <c r="BC21" i="24"/>
  <c r="BB21" i="24"/>
  <c r="AN21" i="24"/>
  <c r="AM21" i="24"/>
  <c r="AL21" i="24"/>
  <c r="AK21" i="24"/>
  <c r="AJ21" i="24"/>
  <c r="AI21" i="24"/>
  <c r="V21" i="24"/>
  <c r="BC6" i="24" s="1"/>
  <c r="BB6" i="24" s="1"/>
  <c r="U21" i="24"/>
  <c r="T21" i="24"/>
  <c r="BC4" i="24"/>
  <c r="BB4" i="24" s="1"/>
  <c r="S21" i="24"/>
  <c r="BC3" i="24"/>
  <c r="BB3" i="24"/>
  <c r="BA20" i="24"/>
  <c r="AN20" i="24"/>
  <c r="AM20" i="24"/>
  <c r="AL20" i="24"/>
  <c r="AK20" i="24"/>
  <c r="AJ20" i="24"/>
  <c r="AI20" i="24"/>
  <c r="BC19" i="24"/>
  <c r="AN19" i="24"/>
  <c r="AM19" i="24"/>
  <c r="AL19" i="24"/>
  <c r="AK19" i="24"/>
  <c r="AJ19" i="24"/>
  <c r="AI19" i="24"/>
  <c r="AN18" i="24"/>
  <c r="AM18" i="24"/>
  <c r="AL18" i="24"/>
  <c r="AK18" i="24"/>
  <c r="AJ18" i="24"/>
  <c r="AI18" i="24"/>
  <c r="S18" i="24"/>
  <c r="AX2" i="24" s="1"/>
  <c r="R18" i="24"/>
  <c r="AN17" i="24"/>
  <c r="AM17" i="24"/>
  <c r="AL17" i="24"/>
  <c r="AK17" i="24"/>
  <c r="AJ17" i="24"/>
  <c r="AH17" i="24" s="1"/>
  <c r="AI17" i="24"/>
  <c r="S17" i="24"/>
  <c r="AW2" i="24" s="1"/>
  <c r="R17" i="24"/>
  <c r="AN16" i="24"/>
  <c r="AM16" i="24"/>
  <c r="AL16" i="24"/>
  <c r="AK16" i="24"/>
  <c r="AJ16" i="24"/>
  <c r="AI16" i="24"/>
  <c r="S16" i="24"/>
  <c r="AV2" i="24"/>
  <c r="R16" i="24"/>
  <c r="AN15" i="24"/>
  <c r="AM15" i="24"/>
  <c r="AL15" i="24"/>
  <c r="AK15" i="24"/>
  <c r="AJ15" i="24"/>
  <c r="AI15" i="24"/>
  <c r="S15" i="24"/>
  <c r="R15" i="24"/>
  <c r="AI14" i="24"/>
  <c r="AD14" i="24"/>
  <c r="S14" i="24"/>
  <c r="AM2" i="24"/>
  <c r="AU13" i="24"/>
  <c r="AT13" i="24"/>
  <c r="AS13" i="24"/>
  <c r="AQ13" i="24"/>
  <c r="AM13" i="24"/>
  <c r="AI13" i="24"/>
  <c r="AE13" i="24"/>
  <c r="AE26" i="24" s="1"/>
  <c r="AB13" i="24"/>
  <c r="S13" i="24"/>
  <c r="BC12" i="24"/>
  <c r="BB12" i="24"/>
  <c r="AW12" i="24"/>
  <c r="AS12" i="24"/>
  <c r="AO12" i="24"/>
  <c r="AN12" i="24"/>
  <c r="AM12" i="24"/>
  <c r="AL12" i="24"/>
  <c r="AK12" i="24"/>
  <c r="AE12" i="24"/>
  <c r="AE25" i="24" s="1"/>
  <c r="AB12" i="24"/>
  <c r="S12" i="24"/>
  <c r="AK2" i="24" s="1"/>
  <c r="M12" i="24"/>
  <c r="BC11" i="24"/>
  <c r="BB11" i="24"/>
  <c r="AV11" i="24"/>
  <c r="AT11" i="24"/>
  <c r="AR11" i="24"/>
  <c r="AQ11" i="24"/>
  <c r="AP11" i="24"/>
  <c r="AL11" i="24"/>
  <c r="AE11" i="24"/>
  <c r="AE24" i="24"/>
  <c r="AB11" i="24"/>
  <c r="S11" i="24"/>
  <c r="AJ2" i="24" s="1"/>
  <c r="M11" i="24"/>
  <c r="AX10" i="24"/>
  <c r="AW10" i="24"/>
  <c r="AS10" i="24"/>
  <c r="AQ10" i="24"/>
  <c r="AO10" i="24"/>
  <c r="AM10" i="24"/>
  <c r="AJ10" i="24"/>
  <c r="AG10" i="24"/>
  <c r="AE10" i="24"/>
  <c r="AE23" i="24" s="1"/>
  <c r="AB10" i="24"/>
  <c r="S10" i="24"/>
  <c r="AI2" i="24" s="1"/>
  <c r="M10" i="24"/>
  <c r="AX9" i="24"/>
  <c r="AW9" i="24"/>
  <c r="AV9" i="24"/>
  <c r="AU9" i="24"/>
  <c r="AS9" i="24"/>
  <c r="AO9" i="24"/>
  <c r="AM9" i="24"/>
  <c r="AK9" i="24"/>
  <c r="AI9" i="24"/>
  <c r="AE9" i="24"/>
  <c r="AE22" i="24" s="1"/>
  <c r="AB9" i="24"/>
  <c r="S9" i="24"/>
  <c r="AG2" i="24" s="1"/>
  <c r="M9" i="24"/>
  <c r="AW8" i="24"/>
  <c r="AU8" i="24"/>
  <c r="AS8" i="24"/>
  <c r="AR8" i="24"/>
  <c r="AP8" i="24"/>
  <c r="AL8" i="24"/>
  <c r="AK8" i="24"/>
  <c r="AE8" i="24"/>
  <c r="AE21" i="24" s="1"/>
  <c r="AB8" i="24"/>
  <c r="S8" i="24"/>
  <c r="AF2" i="24" s="1"/>
  <c r="M8" i="24"/>
  <c r="AV7" i="24"/>
  <c r="AS7" i="24"/>
  <c r="AQ7" i="24"/>
  <c r="AP7" i="24"/>
  <c r="AO7" i="24"/>
  <c r="AJ7" i="24"/>
  <c r="AE7" i="24"/>
  <c r="AE20" i="24" s="1"/>
  <c r="AB7" i="24"/>
  <c r="S7" i="24"/>
  <c r="AQ2" i="24"/>
  <c r="AW6" i="24"/>
  <c r="AS6" i="24"/>
  <c r="AR6" i="24"/>
  <c r="AP6" i="24"/>
  <c r="AJ6" i="24"/>
  <c r="AE6" i="24"/>
  <c r="AE19" i="24" s="1"/>
  <c r="AB6" i="24"/>
  <c r="BC5" i="24"/>
  <c r="BB5" i="24"/>
  <c r="AU5" i="24"/>
  <c r="AL5" i="24"/>
  <c r="AK5" i="24"/>
  <c r="AE5" i="24"/>
  <c r="AE18" i="24" s="1"/>
  <c r="AB5" i="24"/>
  <c r="AX4" i="24"/>
  <c r="AW4" i="24"/>
  <c r="AV4" i="24"/>
  <c r="AT4" i="24"/>
  <c r="AQ4" i="24"/>
  <c r="AN4" i="24"/>
  <c r="AG4" i="24"/>
  <c r="AF4" i="24"/>
  <c r="AE4" i="24"/>
  <c r="AE17" i="24" s="1"/>
  <c r="AB4" i="24"/>
  <c r="AU3" i="24"/>
  <c r="AS3" i="24"/>
  <c r="AR3" i="24"/>
  <c r="AQ3" i="24"/>
  <c r="AP3" i="24"/>
  <c r="AN3" i="24"/>
  <c r="AK3" i="24"/>
  <c r="AE3" i="24"/>
  <c r="AE16" i="24" s="1"/>
  <c r="AB3" i="24"/>
  <c r="AU2" i="24"/>
  <c r="AT2" i="24"/>
  <c r="AS2" i="24"/>
  <c r="AN2" i="24"/>
  <c r="AL2" i="24"/>
  <c r="AE2" i="24"/>
  <c r="AE15" i="24" s="1"/>
  <c r="AB2" i="24"/>
  <c r="ES1" i="5"/>
  <c r="A1" i="5"/>
  <c r="A1" i="3"/>
  <c r="O9" i="8"/>
  <c r="B4" i="8"/>
  <c r="J2" i="8"/>
  <c r="H2" i="2"/>
  <c r="N2" i="12"/>
  <c r="N2" i="13"/>
  <c r="J2" i="9"/>
  <c r="J2" i="10"/>
  <c r="J2" i="11"/>
  <c r="J20" i="18"/>
  <c r="I4" i="18"/>
  <c r="H13" i="17"/>
  <c r="A2" i="17"/>
  <c r="H13" i="4"/>
  <c r="A2" i="4"/>
  <c r="A2" i="6"/>
  <c r="K1" i="16"/>
  <c r="E1" i="16"/>
  <c r="E19" i="21"/>
  <c r="E18" i="21"/>
  <c r="F18" i="21"/>
  <c r="D19" i="21"/>
  <c r="D18" i="21"/>
  <c r="W11" i="18"/>
  <c r="W9" i="18"/>
  <c r="W10" i="18" s="1"/>
  <c r="AF7" i="12"/>
  <c r="AF8"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AF43" i="12"/>
  <c r="AF44" i="12"/>
  <c r="AF45" i="12"/>
  <c r="AF46" i="12"/>
  <c r="AF47" i="12"/>
  <c r="AF48" i="12"/>
  <c r="AF49" i="12"/>
  <c r="AF50" i="12"/>
  <c r="AF51" i="12"/>
  <c r="AF52" i="12"/>
  <c r="AF53" i="12"/>
  <c r="AF54" i="12"/>
  <c r="AF55" i="12"/>
  <c r="AF56" i="12"/>
  <c r="AF57" i="12"/>
  <c r="AF58" i="12"/>
  <c r="AF59" i="12"/>
  <c r="AF60" i="12"/>
  <c r="AF61" i="12"/>
  <c r="AF62" i="12"/>
  <c r="AF63" i="12"/>
  <c r="AF64" i="12"/>
  <c r="AF65" i="12"/>
  <c r="AF66" i="12"/>
  <c r="AF67" i="12"/>
  <c r="AF68" i="12"/>
  <c r="AF69" i="12"/>
  <c r="AF70" i="12"/>
  <c r="AF71" i="12"/>
  <c r="AF72" i="12"/>
  <c r="AF73" i="12"/>
  <c r="AF74" i="12"/>
  <c r="AF75" i="12"/>
  <c r="AF76" i="12"/>
  <c r="AF77" i="12"/>
  <c r="AF78" i="12"/>
  <c r="AF79" i="12"/>
  <c r="AF80" i="12"/>
  <c r="AF81" i="12"/>
  <c r="AF82" i="12"/>
  <c r="AF83" i="12"/>
  <c r="AF84" i="12"/>
  <c r="AF85" i="12"/>
  <c r="AF86" i="12"/>
  <c r="AF87" i="12"/>
  <c r="AF88" i="12"/>
  <c r="AF89" i="12"/>
  <c r="AF90" i="12"/>
  <c r="AF91" i="12"/>
  <c r="AF92" i="12"/>
  <c r="AF93" i="12"/>
  <c r="AF94" i="12"/>
  <c r="AF95" i="12"/>
  <c r="AF96" i="12"/>
  <c r="AF97" i="12"/>
  <c r="AF98" i="12"/>
  <c r="AF99" i="12"/>
  <c r="AF100" i="12"/>
  <c r="AF101" i="12"/>
  <c r="AF102" i="12"/>
  <c r="AF103" i="12"/>
  <c r="AF104" i="12"/>
  <c r="AF105" i="12"/>
  <c r="AF106" i="12"/>
  <c r="AF107" i="12"/>
  <c r="AF108" i="12"/>
  <c r="AF109" i="12"/>
  <c r="AF110" i="12"/>
  <c r="AF111" i="12"/>
  <c r="AF112" i="12"/>
  <c r="AF113" i="12"/>
  <c r="AF114" i="12"/>
  <c r="AF115" i="12"/>
  <c r="AF116" i="12"/>
  <c r="AF117" i="12"/>
  <c r="AF118" i="12"/>
  <c r="AF119" i="12"/>
  <c r="AF120" i="12"/>
  <c r="AF121" i="12"/>
  <c r="AF122" i="12"/>
  <c r="AF123" i="12"/>
  <c r="AF124" i="12"/>
  <c r="AF125" i="12"/>
  <c r="AF126" i="12"/>
  <c r="AF127" i="12"/>
  <c r="AF128" i="12"/>
  <c r="AF129" i="12"/>
  <c r="AF130" i="12"/>
  <c r="AF131" i="12"/>
  <c r="AF132" i="12"/>
  <c r="AF133" i="12"/>
  <c r="AF134" i="12"/>
  <c r="AF135" i="12"/>
  <c r="AF136" i="12"/>
  <c r="AF137" i="12"/>
  <c r="AF138" i="12"/>
  <c r="AF139" i="12"/>
  <c r="AF140" i="12"/>
  <c r="AF141" i="12"/>
  <c r="AF142" i="12"/>
  <c r="AF143" i="12"/>
  <c r="AF144" i="12"/>
  <c r="AF145" i="12"/>
  <c r="AF146" i="12"/>
  <c r="AF147" i="12"/>
  <c r="AF148" i="12"/>
  <c r="AF149" i="12"/>
  <c r="AF150" i="12"/>
  <c r="AF151" i="12"/>
  <c r="AF152" i="12"/>
  <c r="AF153" i="12"/>
  <c r="AF154" i="12"/>
  <c r="AF155" i="12"/>
  <c r="AF156" i="12"/>
  <c r="AF157" i="12"/>
  <c r="AF158" i="12"/>
  <c r="AF159" i="12"/>
  <c r="AF160" i="12"/>
  <c r="AF161" i="12"/>
  <c r="AF162" i="12"/>
  <c r="AF163" i="12"/>
  <c r="AF164" i="12"/>
  <c r="AF165" i="12"/>
  <c r="AF166" i="12"/>
  <c r="AF167" i="12"/>
  <c r="AF168" i="12"/>
  <c r="AF169" i="12"/>
  <c r="AF170" i="12"/>
  <c r="AF171" i="12"/>
  <c r="AF172" i="12"/>
  <c r="AF173" i="12"/>
  <c r="AF174" i="12"/>
  <c r="AF175" i="12"/>
  <c r="AF176" i="12"/>
  <c r="AF177" i="12"/>
  <c r="AF178" i="12"/>
  <c r="AF179" i="12"/>
  <c r="AF180" i="12"/>
  <c r="AF181" i="12"/>
  <c r="AF182" i="12"/>
  <c r="AF183" i="12"/>
  <c r="AF184" i="12"/>
  <c r="AF185" i="12"/>
  <c r="AF186" i="12"/>
  <c r="AF187" i="12"/>
  <c r="AF188" i="12"/>
  <c r="AF189" i="12"/>
  <c r="AF190" i="12"/>
  <c r="AF191" i="12"/>
  <c r="AF192" i="12"/>
  <c r="AF193" i="12"/>
  <c r="AF194" i="12"/>
  <c r="AF195" i="12"/>
  <c r="AF196" i="12"/>
  <c r="AF197" i="12"/>
  <c r="AF198" i="12"/>
  <c r="AF199" i="12"/>
  <c r="AF200" i="12"/>
  <c r="AF201" i="12"/>
  <c r="AF202" i="12"/>
  <c r="AF203" i="12"/>
  <c r="AF204" i="12"/>
  <c r="AF205" i="12"/>
  <c r="AF206" i="12"/>
  <c r="AF207" i="12"/>
  <c r="AF208" i="12"/>
  <c r="AF209" i="12"/>
  <c r="AF210" i="12"/>
  <c r="AF211" i="12"/>
  <c r="AF212" i="12"/>
  <c r="AF213" i="12"/>
  <c r="AF214" i="12"/>
  <c r="AF215" i="12"/>
  <c r="AF216" i="12"/>
  <c r="AF217" i="12"/>
  <c r="AF218" i="12"/>
  <c r="AF219" i="12"/>
  <c r="AF220" i="12"/>
  <c r="AF221" i="12"/>
  <c r="AF222" i="12"/>
  <c r="AF223" i="12"/>
  <c r="AF224" i="12"/>
  <c r="AF225" i="12"/>
  <c r="AF226" i="12"/>
  <c r="AF227" i="12"/>
  <c r="AF228" i="12"/>
  <c r="AF229" i="12"/>
  <c r="AF230" i="12"/>
  <c r="AF231" i="12"/>
  <c r="AF232" i="12"/>
  <c r="AF233" i="12"/>
  <c r="AF234" i="12"/>
  <c r="AF235" i="12"/>
  <c r="AF236" i="12"/>
  <c r="AF237" i="12"/>
  <c r="AF238" i="12"/>
  <c r="AF239" i="12"/>
  <c r="AF240" i="12"/>
  <c r="AF241" i="12"/>
  <c r="AF242" i="12"/>
  <c r="AF243" i="12"/>
  <c r="AF244" i="12"/>
  <c r="AF245" i="12"/>
  <c r="AF246" i="12"/>
  <c r="AF247" i="12"/>
  <c r="AF248" i="12"/>
  <c r="AF249" i="12"/>
  <c r="AF250" i="12"/>
  <c r="AF251" i="12"/>
  <c r="AF252" i="12"/>
  <c r="AF253" i="12"/>
  <c r="AF254" i="12"/>
  <c r="AF255" i="12"/>
  <c r="AF256" i="12"/>
  <c r="AF257" i="12"/>
  <c r="AF258" i="12"/>
  <c r="AF259" i="12"/>
  <c r="AF260" i="12"/>
  <c r="AF261" i="12"/>
  <c r="AF262" i="12"/>
  <c r="AF263" i="12"/>
  <c r="AF264" i="12"/>
  <c r="AF265" i="12"/>
  <c r="AF266" i="12"/>
  <c r="AF267" i="12"/>
  <c r="AF268" i="12"/>
  <c r="AF269" i="12"/>
  <c r="AF270" i="12"/>
  <c r="AF271" i="12"/>
  <c r="AF272" i="12"/>
  <c r="AF273" i="12"/>
  <c r="AF274" i="12"/>
  <c r="AF275" i="12"/>
  <c r="AF276" i="12"/>
  <c r="AF277" i="12"/>
  <c r="AF278" i="12"/>
  <c r="AF279" i="12"/>
  <c r="AF280" i="12"/>
  <c r="AF281" i="12"/>
  <c r="AF282" i="12"/>
  <c r="AF283" i="12"/>
  <c r="AF284" i="12"/>
  <c r="AF285" i="12"/>
  <c r="AF286" i="12"/>
  <c r="AF287" i="12"/>
  <c r="AF288" i="12"/>
  <c r="AF289" i="12"/>
  <c r="AF290" i="12"/>
  <c r="AF291" i="12"/>
  <c r="AF292" i="12"/>
  <c r="AF293" i="12"/>
  <c r="AF294" i="12"/>
  <c r="AF295" i="12"/>
  <c r="AF296" i="12"/>
  <c r="AF297" i="12"/>
  <c r="AF298" i="12"/>
  <c r="AF299"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E68" i="12"/>
  <c r="AE69" i="12"/>
  <c r="AE70" i="12"/>
  <c r="AE71" i="12"/>
  <c r="AE72" i="12"/>
  <c r="AE73" i="12"/>
  <c r="AE74" i="12"/>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AE99" i="12"/>
  <c r="AE100" i="12"/>
  <c r="AE101" i="12"/>
  <c r="AE102" i="12"/>
  <c r="AE103" i="12"/>
  <c r="AE104" i="12"/>
  <c r="AE105" i="12"/>
  <c r="AE106" i="12"/>
  <c r="AE107" i="12"/>
  <c r="AE108" i="12"/>
  <c r="AE109" i="12"/>
  <c r="AE110" i="12"/>
  <c r="AE111" i="12"/>
  <c r="AE112" i="12"/>
  <c r="AE113" i="12"/>
  <c r="AE114" i="12"/>
  <c r="AE115" i="12"/>
  <c r="AE116" i="12"/>
  <c r="AE117" i="12"/>
  <c r="AE118" i="12"/>
  <c r="AE119" i="12"/>
  <c r="AE120" i="12"/>
  <c r="AE121" i="12"/>
  <c r="AE122" i="12"/>
  <c r="AE123" i="12"/>
  <c r="AE124" i="12"/>
  <c r="AE125" i="12"/>
  <c r="AE126" i="12"/>
  <c r="AE127" i="12"/>
  <c r="AE128" i="12"/>
  <c r="AE129" i="12"/>
  <c r="AE130" i="12"/>
  <c r="AE131" i="12"/>
  <c r="AE132" i="12"/>
  <c r="AE133" i="12"/>
  <c r="AE134" i="12"/>
  <c r="AE135" i="12"/>
  <c r="AE136" i="12"/>
  <c r="AE137" i="12"/>
  <c r="AE138" i="12"/>
  <c r="AE139" i="12"/>
  <c r="AE140" i="12"/>
  <c r="AE141" i="12"/>
  <c r="AE142" i="12"/>
  <c r="AE143" i="12"/>
  <c r="AE144" i="12"/>
  <c r="AE145" i="12"/>
  <c r="AE146" i="12"/>
  <c r="AE147" i="12"/>
  <c r="AE148" i="12"/>
  <c r="AE149" i="12"/>
  <c r="AE150" i="12"/>
  <c r="AE151" i="12"/>
  <c r="AE152" i="12"/>
  <c r="AE153" i="12"/>
  <c r="AE154" i="12"/>
  <c r="AE155" i="12"/>
  <c r="AE156" i="12"/>
  <c r="AE157" i="12"/>
  <c r="AE158" i="12"/>
  <c r="AE159" i="12"/>
  <c r="AE160" i="12"/>
  <c r="AE161" i="12"/>
  <c r="AE162" i="12"/>
  <c r="AE163" i="12"/>
  <c r="AE164" i="12"/>
  <c r="AE165" i="12"/>
  <c r="AE166" i="12"/>
  <c r="AE167" i="12"/>
  <c r="AE168" i="12"/>
  <c r="AE169" i="12"/>
  <c r="AE170" i="12"/>
  <c r="AE171" i="12"/>
  <c r="AE172" i="12"/>
  <c r="AE173" i="12"/>
  <c r="AE174" i="12"/>
  <c r="AE175" i="12"/>
  <c r="AE176" i="12"/>
  <c r="AE177" i="12"/>
  <c r="AE178" i="12"/>
  <c r="AE179" i="12"/>
  <c r="AE180" i="12"/>
  <c r="AE181" i="12"/>
  <c r="AE182" i="12"/>
  <c r="AE183" i="12"/>
  <c r="AE184" i="12"/>
  <c r="AE185" i="12"/>
  <c r="AE186" i="12"/>
  <c r="AE187" i="12"/>
  <c r="AE188" i="12"/>
  <c r="AE189" i="12"/>
  <c r="AE190" i="12"/>
  <c r="AE191" i="12"/>
  <c r="AE192" i="12"/>
  <c r="AE193" i="12"/>
  <c r="AE194" i="12"/>
  <c r="AE195" i="12"/>
  <c r="AE196" i="12"/>
  <c r="AE197" i="12"/>
  <c r="AE198" i="12"/>
  <c r="AE199" i="12"/>
  <c r="AE200" i="12"/>
  <c r="AE201" i="12"/>
  <c r="AE202" i="12"/>
  <c r="AE203" i="12"/>
  <c r="AE204" i="12"/>
  <c r="AE205" i="12"/>
  <c r="AE206" i="12"/>
  <c r="AE207" i="12"/>
  <c r="AE208" i="12"/>
  <c r="AE209" i="12"/>
  <c r="AE210" i="12"/>
  <c r="AE211" i="12"/>
  <c r="AE212" i="12"/>
  <c r="AE213" i="12"/>
  <c r="AE214" i="12"/>
  <c r="AE215" i="12"/>
  <c r="AE216" i="12"/>
  <c r="AE217" i="12"/>
  <c r="AE218" i="12"/>
  <c r="AE219" i="12"/>
  <c r="AE220" i="12"/>
  <c r="AE221" i="12"/>
  <c r="AE222" i="12"/>
  <c r="AE223" i="12"/>
  <c r="AE224" i="12"/>
  <c r="AE225" i="12"/>
  <c r="AE226" i="12"/>
  <c r="AE227" i="12"/>
  <c r="AE228" i="12"/>
  <c r="AE229" i="12"/>
  <c r="AE230" i="12"/>
  <c r="AE231" i="12"/>
  <c r="AE232" i="12"/>
  <c r="AE233" i="12"/>
  <c r="AE234" i="12"/>
  <c r="AE235" i="12"/>
  <c r="AE236" i="12"/>
  <c r="AE237" i="12"/>
  <c r="AE238" i="12"/>
  <c r="AE239" i="12"/>
  <c r="AE240" i="12"/>
  <c r="AE241" i="12"/>
  <c r="AE242" i="12"/>
  <c r="AE243" i="12"/>
  <c r="AE244" i="12"/>
  <c r="AE245" i="12"/>
  <c r="AE246" i="12"/>
  <c r="AE247" i="12"/>
  <c r="AE248" i="12"/>
  <c r="AE249" i="12"/>
  <c r="AE250" i="12"/>
  <c r="AE251" i="12"/>
  <c r="AE252" i="12"/>
  <c r="AE253" i="12"/>
  <c r="AE254" i="12"/>
  <c r="AE255" i="12"/>
  <c r="AE256" i="12"/>
  <c r="AE257" i="12"/>
  <c r="AE258" i="12"/>
  <c r="AE259" i="12"/>
  <c r="AE260" i="12"/>
  <c r="AE261" i="12"/>
  <c r="AE262" i="12"/>
  <c r="AE263" i="12"/>
  <c r="AE264" i="12"/>
  <c r="AE265" i="12"/>
  <c r="AE266" i="12"/>
  <c r="AE267" i="12"/>
  <c r="AE268" i="12"/>
  <c r="AE269" i="12"/>
  <c r="AE270" i="12"/>
  <c r="AE271" i="12"/>
  <c r="AE272" i="12"/>
  <c r="AE273" i="12"/>
  <c r="AE274" i="12"/>
  <c r="AE275" i="12"/>
  <c r="AE276" i="12"/>
  <c r="AE277" i="12"/>
  <c r="AE278" i="12"/>
  <c r="AE279" i="12"/>
  <c r="AE280" i="12"/>
  <c r="AE281" i="12"/>
  <c r="AE282" i="12"/>
  <c r="AE283" i="12"/>
  <c r="AE284" i="12"/>
  <c r="AE285" i="12"/>
  <c r="AE286" i="12"/>
  <c r="AE287" i="12"/>
  <c r="AE288" i="12"/>
  <c r="AE289" i="12"/>
  <c r="AE290" i="12"/>
  <c r="AE291" i="12"/>
  <c r="AE292" i="12"/>
  <c r="AE293" i="12"/>
  <c r="AE294" i="12"/>
  <c r="AE295" i="12"/>
  <c r="AE296" i="12"/>
  <c r="AE297" i="12"/>
  <c r="AE298" i="12"/>
  <c r="AE299" i="12"/>
  <c r="AD7" i="12"/>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AD126" i="12"/>
  <c r="AD127" i="12"/>
  <c r="AD128" i="12"/>
  <c r="AD129" i="12"/>
  <c r="AD130" i="12"/>
  <c r="AD131" i="12"/>
  <c r="AD132" i="12"/>
  <c r="AD133" i="12"/>
  <c r="AD134" i="12"/>
  <c r="AD135" i="12"/>
  <c r="AD136" i="12"/>
  <c r="AD137" i="12"/>
  <c r="AD138" i="12"/>
  <c r="AD139" i="12"/>
  <c r="AD140" i="12"/>
  <c r="AD141" i="12"/>
  <c r="AD142" i="12"/>
  <c r="AD143" i="12"/>
  <c r="AD144" i="12"/>
  <c r="AD145" i="12"/>
  <c r="AD146" i="12"/>
  <c r="AD147" i="12"/>
  <c r="AD148" i="12"/>
  <c r="AD149" i="12"/>
  <c r="AD150" i="12"/>
  <c r="AD151" i="12"/>
  <c r="AD152" i="12"/>
  <c r="AD153" i="12"/>
  <c r="AD154" i="12"/>
  <c r="AD155" i="12"/>
  <c r="AD156" i="12"/>
  <c r="AD157" i="12"/>
  <c r="AD158"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C7" i="12"/>
  <c r="AC8" i="12"/>
  <c r="AC9" i="12"/>
  <c r="AC10" i="12"/>
  <c r="AC11" i="12"/>
  <c r="AC12" i="12"/>
  <c r="AC13" i="12"/>
  <c r="AC14" i="12"/>
  <c r="AC15" i="12"/>
  <c r="AC16" i="12"/>
  <c r="AC17" i="12"/>
  <c r="AC18" i="12"/>
  <c r="AC19" i="12"/>
  <c r="AC20" i="12"/>
  <c r="AC21" i="12"/>
  <c r="AC22" i="12"/>
  <c r="AC23" i="12"/>
  <c r="AC24" i="12"/>
  <c r="AC25" i="12"/>
  <c r="AC26" i="12"/>
  <c r="AC300" i="12" s="1"/>
  <c r="N5" i="7" s="1"/>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112" i="12"/>
  <c r="AC113" i="12"/>
  <c r="AC114" i="12"/>
  <c r="AC115" i="12"/>
  <c r="AC116" i="12"/>
  <c r="AC117" i="12"/>
  <c r="AC118" i="12"/>
  <c r="AC119" i="12"/>
  <c r="AC120" i="12"/>
  <c r="AC121" i="12"/>
  <c r="AC122" i="12"/>
  <c r="AC123" i="12"/>
  <c r="AC124" i="12"/>
  <c r="AC125" i="12"/>
  <c r="AC126" i="12"/>
  <c r="AC127" i="12"/>
  <c r="AC128" i="12"/>
  <c r="AC129" i="12"/>
  <c r="AC130" i="12"/>
  <c r="AC131" i="12"/>
  <c r="AC132" i="12"/>
  <c r="AC133" i="12"/>
  <c r="AC134" i="12"/>
  <c r="AC135" i="12"/>
  <c r="AC136" i="12"/>
  <c r="AC137" i="12"/>
  <c r="AC138" i="12"/>
  <c r="AC139" i="12"/>
  <c r="AC140" i="12"/>
  <c r="AC141" i="12"/>
  <c r="AC142" i="12"/>
  <c r="AC143" i="12"/>
  <c r="AC144" i="12"/>
  <c r="AC145" i="12"/>
  <c r="AC146" i="12"/>
  <c r="AC147" i="12"/>
  <c r="AC148" i="12"/>
  <c r="AC149" i="12"/>
  <c r="AC150" i="12"/>
  <c r="AC151" i="12"/>
  <c r="AC152" i="12"/>
  <c r="AC153" i="12"/>
  <c r="AC154" i="12"/>
  <c r="AC155" i="12"/>
  <c r="AC156" i="12"/>
  <c r="AC157" i="12"/>
  <c r="AC158" i="12"/>
  <c r="AC159" i="12"/>
  <c r="AC160" i="12"/>
  <c r="AC161" i="12"/>
  <c r="AC162" i="12"/>
  <c r="AC163" i="12"/>
  <c r="AC164" i="12"/>
  <c r="AC165" i="12"/>
  <c r="AC166" i="12"/>
  <c r="AC167" i="12"/>
  <c r="AC168" i="12"/>
  <c r="AC169" i="12"/>
  <c r="AC170" i="12"/>
  <c r="AC171" i="12"/>
  <c r="AC172" i="12"/>
  <c r="AC173" i="12"/>
  <c r="AC174" i="12"/>
  <c r="AC175" i="12"/>
  <c r="AC176" i="12"/>
  <c r="AC177" i="12"/>
  <c r="AC178" i="12"/>
  <c r="AC179" i="12"/>
  <c r="AC180" i="12"/>
  <c r="AC181" i="12"/>
  <c r="AC182" i="12"/>
  <c r="AC183" i="12"/>
  <c r="AC184" i="12"/>
  <c r="AC185" i="12"/>
  <c r="AC186" i="12"/>
  <c r="AC187" i="12"/>
  <c r="AC188" i="12"/>
  <c r="AC189" i="12"/>
  <c r="AC190" i="12"/>
  <c r="AC191" i="12"/>
  <c r="AC192" i="12"/>
  <c r="AC193" i="12"/>
  <c r="AC194" i="12"/>
  <c r="AC195" i="12"/>
  <c r="AC196" i="12"/>
  <c r="AC197" i="12"/>
  <c r="AC198" i="12"/>
  <c r="AC199" i="12"/>
  <c r="AC200" i="12"/>
  <c r="AC201" i="12"/>
  <c r="AC202" i="12"/>
  <c r="AC203" i="12"/>
  <c r="AC204" i="12"/>
  <c r="AC205" i="12"/>
  <c r="AC206" i="12"/>
  <c r="AC207" i="12"/>
  <c r="AC208" i="12"/>
  <c r="AC209" i="12"/>
  <c r="AC210" i="12"/>
  <c r="AC211" i="12"/>
  <c r="AC212" i="12"/>
  <c r="AC213" i="12"/>
  <c r="AC214" i="12"/>
  <c r="AC215" i="12"/>
  <c r="AC216" i="12"/>
  <c r="AC217" i="12"/>
  <c r="AC218" i="12"/>
  <c r="AC219" i="12"/>
  <c r="AC220" i="12"/>
  <c r="AC221" i="12"/>
  <c r="AC222" i="12"/>
  <c r="AC223" i="12"/>
  <c r="AC224" i="12"/>
  <c r="AC225" i="12"/>
  <c r="AC226" i="12"/>
  <c r="AC227" i="12"/>
  <c r="AC228" i="12"/>
  <c r="AC229" i="12"/>
  <c r="AC230" i="12"/>
  <c r="AC231" i="12"/>
  <c r="AC232" i="12"/>
  <c r="AC233" i="12"/>
  <c r="AC234" i="12"/>
  <c r="AC235" i="12"/>
  <c r="AC236" i="12"/>
  <c r="AC237" i="12"/>
  <c r="AC238" i="12"/>
  <c r="AC239" i="12"/>
  <c r="AC240" i="12"/>
  <c r="AC241" i="12"/>
  <c r="AC242" i="12"/>
  <c r="AC243" i="12"/>
  <c r="AC244" i="12"/>
  <c r="AC245" i="12"/>
  <c r="AC246" i="12"/>
  <c r="AC247" i="12"/>
  <c r="AC248" i="12"/>
  <c r="AC249" i="12"/>
  <c r="AC250" i="12"/>
  <c r="AC251" i="12"/>
  <c r="AC252" i="12"/>
  <c r="AC253" i="12"/>
  <c r="AC254" i="12"/>
  <c r="AC255" i="12"/>
  <c r="AC256" i="12"/>
  <c r="AC257" i="12"/>
  <c r="AC258" i="12"/>
  <c r="AC259" i="12"/>
  <c r="AC260" i="12"/>
  <c r="AC261" i="12"/>
  <c r="AC262" i="12"/>
  <c r="AC263" i="12"/>
  <c r="AC264" i="12"/>
  <c r="AC265" i="12"/>
  <c r="AC266" i="12"/>
  <c r="AC267" i="12"/>
  <c r="AC268" i="12"/>
  <c r="AC269" i="12"/>
  <c r="AC270" i="12"/>
  <c r="AC271" i="12"/>
  <c r="AC272" i="12"/>
  <c r="AC273" i="12"/>
  <c r="AC274" i="12"/>
  <c r="AC275" i="12"/>
  <c r="AC276" i="12"/>
  <c r="AC277" i="12"/>
  <c r="AC278" i="12"/>
  <c r="AC279" i="12"/>
  <c r="AC280" i="12"/>
  <c r="AC281" i="12"/>
  <c r="AC282" i="12"/>
  <c r="AC283" i="12"/>
  <c r="AC284" i="12"/>
  <c r="AC285" i="12"/>
  <c r="AC286" i="12"/>
  <c r="AC287" i="12"/>
  <c r="AC288" i="12"/>
  <c r="AC289" i="12"/>
  <c r="AC290" i="12"/>
  <c r="AC291" i="12"/>
  <c r="AC292" i="12"/>
  <c r="AC293" i="12"/>
  <c r="AC294" i="12"/>
  <c r="AC295" i="12"/>
  <c r="AC296" i="12"/>
  <c r="AC297" i="12"/>
  <c r="AC298" i="12"/>
  <c r="AC299" i="12"/>
  <c r="AB7" i="12"/>
  <c r="AB8" i="12"/>
  <c r="AB9" i="12"/>
  <c r="AB300" i="12" s="1"/>
  <c r="N4" i="7" s="1"/>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AB119" i="12"/>
  <c r="AB120" i="12"/>
  <c r="AB121" i="12"/>
  <c r="AB122" i="12"/>
  <c r="AB123" i="12"/>
  <c r="AB124" i="12"/>
  <c r="AB125" i="12"/>
  <c r="AB126" i="12"/>
  <c r="AB127" i="12"/>
  <c r="AB128" i="12"/>
  <c r="AB129" i="12"/>
  <c r="AB130" i="12"/>
  <c r="AB131" i="12"/>
  <c r="AB132" i="12"/>
  <c r="AB133" i="12"/>
  <c r="AB134" i="12"/>
  <c r="AB135" i="12"/>
  <c r="AB136" i="12"/>
  <c r="AB137" i="12"/>
  <c r="AB138" i="12"/>
  <c r="AB139" i="12"/>
  <c r="AB140" i="12"/>
  <c r="AB141" i="12"/>
  <c r="AB142" i="12"/>
  <c r="AB143" i="12"/>
  <c r="AB144" i="12"/>
  <c r="AB145" i="12"/>
  <c r="AB146" i="12"/>
  <c r="AB147" i="12"/>
  <c r="AB148" i="12"/>
  <c r="AB149" i="12"/>
  <c r="AB150" i="12"/>
  <c r="AB151" i="12"/>
  <c r="AB152" i="12"/>
  <c r="AB153" i="12"/>
  <c r="AB154" i="12"/>
  <c r="AB155" i="12"/>
  <c r="AB156" i="12"/>
  <c r="AB157" i="12"/>
  <c r="AB158" i="12"/>
  <c r="AB159" i="12"/>
  <c r="AB160" i="12"/>
  <c r="AB161" i="12"/>
  <c r="AB162" i="12"/>
  <c r="AB163" i="12"/>
  <c r="AB164" i="12"/>
  <c r="AB165" i="12"/>
  <c r="AB166" i="12"/>
  <c r="AB167" i="12"/>
  <c r="AB168" i="12"/>
  <c r="AB169" i="12"/>
  <c r="AB170" i="12"/>
  <c r="AB171" i="12"/>
  <c r="AB172" i="12"/>
  <c r="AB173" i="12"/>
  <c r="AB174" i="12"/>
  <c r="AB175" i="12"/>
  <c r="AB176" i="12"/>
  <c r="AB177" i="12"/>
  <c r="AB178" i="12"/>
  <c r="AB179" i="12"/>
  <c r="AB180" i="12"/>
  <c r="AB181" i="12"/>
  <c r="AB182" i="12"/>
  <c r="AB183" i="12"/>
  <c r="AB184" i="12"/>
  <c r="AB185" i="12"/>
  <c r="AB186" i="12"/>
  <c r="AB187" i="12"/>
  <c r="AB188" i="12"/>
  <c r="AB189" i="12"/>
  <c r="AB190" i="12"/>
  <c r="AB191" i="12"/>
  <c r="AB192" i="12"/>
  <c r="AB193" i="12"/>
  <c r="AB194" i="12"/>
  <c r="AB195" i="12"/>
  <c r="AB196" i="12"/>
  <c r="AB197" i="12"/>
  <c r="AB198" i="12"/>
  <c r="AB199" i="12"/>
  <c r="AB200" i="12"/>
  <c r="AB201" i="12"/>
  <c r="AB202" i="12"/>
  <c r="AB203" i="12"/>
  <c r="AB204" i="12"/>
  <c r="AB205" i="12"/>
  <c r="AB206" i="12"/>
  <c r="AB207" i="12"/>
  <c r="AB208" i="12"/>
  <c r="AB209" i="12"/>
  <c r="AB210" i="12"/>
  <c r="AB211" i="12"/>
  <c r="AB212" i="12"/>
  <c r="AB213" i="12"/>
  <c r="AB214" i="12"/>
  <c r="AB215" i="12"/>
  <c r="AB216" i="12"/>
  <c r="AB217" i="12"/>
  <c r="AB218" i="12"/>
  <c r="AB219" i="12"/>
  <c r="AB220" i="12"/>
  <c r="AB221" i="12"/>
  <c r="AB222" i="12"/>
  <c r="AB223" i="12"/>
  <c r="AB224" i="12"/>
  <c r="AB225" i="12"/>
  <c r="AB226" i="12"/>
  <c r="AB227" i="12"/>
  <c r="AB228" i="12"/>
  <c r="AB229" i="12"/>
  <c r="AB230" i="12"/>
  <c r="AB231" i="12"/>
  <c r="AB232" i="12"/>
  <c r="AB233" i="12"/>
  <c r="AB234" i="12"/>
  <c r="AB235" i="12"/>
  <c r="AB236" i="12"/>
  <c r="AB237" i="12"/>
  <c r="AB238" i="12"/>
  <c r="AB239" i="12"/>
  <c r="AB240" i="12"/>
  <c r="AB241" i="12"/>
  <c r="AB242" i="12"/>
  <c r="AB243" i="12"/>
  <c r="AB244" i="12"/>
  <c r="AB245" i="12"/>
  <c r="AB246" i="12"/>
  <c r="AB247" i="12"/>
  <c r="AB248" i="12"/>
  <c r="AB249" i="12"/>
  <c r="AB250" i="12"/>
  <c r="AB251" i="12"/>
  <c r="AB252" i="12"/>
  <c r="AB253" i="12"/>
  <c r="AB254" i="12"/>
  <c r="AB255" i="12"/>
  <c r="AB256" i="12"/>
  <c r="AB257" i="12"/>
  <c r="AB258" i="12"/>
  <c r="AB259" i="12"/>
  <c r="AB260" i="12"/>
  <c r="AB261" i="12"/>
  <c r="AB262" i="12"/>
  <c r="AB263" i="12"/>
  <c r="AB264" i="12"/>
  <c r="AB265" i="12"/>
  <c r="AB266" i="12"/>
  <c r="AB267" i="12"/>
  <c r="AB268" i="12"/>
  <c r="AB269" i="12"/>
  <c r="AB270" i="12"/>
  <c r="AB271" i="12"/>
  <c r="AB272" i="12"/>
  <c r="AB273" i="12"/>
  <c r="AB274" i="12"/>
  <c r="AB275" i="12"/>
  <c r="AB276" i="12"/>
  <c r="AB277" i="12"/>
  <c r="AB278" i="12"/>
  <c r="AB279" i="12"/>
  <c r="AB280" i="12"/>
  <c r="AB281" i="12"/>
  <c r="AB282" i="12"/>
  <c r="AB283" i="12"/>
  <c r="AB284" i="12"/>
  <c r="AB285" i="12"/>
  <c r="AB286" i="12"/>
  <c r="AB287" i="12"/>
  <c r="AB288" i="12"/>
  <c r="AB289" i="12"/>
  <c r="AB290" i="12"/>
  <c r="AB291" i="12"/>
  <c r="AB292" i="12"/>
  <c r="AB293" i="12"/>
  <c r="AB294" i="12"/>
  <c r="AB295" i="12"/>
  <c r="AB296" i="12"/>
  <c r="AB297" i="12"/>
  <c r="AB298" i="12"/>
  <c r="AB299"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8" i="12"/>
  <c r="AA149" i="12"/>
  <c r="AA150" i="12"/>
  <c r="AA151" i="12"/>
  <c r="AA152" i="12"/>
  <c r="AA153" i="12"/>
  <c r="AA154" i="12"/>
  <c r="AA155" i="12"/>
  <c r="AA156" i="12"/>
  <c r="AA157" i="12"/>
  <c r="AA158" i="12"/>
  <c r="AA159" i="12"/>
  <c r="AA160" i="12"/>
  <c r="AA161" i="12"/>
  <c r="AA162" i="12"/>
  <c r="AA163" i="12"/>
  <c r="AA164" i="12"/>
  <c r="AA165" i="12"/>
  <c r="AA166" i="12"/>
  <c r="AA167" i="12"/>
  <c r="AA168" i="12"/>
  <c r="AA169" i="12"/>
  <c r="AA170" i="12"/>
  <c r="AA171" i="12"/>
  <c r="AA172" i="12"/>
  <c r="AA173" i="12"/>
  <c r="AA174" i="12"/>
  <c r="AA175" i="12"/>
  <c r="AA176" i="12"/>
  <c r="AA177" i="12"/>
  <c r="AA178" i="12"/>
  <c r="AA179" i="12"/>
  <c r="AA180" i="12"/>
  <c r="AA181" i="12"/>
  <c r="AA182" i="12"/>
  <c r="AA183" i="12"/>
  <c r="AA184" i="12"/>
  <c r="AA185" i="12"/>
  <c r="AA186" i="12"/>
  <c r="AA187" i="12"/>
  <c r="AA188" i="12"/>
  <c r="AA189" i="12"/>
  <c r="AA190" i="12"/>
  <c r="AA191" i="12"/>
  <c r="AA192" i="12"/>
  <c r="AA193" i="12"/>
  <c r="AA194" i="12"/>
  <c r="AA195" i="12"/>
  <c r="AA196" i="12"/>
  <c r="AA197" i="12"/>
  <c r="AA198" i="12"/>
  <c r="AA199" i="12"/>
  <c r="AA200" i="12"/>
  <c r="AA201" i="12"/>
  <c r="AA202" i="12"/>
  <c r="AA203" i="12"/>
  <c r="AA204" i="12"/>
  <c r="AA205" i="12"/>
  <c r="AA206" i="12"/>
  <c r="AA207" i="12"/>
  <c r="AA208" i="12"/>
  <c r="AA209" i="12"/>
  <c r="AA210" i="12"/>
  <c r="AA211" i="12"/>
  <c r="AA212" i="12"/>
  <c r="AA213" i="12"/>
  <c r="AA214" i="12"/>
  <c r="AA215" i="12"/>
  <c r="AA216" i="12"/>
  <c r="AA217" i="12"/>
  <c r="AA218" i="12"/>
  <c r="AA219" i="12"/>
  <c r="AA220" i="12"/>
  <c r="AA221" i="12"/>
  <c r="AA222" i="12"/>
  <c r="AA223" i="12"/>
  <c r="AA224" i="12"/>
  <c r="AA225" i="12"/>
  <c r="AA226" i="12"/>
  <c r="AA227" i="12"/>
  <c r="AA228" i="12"/>
  <c r="AA229" i="12"/>
  <c r="AA230" i="12"/>
  <c r="AA231" i="12"/>
  <c r="AA232" i="12"/>
  <c r="AA233" i="12"/>
  <c r="AA234" i="12"/>
  <c r="AA235" i="12"/>
  <c r="AA236" i="12"/>
  <c r="AA237" i="12"/>
  <c r="AA238" i="12"/>
  <c r="AA239" i="12"/>
  <c r="AA240" i="12"/>
  <c r="AA241" i="12"/>
  <c r="AA242" i="12"/>
  <c r="AA243" i="12"/>
  <c r="AA244" i="12"/>
  <c r="AA245" i="12"/>
  <c r="AA246" i="12"/>
  <c r="AA247" i="12"/>
  <c r="AA248" i="12"/>
  <c r="AA249" i="12"/>
  <c r="AA250" i="12"/>
  <c r="AA251" i="12"/>
  <c r="AA252" i="12"/>
  <c r="AA253" i="12"/>
  <c r="AA254" i="12"/>
  <c r="AA255" i="12"/>
  <c r="AA256" i="12"/>
  <c r="AA257" i="12"/>
  <c r="AA258" i="12"/>
  <c r="AA259" i="12"/>
  <c r="AA260" i="12"/>
  <c r="AA261" i="12"/>
  <c r="AA262" i="12"/>
  <c r="AA263" i="12"/>
  <c r="AA264" i="12"/>
  <c r="AA265" i="12"/>
  <c r="AA266" i="12"/>
  <c r="AA267" i="12"/>
  <c r="AA268" i="12"/>
  <c r="AA269" i="12"/>
  <c r="AA270" i="12"/>
  <c r="AA271" i="12"/>
  <c r="AA272" i="12"/>
  <c r="AA273" i="12"/>
  <c r="AA274" i="12"/>
  <c r="AA275" i="12"/>
  <c r="AA276" i="12"/>
  <c r="AA277" i="12"/>
  <c r="AA278" i="12"/>
  <c r="AA279" i="12"/>
  <c r="AA280" i="12"/>
  <c r="AA281" i="12"/>
  <c r="AA282" i="12"/>
  <c r="AA283" i="12"/>
  <c r="AA284" i="12"/>
  <c r="AA285" i="12"/>
  <c r="AA286" i="12"/>
  <c r="AA287" i="12"/>
  <c r="AA288" i="12"/>
  <c r="AA289" i="12"/>
  <c r="AA290" i="12"/>
  <c r="AA291" i="12"/>
  <c r="AA292" i="12"/>
  <c r="AA293" i="12"/>
  <c r="AA294" i="12"/>
  <c r="AA295" i="12"/>
  <c r="AA296" i="12"/>
  <c r="AA297" i="12"/>
  <c r="AA298" i="12"/>
  <c r="AA299" i="12"/>
  <c r="AA7" i="12"/>
  <c r="AF6" i="12"/>
  <c r="AE6" i="12"/>
  <c r="AD6" i="12"/>
  <c r="AB6" i="12"/>
  <c r="AC6" i="12"/>
  <c r="AA6" i="12"/>
  <c r="L300" i="12"/>
  <c r="O9" i="7" s="1"/>
  <c r="F300" i="12"/>
  <c r="M4" i="7"/>
  <c r="G300" i="12"/>
  <c r="M5" i="7" s="1"/>
  <c r="H300" i="12"/>
  <c r="M6" i="7" s="1"/>
  <c r="I300" i="12"/>
  <c r="M7" i="7" s="1"/>
  <c r="J300" i="12"/>
  <c r="M8" i="7"/>
  <c r="E300" i="12"/>
  <c r="M3" i="7" s="1"/>
  <c r="L5" i="8"/>
  <c r="U7" i="8"/>
  <c r="F13" i="8"/>
  <c r="F12" i="8" s="1"/>
  <c r="D293" i="7" s="1"/>
  <c r="I13" i="8"/>
  <c r="I12" i="8" s="1"/>
  <c r="L13" i="8"/>
  <c r="L12" i="8" s="1"/>
  <c r="O14" i="8"/>
  <c r="D331" i="7" s="1"/>
  <c r="O15" i="8"/>
  <c r="O16" i="8"/>
  <c r="D333" i="7" s="1"/>
  <c r="O17" i="8"/>
  <c r="D334" i="7" s="1"/>
  <c r="O18" i="8"/>
  <c r="D335" i="7" s="1"/>
  <c r="F19" i="8"/>
  <c r="I19" i="8"/>
  <c r="L19" i="8"/>
  <c r="D324" i="7" s="1"/>
  <c r="O20" i="8"/>
  <c r="D337" i="7" s="1"/>
  <c r="O21" i="8"/>
  <c r="D338" i="7" s="1"/>
  <c r="O22" i="8"/>
  <c r="D339" i="7" s="1"/>
  <c r="E26" i="8"/>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N6" i="13"/>
  <c r="O6" i="13"/>
  <c r="R6" i="13"/>
  <c r="S6" i="13"/>
  <c r="T6" i="13"/>
  <c r="U6" i="13"/>
  <c r="N7" i="13"/>
  <c r="O7" i="13"/>
  <c r="R7" i="13"/>
  <c r="S7" i="13"/>
  <c r="T7" i="13"/>
  <c r="U7" i="13"/>
  <c r="N8" i="13"/>
  <c r="O8" i="13"/>
  <c r="R8" i="13"/>
  <c r="S8" i="13"/>
  <c r="T8" i="13"/>
  <c r="U8" i="13"/>
  <c r="N9" i="13"/>
  <c r="O9" i="13"/>
  <c r="R9" i="13"/>
  <c r="S9" i="13"/>
  <c r="T9" i="13"/>
  <c r="U9" i="13"/>
  <c r="N10" i="13"/>
  <c r="O10" i="13"/>
  <c r="R10" i="13"/>
  <c r="S10" i="13"/>
  <c r="T10" i="13"/>
  <c r="U10" i="13"/>
  <c r="N11" i="13"/>
  <c r="O11" i="13"/>
  <c r="R11" i="13"/>
  <c r="S11" i="13"/>
  <c r="T11" i="13"/>
  <c r="U11" i="13"/>
  <c r="N12" i="13"/>
  <c r="O12" i="13"/>
  <c r="R12" i="13"/>
  <c r="S12" i="13"/>
  <c r="T12" i="13"/>
  <c r="U12" i="13"/>
  <c r="N13" i="13"/>
  <c r="O13" i="13"/>
  <c r="R13" i="13"/>
  <c r="S13" i="13"/>
  <c r="T13" i="13"/>
  <c r="U13" i="13"/>
  <c r="N14" i="13"/>
  <c r="O14" i="13"/>
  <c r="R14" i="13"/>
  <c r="S14" i="13"/>
  <c r="T14" i="13"/>
  <c r="U14" i="13"/>
  <c r="N15" i="13"/>
  <c r="O15" i="13"/>
  <c r="R15" i="13"/>
  <c r="S15" i="13"/>
  <c r="T15" i="13"/>
  <c r="U15" i="13"/>
  <c r="N16" i="13"/>
  <c r="O16" i="13"/>
  <c r="R16" i="13"/>
  <c r="S16" i="13"/>
  <c r="T16" i="13"/>
  <c r="U16" i="13"/>
  <c r="N17" i="13"/>
  <c r="O17" i="13"/>
  <c r="R17" i="13"/>
  <c r="S17" i="13"/>
  <c r="T17" i="13"/>
  <c r="U17" i="13"/>
  <c r="N18" i="13"/>
  <c r="O18" i="13"/>
  <c r="R18" i="13"/>
  <c r="S18" i="13"/>
  <c r="T18" i="13"/>
  <c r="U18" i="13"/>
  <c r="N19" i="13"/>
  <c r="O19" i="13"/>
  <c r="R19" i="13"/>
  <c r="S19" i="13"/>
  <c r="T19" i="13"/>
  <c r="U19" i="13"/>
  <c r="N20" i="13"/>
  <c r="O20" i="13"/>
  <c r="R20" i="13"/>
  <c r="S20" i="13"/>
  <c r="T20" i="13"/>
  <c r="U20" i="13"/>
  <c r="N21" i="13"/>
  <c r="O21" i="13"/>
  <c r="R21" i="13"/>
  <c r="S21" i="13"/>
  <c r="T21" i="13"/>
  <c r="U21" i="13"/>
  <c r="N22" i="13"/>
  <c r="O22" i="13"/>
  <c r="R22" i="13"/>
  <c r="S22" i="13"/>
  <c r="T22" i="13"/>
  <c r="U22" i="13"/>
  <c r="N23" i="13"/>
  <c r="O23" i="13"/>
  <c r="R23" i="13"/>
  <c r="S23" i="13"/>
  <c r="T23" i="13"/>
  <c r="U23" i="13"/>
  <c r="N24" i="13"/>
  <c r="O24" i="13"/>
  <c r="R24" i="13"/>
  <c r="S24" i="13"/>
  <c r="T24" i="13"/>
  <c r="U24" i="13"/>
  <c r="N25" i="13"/>
  <c r="O25" i="13"/>
  <c r="R25" i="13"/>
  <c r="S25" i="13"/>
  <c r="T25" i="13"/>
  <c r="U25" i="13"/>
  <c r="N26" i="13"/>
  <c r="O26" i="13"/>
  <c r="R26" i="13"/>
  <c r="S26" i="13"/>
  <c r="T26" i="13"/>
  <c r="U26" i="13"/>
  <c r="N27" i="13"/>
  <c r="O27" i="13"/>
  <c r="R27" i="13"/>
  <c r="S27" i="13"/>
  <c r="T27" i="13"/>
  <c r="U27" i="13"/>
  <c r="N28" i="13"/>
  <c r="O28" i="13"/>
  <c r="R28" i="13"/>
  <c r="S28" i="13"/>
  <c r="T28" i="13"/>
  <c r="U28" i="13"/>
  <c r="N29" i="13"/>
  <c r="O29" i="13"/>
  <c r="R29" i="13"/>
  <c r="S29" i="13"/>
  <c r="T29" i="13"/>
  <c r="U29" i="13"/>
  <c r="N30" i="13"/>
  <c r="O30" i="13"/>
  <c r="R30" i="13"/>
  <c r="S30" i="13"/>
  <c r="T30" i="13"/>
  <c r="U30" i="13"/>
  <c r="N31" i="13"/>
  <c r="O31" i="13"/>
  <c r="R31" i="13"/>
  <c r="S31" i="13"/>
  <c r="T31" i="13"/>
  <c r="U31" i="13"/>
  <c r="N32" i="13"/>
  <c r="O32" i="13"/>
  <c r="R32" i="13"/>
  <c r="S32" i="13"/>
  <c r="T32" i="13"/>
  <c r="U32" i="13"/>
  <c r="N33" i="13"/>
  <c r="O33" i="13"/>
  <c r="R33" i="13"/>
  <c r="S33" i="13"/>
  <c r="T33" i="13"/>
  <c r="U33" i="13"/>
  <c r="N34" i="13"/>
  <c r="O34" i="13"/>
  <c r="R34" i="13"/>
  <c r="S34" i="13"/>
  <c r="T34" i="13"/>
  <c r="U34" i="13"/>
  <c r="N35" i="13"/>
  <c r="O35" i="13"/>
  <c r="R35" i="13"/>
  <c r="S35" i="13"/>
  <c r="T35" i="13"/>
  <c r="U35" i="13"/>
  <c r="N36" i="13"/>
  <c r="O36" i="13"/>
  <c r="R36" i="13"/>
  <c r="S36" i="13"/>
  <c r="T36" i="13"/>
  <c r="U36" i="13"/>
  <c r="N37" i="13"/>
  <c r="O37" i="13"/>
  <c r="R37" i="13"/>
  <c r="S37" i="13"/>
  <c r="T37" i="13"/>
  <c r="U37" i="13"/>
  <c r="N38" i="13"/>
  <c r="O38" i="13"/>
  <c r="R38" i="13"/>
  <c r="S38" i="13"/>
  <c r="T38" i="13"/>
  <c r="U38" i="13"/>
  <c r="N39" i="13"/>
  <c r="O39" i="13"/>
  <c r="R39" i="13"/>
  <c r="S39" i="13"/>
  <c r="T39" i="13"/>
  <c r="U39" i="13"/>
  <c r="N40" i="13"/>
  <c r="O40" i="13"/>
  <c r="R40" i="13"/>
  <c r="S40" i="13"/>
  <c r="T40" i="13"/>
  <c r="U40" i="13"/>
  <c r="N41" i="13"/>
  <c r="O41" i="13"/>
  <c r="R41" i="13"/>
  <c r="S41" i="13"/>
  <c r="T41" i="13"/>
  <c r="U41" i="13"/>
  <c r="N42" i="13"/>
  <c r="O42" i="13"/>
  <c r="R42" i="13"/>
  <c r="S42" i="13"/>
  <c r="T42" i="13"/>
  <c r="U42" i="13"/>
  <c r="N43" i="13"/>
  <c r="O43" i="13"/>
  <c r="R43" i="13"/>
  <c r="S43" i="13"/>
  <c r="T43" i="13"/>
  <c r="U43" i="13"/>
  <c r="N44" i="13"/>
  <c r="O44" i="13"/>
  <c r="R44" i="13"/>
  <c r="S44" i="13"/>
  <c r="T44" i="13"/>
  <c r="U44" i="13"/>
  <c r="N45" i="13"/>
  <c r="O45" i="13"/>
  <c r="R45" i="13"/>
  <c r="S45" i="13"/>
  <c r="T45" i="13"/>
  <c r="U45" i="13"/>
  <c r="N46" i="13"/>
  <c r="O46" i="13"/>
  <c r="R46" i="13"/>
  <c r="S46" i="13"/>
  <c r="T46" i="13"/>
  <c r="U46" i="13"/>
  <c r="N47" i="13"/>
  <c r="O47" i="13"/>
  <c r="R47" i="13"/>
  <c r="S47" i="13"/>
  <c r="T47" i="13"/>
  <c r="U47" i="13"/>
  <c r="N48" i="13"/>
  <c r="O48" i="13"/>
  <c r="R48" i="13"/>
  <c r="S48" i="13"/>
  <c r="T48" i="13"/>
  <c r="U48" i="13"/>
  <c r="C15" i="9"/>
  <c r="C19" i="9"/>
  <c r="L3" i="7" s="1"/>
  <c r="F15" i="9"/>
  <c r="F19" i="9" s="1"/>
  <c r="I15" i="9"/>
  <c r="I19" i="9" s="1"/>
  <c r="L15" i="9"/>
  <c r="L19" i="9" s="1"/>
  <c r="K25" i="9" s="1"/>
  <c r="O15" i="9"/>
  <c r="O19" i="9" s="1"/>
  <c r="R15" i="9"/>
  <c r="R19" i="9" s="1"/>
  <c r="L8" i="7" s="1"/>
  <c r="B31" i="9"/>
  <c r="E31" i="9"/>
  <c r="H31" i="9"/>
  <c r="K31" i="9"/>
  <c r="N31" i="9"/>
  <c r="Q31" i="9"/>
  <c r="B35" i="9"/>
  <c r="E35" i="9"/>
  <c r="H35" i="9"/>
  <c r="K35" i="9"/>
  <c r="N35" i="9"/>
  <c r="Q35" i="9"/>
  <c r="C15" i="10"/>
  <c r="C19" i="10" s="1"/>
  <c r="B25" i="10" s="1"/>
  <c r="F15" i="10"/>
  <c r="I15" i="10"/>
  <c r="I19" i="10" s="1"/>
  <c r="L15" i="10"/>
  <c r="D153" i="7" s="1"/>
  <c r="O15" i="10"/>
  <c r="O19" i="10" s="1"/>
  <c r="R15" i="10"/>
  <c r="R19" i="10" s="1"/>
  <c r="B31" i="10"/>
  <c r="E31" i="10"/>
  <c r="H31" i="10"/>
  <c r="K31" i="10"/>
  <c r="N31" i="10"/>
  <c r="Q31" i="10"/>
  <c r="B34" i="10"/>
  <c r="E34" i="10"/>
  <c r="H34" i="10"/>
  <c r="K34" i="10"/>
  <c r="N34" i="10"/>
  <c r="Q34" i="10"/>
  <c r="C15" i="11"/>
  <c r="C19" i="11" s="1"/>
  <c r="F15" i="11"/>
  <c r="F19" i="11" s="1"/>
  <c r="E25" i="11" s="1"/>
  <c r="I15" i="11"/>
  <c r="I19" i="11" s="1"/>
  <c r="L15" i="11"/>
  <c r="L19" i="11" s="1"/>
  <c r="D61" i="7" s="1"/>
  <c r="O15" i="11"/>
  <c r="O19" i="11" s="1"/>
  <c r="R15" i="11"/>
  <c r="R19" i="11" s="1"/>
  <c r="Q25" i="11" s="1"/>
  <c r="B31" i="11"/>
  <c r="E31" i="11"/>
  <c r="H31" i="11"/>
  <c r="K31" i="11"/>
  <c r="N31" i="11"/>
  <c r="Q31" i="11"/>
  <c r="B34" i="11"/>
  <c r="E34" i="11"/>
  <c r="H34" i="11"/>
  <c r="K34" i="11"/>
  <c r="N34" i="11"/>
  <c r="Q34" i="11"/>
  <c r="K1" i="18"/>
  <c r="E11" i="18" s="1"/>
  <c r="D17" i="21" s="1"/>
  <c r="D5" i="17"/>
  <c r="D23" i="17" s="1"/>
  <c r="J14" i="16" s="1"/>
  <c r="H15" i="17"/>
  <c r="J15" i="17"/>
  <c r="J4" i="16" s="1"/>
  <c r="R30" i="17"/>
  <c r="F31" i="17" s="1"/>
  <c r="L59" i="17"/>
  <c r="L60" i="17"/>
  <c r="E5" i="4"/>
  <c r="D6" i="4"/>
  <c r="I6" i="4"/>
  <c r="I3" i="16" s="1"/>
  <c r="D7" i="4"/>
  <c r="C4" i="16" s="1"/>
  <c r="H7" i="4"/>
  <c r="I22" i="16" s="1"/>
  <c r="S7" i="4"/>
  <c r="D8" i="4"/>
  <c r="C6" i="16"/>
  <c r="H8" i="4"/>
  <c r="I24" i="16" s="1"/>
  <c r="D9" i="4"/>
  <c r="C7" i="16" s="1"/>
  <c r="H9" i="4"/>
  <c r="I25" i="16" s="1"/>
  <c r="D10" i="4"/>
  <c r="C8" i="16" s="1"/>
  <c r="H10" i="4"/>
  <c r="I26" i="16" s="1"/>
  <c r="D11" i="4"/>
  <c r="C9" i="16" s="1"/>
  <c r="H11" i="4"/>
  <c r="I27" i="16" s="1"/>
  <c r="D12" i="4"/>
  <c r="C11" i="16" s="1"/>
  <c r="D13" i="4"/>
  <c r="C12" i="16" s="1"/>
  <c r="J13" i="4"/>
  <c r="L13" i="4" s="1"/>
  <c r="D14" i="4"/>
  <c r="C13" i="16" s="1"/>
  <c r="J14" i="4"/>
  <c r="D15" i="4"/>
  <c r="C15" i="16" s="1"/>
  <c r="H15" i="4"/>
  <c r="J15" i="4"/>
  <c r="I4" i="16" s="1"/>
  <c r="D16" i="4"/>
  <c r="C16" i="16" s="1"/>
  <c r="D17" i="4"/>
  <c r="C17" i="16" s="1"/>
  <c r="D18" i="4"/>
  <c r="C18" i="16" s="1"/>
  <c r="D21" i="4"/>
  <c r="I10" i="16" s="1"/>
  <c r="H21" i="4"/>
  <c r="T21" i="4" s="1"/>
  <c r="I21" i="4"/>
  <c r="J21" i="4"/>
  <c r="V21" i="4" s="1"/>
  <c r="K21" i="4"/>
  <c r="W21" i="4" s="1"/>
  <c r="D22" i="4"/>
  <c r="I12" i="16" s="1"/>
  <c r="H22" i="4"/>
  <c r="T22" i="4" s="1"/>
  <c r="I22" i="4"/>
  <c r="U22" i="4" s="1"/>
  <c r="J22" i="4"/>
  <c r="V22" i="4" s="1"/>
  <c r="K22" i="4"/>
  <c r="W22" i="4" s="1"/>
  <c r="D23" i="4"/>
  <c r="I14" i="16" s="1"/>
  <c r="H23" i="4"/>
  <c r="T23" i="4" s="1"/>
  <c r="I23" i="4"/>
  <c r="U23" i="4" s="1"/>
  <c r="J23" i="4"/>
  <c r="V23" i="4" s="1"/>
  <c r="K23" i="4"/>
  <c r="W23" i="4" s="1"/>
  <c r="S34" i="4"/>
  <c r="D35" i="4"/>
  <c r="I35" i="4"/>
  <c r="C24" i="16" s="1"/>
  <c r="D36" i="4"/>
  <c r="C25" i="16" s="1"/>
  <c r="D37" i="4"/>
  <c r="C26" i="16" s="1"/>
  <c r="I37" i="4"/>
  <c r="C33" i="16" s="1"/>
  <c r="D38" i="4"/>
  <c r="C28" i="16" s="1"/>
  <c r="I38" i="4"/>
  <c r="C34" i="16" s="1"/>
  <c r="D39" i="4"/>
  <c r="C29" i="16" s="1"/>
  <c r="I39" i="4"/>
  <c r="C35" i="16" s="1"/>
  <c r="D40" i="4"/>
  <c r="C30" i="16" s="1"/>
  <c r="I40" i="4"/>
  <c r="C36" i="16" s="1"/>
  <c r="D41" i="4"/>
  <c r="C31" i="16" s="1"/>
  <c r="S42" i="4"/>
  <c r="D43" i="4"/>
  <c r="C40" i="16" s="1"/>
  <c r="I43" i="4"/>
  <c r="C42" i="16" s="1"/>
  <c r="D44" i="4"/>
  <c r="C43" i="16" s="1"/>
  <c r="D45" i="4"/>
  <c r="C44" i="16" s="1"/>
  <c r="I45" i="4"/>
  <c r="C51" i="16" s="1"/>
  <c r="D46" i="4"/>
  <c r="C46" i="16"/>
  <c r="I46" i="4"/>
  <c r="C52" i="16" s="1"/>
  <c r="D47" i="4"/>
  <c r="C47" i="16" s="1"/>
  <c r="I47" i="4"/>
  <c r="C53" i="16" s="1"/>
  <c r="D48" i="4"/>
  <c r="C48" i="16" s="1"/>
  <c r="I48" i="4"/>
  <c r="C54" i="16" s="1"/>
  <c r="D49" i="4"/>
  <c r="C49" i="16" s="1"/>
  <c r="S50" i="4"/>
  <c r="D51" i="4"/>
  <c r="I40" i="16" s="1"/>
  <c r="I51" i="4"/>
  <c r="I42" i="16" s="1"/>
  <c r="D52" i="4"/>
  <c r="I43" i="16" s="1"/>
  <c r="D53" i="4"/>
  <c r="I44" i="16" s="1"/>
  <c r="I53" i="4"/>
  <c r="I51" i="16" s="1"/>
  <c r="D54" i="4"/>
  <c r="I46" i="16" s="1"/>
  <c r="I54" i="4"/>
  <c r="I52" i="16" s="1"/>
  <c r="D55" i="4"/>
  <c r="I47" i="16" s="1"/>
  <c r="I55" i="4"/>
  <c r="I53" i="16" s="1"/>
  <c r="D56" i="4"/>
  <c r="I48" i="16" s="1"/>
  <c r="I56" i="4"/>
  <c r="I54" i="16" s="1"/>
  <c r="D57" i="4"/>
  <c r="I49" i="16" s="1"/>
  <c r="S58" i="4"/>
  <c r="D59" i="4"/>
  <c r="A393" i="24" s="1"/>
  <c r="I59" i="4"/>
  <c r="C61" i="16" s="1"/>
  <c r="L59" i="4"/>
  <c r="D60" i="4"/>
  <c r="C62" i="16" s="1"/>
  <c r="L60" i="4"/>
  <c r="D61" i="4"/>
  <c r="C63" i="16" s="1"/>
  <c r="I61" i="4"/>
  <c r="C70" i="16" s="1"/>
  <c r="D62" i="4"/>
  <c r="C65" i="16" s="1"/>
  <c r="I62" i="4"/>
  <c r="C71" i="16" s="1"/>
  <c r="D63" i="4"/>
  <c r="C66" i="16" s="1"/>
  <c r="I63" i="4"/>
  <c r="C72" i="16" s="1"/>
  <c r="D64" i="4"/>
  <c r="C67" i="16" s="1"/>
  <c r="I64" i="4"/>
  <c r="C73" i="16" s="1"/>
  <c r="D65" i="4"/>
  <c r="C68" i="16" s="1"/>
  <c r="A2" i="7"/>
  <c r="C2" i="7"/>
  <c r="D2" i="7"/>
  <c r="F2" i="7"/>
  <c r="A3" i="7"/>
  <c r="C3" i="7"/>
  <c r="D3" i="7"/>
  <c r="F3" i="7"/>
  <c r="A4" i="7"/>
  <c r="C4" i="7"/>
  <c r="D4" i="7"/>
  <c r="F4" i="7"/>
  <c r="A5" i="7"/>
  <c r="C5" i="7"/>
  <c r="D5" i="7"/>
  <c r="F5" i="7"/>
  <c r="A6" i="7"/>
  <c r="C6" i="7"/>
  <c r="D6" i="7"/>
  <c r="F6" i="7"/>
  <c r="A7" i="7"/>
  <c r="C7" i="7"/>
  <c r="D7" i="7"/>
  <c r="F7" i="7"/>
  <c r="A8" i="7"/>
  <c r="C8" i="7"/>
  <c r="D8" i="7"/>
  <c r="F8" i="7"/>
  <c r="A9" i="7"/>
  <c r="C9" i="7"/>
  <c r="D9" i="7"/>
  <c r="F9" i="7"/>
  <c r="A10" i="7"/>
  <c r="C10" i="7"/>
  <c r="D10" i="7"/>
  <c r="F10" i="7"/>
  <c r="A11" i="7"/>
  <c r="C11" i="7"/>
  <c r="D11" i="7"/>
  <c r="F11" i="7"/>
  <c r="A12" i="7"/>
  <c r="C12" i="7"/>
  <c r="F12" i="7"/>
  <c r="A13" i="7"/>
  <c r="C13" i="7"/>
  <c r="D13" i="7"/>
  <c r="F13" i="7"/>
  <c r="A15" i="7"/>
  <c r="C15" i="7"/>
  <c r="D15" i="7"/>
  <c r="F15" i="7"/>
  <c r="A16" i="7"/>
  <c r="C16" i="7"/>
  <c r="F16" i="7"/>
  <c r="A17" i="7"/>
  <c r="C17" i="7"/>
  <c r="D17" i="7"/>
  <c r="F17" i="7"/>
  <c r="A18" i="7"/>
  <c r="C18" i="7"/>
  <c r="D18" i="7"/>
  <c r="F18" i="7"/>
  <c r="A19" i="7"/>
  <c r="C19" i="7"/>
  <c r="D19" i="7"/>
  <c r="F19" i="7"/>
  <c r="A20" i="7"/>
  <c r="C20" i="7"/>
  <c r="D20" i="7"/>
  <c r="F20" i="7"/>
  <c r="A21" i="7"/>
  <c r="C21" i="7"/>
  <c r="D21" i="7"/>
  <c r="F21" i="7"/>
  <c r="A22" i="7"/>
  <c r="C22" i="7"/>
  <c r="D22" i="7"/>
  <c r="F22" i="7"/>
  <c r="A23" i="7"/>
  <c r="C23" i="7"/>
  <c r="D23" i="7"/>
  <c r="F23" i="7"/>
  <c r="A24" i="7"/>
  <c r="C24" i="7"/>
  <c r="D24" i="7"/>
  <c r="F24" i="7"/>
  <c r="A25" i="7"/>
  <c r="C25" i="7"/>
  <c r="D25" i="7"/>
  <c r="F25" i="7"/>
  <c r="A26" i="7"/>
  <c r="C26" i="7"/>
  <c r="D26" i="7"/>
  <c r="F26" i="7"/>
  <c r="A27" i="7"/>
  <c r="C27" i="7"/>
  <c r="F27" i="7"/>
  <c r="A28" i="7"/>
  <c r="C28" i="7"/>
  <c r="D28" i="7"/>
  <c r="F28" i="7"/>
  <c r="A30" i="7"/>
  <c r="C30" i="7"/>
  <c r="D30" i="7"/>
  <c r="F30" i="7"/>
  <c r="A31" i="7"/>
  <c r="C31" i="7"/>
  <c r="F31" i="7"/>
  <c r="A32" i="7"/>
  <c r="C32" i="7"/>
  <c r="D32" i="7"/>
  <c r="F32" i="7"/>
  <c r="A33" i="7"/>
  <c r="C33" i="7"/>
  <c r="D33" i="7"/>
  <c r="F33" i="7"/>
  <c r="A34" i="7"/>
  <c r="C34" i="7"/>
  <c r="D34" i="7"/>
  <c r="F34" i="7"/>
  <c r="A35" i="7"/>
  <c r="C35" i="7"/>
  <c r="D35" i="7"/>
  <c r="F35" i="7"/>
  <c r="A36" i="7"/>
  <c r="C36" i="7"/>
  <c r="D36" i="7"/>
  <c r="F36" i="7"/>
  <c r="A37" i="7"/>
  <c r="C37" i="7"/>
  <c r="D37" i="7"/>
  <c r="F37" i="7"/>
  <c r="A38" i="7"/>
  <c r="C38" i="7"/>
  <c r="D38" i="7"/>
  <c r="F38" i="7"/>
  <c r="A39" i="7"/>
  <c r="C39" i="7"/>
  <c r="D39" i="7"/>
  <c r="F39" i="7"/>
  <c r="A40" i="7"/>
  <c r="C40" i="7"/>
  <c r="D40" i="7"/>
  <c r="F40" i="7"/>
  <c r="A41" i="7"/>
  <c r="C41" i="7"/>
  <c r="D41" i="7"/>
  <c r="F41" i="7"/>
  <c r="A42" i="7"/>
  <c r="C42" i="7"/>
  <c r="F42" i="7"/>
  <c r="A43" i="7"/>
  <c r="C43" i="7"/>
  <c r="D43" i="7"/>
  <c r="F43" i="7"/>
  <c r="A45" i="7"/>
  <c r="C45" i="7"/>
  <c r="D45" i="7"/>
  <c r="F45" i="7"/>
  <c r="A46" i="7"/>
  <c r="C46" i="7"/>
  <c r="F46" i="7"/>
  <c r="A47" i="7"/>
  <c r="C47" i="7"/>
  <c r="D47" i="7"/>
  <c r="F47" i="7"/>
  <c r="A48" i="7"/>
  <c r="C48" i="7"/>
  <c r="D48" i="7"/>
  <c r="F48" i="7"/>
  <c r="A49" i="7"/>
  <c r="C49" i="7"/>
  <c r="D49" i="7"/>
  <c r="F49" i="7"/>
  <c r="A50" i="7"/>
  <c r="C50" i="7"/>
  <c r="D50" i="7"/>
  <c r="F50" i="7"/>
  <c r="A51" i="7"/>
  <c r="C51" i="7"/>
  <c r="D51" i="7"/>
  <c r="F51" i="7"/>
  <c r="A52" i="7"/>
  <c r="C52" i="7"/>
  <c r="D52" i="7"/>
  <c r="F52" i="7"/>
  <c r="A53" i="7"/>
  <c r="C53" i="7"/>
  <c r="D53" i="7"/>
  <c r="F53" i="7"/>
  <c r="A54" i="7"/>
  <c r="C54" i="7"/>
  <c r="D54" i="7"/>
  <c r="F54" i="7"/>
  <c r="A55" i="7"/>
  <c r="C55" i="7"/>
  <c r="D55" i="7"/>
  <c r="F55" i="7"/>
  <c r="A56" i="7"/>
  <c r="C56" i="7"/>
  <c r="D56" i="7"/>
  <c r="F56" i="7"/>
  <c r="A57" i="7"/>
  <c r="C57" i="7"/>
  <c r="D57" i="7"/>
  <c r="F57" i="7"/>
  <c r="A58" i="7"/>
  <c r="C58" i="7"/>
  <c r="D58" i="7"/>
  <c r="F58" i="7"/>
  <c r="A60" i="7"/>
  <c r="C60" i="7"/>
  <c r="D60" i="7"/>
  <c r="F60" i="7"/>
  <c r="A61" i="7"/>
  <c r="C61" i="7"/>
  <c r="F61" i="7"/>
  <c r="A62" i="7"/>
  <c r="C62" i="7"/>
  <c r="D62" i="7"/>
  <c r="F62" i="7"/>
  <c r="A63" i="7"/>
  <c r="C63" i="7"/>
  <c r="D63" i="7"/>
  <c r="F63" i="7"/>
  <c r="A64" i="7"/>
  <c r="C64" i="7"/>
  <c r="D64" i="7"/>
  <c r="F64" i="7"/>
  <c r="A65" i="7"/>
  <c r="C65" i="7"/>
  <c r="D65" i="7"/>
  <c r="F65" i="7"/>
  <c r="A66" i="7"/>
  <c r="C66" i="7"/>
  <c r="D66" i="7"/>
  <c r="F66" i="7"/>
  <c r="A67" i="7"/>
  <c r="C67" i="7"/>
  <c r="D67" i="7"/>
  <c r="F67" i="7"/>
  <c r="A68" i="7"/>
  <c r="C68" i="7"/>
  <c r="D68" i="7"/>
  <c r="F68" i="7"/>
  <c r="A69" i="7"/>
  <c r="C69" i="7"/>
  <c r="D69" i="7"/>
  <c r="F69" i="7"/>
  <c r="A70" i="7"/>
  <c r="C70" i="7"/>
  <c r="D70" i="7"/>
  <c r="F70" i="7"/>
  <c r="A71" i="7"/>
  <c r="C71" i="7"/>
  <c r="D71" i="7"/>
  <c r="F71" i="7"/>
  <c r="A72" i="7"/>
  <c r="C72" i="7"/>
  <c r="D72" i="7"/>
  <c r="F72" i="7"/>
  <c r="A73" i="7"/>
  <c r="C73" i="7"/>
  <c r="D73" i="7"/>
  <c r="F73" i="7"/>
  <c r="A75" i="7"/>
  <c r="C75" i="7"/>
  <c r="D75" i="7"/>
  <c r="F75" i="7"/>
  <c r="A76" i="7"/>
  <c r="C76" i="7"/>
  <c r="F76" i="7"/>
  <c r="A77" i="7"/>
  <c r="C77" i="7"/>
  <c r="D77" i="7"/>
  <c r="F77" i="7"/>
  <c r="A78" i="7"/>
  <c r="C78" i="7"/>
  <c r="D78" i="7"/>
  <c r="F78" i="7"/>
  <c r="A79" i="7"/>
  <c r="C79" i="7"/>
  <c r="D79" i="7"/>
  <c r="F79" i="7"/>
  <c r="A80" i="7"/>
  <c r="C80" i="7"/>
  <c r="D80" i="7"/>
  <c r="F80" i="7"/>
  <c r="A81" i="7"/>
  <c r="C81" i="7"/>
  <c r="D81" i="7"/>
  <c r="F81" i="7"/>
  <c r="A82" i="7"/>
  <c r="C82" i="7"/>
  <c r="D82" i="7"/>
  <c r="F82" i="7"/>
  <c r="A83" i="7"/>
  <c r="C83" i="7"/>
  <c r="D83" i="7"/>
  <c r="F83" i="7"/>
  <c r="A84" i="7"/>
  <c r="C84" i="7"/>
  <c r="D84" i="7"/>
  <c r="F84" i="7"/>
  <c r="A85" i="7"/>
  <c r="C85" i="7"/>
  <c r="D85" i="7"/>
  <c r="F85" i="7"/>
  <c r="A86" i="7"/>
  <c r="C86" i="7"/>
  <c r="D86" i="7"/>
  <c r="F86" i="7"/>
  <c r="A87" i="7"/>
  <c r="C87" i="7"/>
  <c r="F87" i="7"/>
  <c r="A88" i="7"/>
  <c r="C88" i="7"/>
  <c r="D88" i="7"/>
  <c r="F88" i="7"/>
  <c r="A90" i="7"/>
  <c r="C90" i="7"/>
  <c r="D90" i="7"/>
  <c r="F90" i="7"/>
  <c r="A91" i="7"/>
  <c r="C91" i="7"/>
  <c r="F91" i="7"/>
  <c r="A92" i="7"/>
  <c r="C92" i="7"/>
  <c r="D92" i="7"/>
  <c r="F92" i="7"/>
  <c r="A93" i="7"/>
  <c r="C93" i="7"/>
  <c r="D93" i="7"/>
  <c r="F93" i="7"/>
  <c r="A94" i="7"/>
  <c r="C94" i="7"/>
  <c r="D94" i="7"/>
  <c r="F94" i="7"/>
  <c r="A95" i="7"/>
  <c r="C95" i="7"/>
  <c r="D95" i="7"/>
  <c r="F95" i="7"/>
  <c r="A96" i="7"/>
  <c r="C96" i="7"/>
  <c r="D96" i="7"/>
  <c r="F96" i="7"/>
  <c r="A97" i="7"/>
  <c r="C97" i="7"/>
  <c r="D97" i="7"/>
  <c r="F97" i="7"/>
  <c r="A98" i="7"/>
  <c r="C98" i="7"/>
  <c r="D98" i="7"/>
  <c r="F98" i="7"/>
  <c r="A99" i="7"/>
  <c r="C99" i="7"/>
  <c r="D99" i="7"/>
  <c r="F99" i="7"/>
  <c r="A100" i="7"/>
  <c r="C100" i="7"/>
  <c r="D100" i="7"/>
  <c r="F100" i="7"/>
  <c r="A101" i="7"/>
  <c r="C101" i="7"/>
  <c r="D101" i="7"/>
  <c r="F101" i="7"/>
  <c r="A102" i="7"/>
  <c r="C102" i="7"/>
  <c r="D102" i="7"/>
  <c r="F102" i="7"/>
  <c r="A103" i="7"/>
  <c r="C103" i="7"/>
  <c r="D103" i="7"/>
  <c r="F103" i="7"/>
  <c r="A104" i="7"/>
  <c r="C104" i="7"/>
  <c r="D104" i="7"/>
  <c r="F104" i="7"/>
  <c r="A105" i="7"/>
  <c r="C105" i="7"/>
  <c r="D105" i="7"/>
  <c r="F105" i="7"/>
  <c r="A106" i="7"/>
  <c r="C106" i="7"/>
  <c r="D106" i="7"/>
  <c r="F106" i="7"/>
  <c r="A107" i="7"/>
  <c r="C107" i="7"/>
  <c r="D107" i="7"/>
  <c r="F107" i="7"/>
  <c r="A108" i="7"/>
  <c r="C108" i="7"/>
  <c r="F108" i="7"/>
  <c r="A109" i="7"/>
  <c r="C109" i="7"/>
  <c r="D109" i="7"/>
  <c r="F109" i="7"/>
  <c r="A111" i="7"/>
  <c r="C111" i="7"/>
  <c r="D111" i="7"/>
  <c r="F111" i="7"/>
  <c r="A112" i="7"/>
  <c r="C112" i="7"/>
  <c r="F112" i="7"/>
  <c r="A113" i="7"/>
  <c r="C113" i="7"/>
  <c r="D113" i="7"/>
  <c r="F113" i="7"/>
  <c r="A114" i="7"/>
  <c r="C114" i="7"/>
  <c r="D114" i="7"/>
  <c r="F114" i="7"/>
  <c r="A115" i="7"/>
  <c r="C115" i="7"/>
  <c r="D115" i="7"/>
  <c r="F115" i="7"/>
  <c r="A116" i="7"/>
  <c r="C116" i="7"/>
  <c r="D116" i="7"/>
  <c r="F116" i="7"/>
  <c r="A117" i="7"/>
  <c r="C117" i="7"/>
  <c r="D117" i="7"/>
  <c r="F117" i="7"/>
  <c r="A118" i="7"/>
  <c r="C118" i="7"/>
  <c r="D118" i="7"/>
  <c r="F118" i="7"/>
  <c r="A119" i="7"/>
  <c r="C119" i="7"/>
  <c r="D119" i="7"/>
  <c r="F119" i="7"/>
  <c r="A120" i="7"/>
  <c r="C120" i="7"/>
  <c r="D120" i="7"/>
  <c r="F120" i="7"/>
  <c r="A121" i="7"/>
  <c r="C121" i="7"/>
  <c r="D121" i="7"/>
  <c r="F121" i="7"/>
  <c r="A122" i="7"/>
  <c r="C122" i="7"/>
  <c r="D122" i="7"/>
  <c r="F122" i="7"/>
  <c r="A123" i="7"/>
  <c r="C123" i="7"/>
  <c r="F123" i="7"/>
  <c r="A124" i="7"/>
  <c r="C124" i="7"/>
  <c r="D124" i="7"/>
  <c r="F124" i="7"/>
  <c r="A126" i="7"/>
  <c r="C126" i="7"/>
  <c r="D126" i="7"/>
  <c r="F126" i="7"/>
  <c r="A127" i="7"/>
  <c r="C127" i="7"/>
  <c r="F127" i="7"/>
  <c r="A128" i="7"/>
  <c r="C128" i="7"/>
  <c r="D128" i="7"/>
  <c r="F128" i="7"/>
  <c r="A129" i="7"/>
  <c r="C129" i="7"/>
  <c r="D129" i="7"/>
  <c r="F129" i="7"/>
  <c r="A130" i="7"/>
  <c r="C130" i="7"/>
  <c r="D130" i="7"/>
  <c r="F130" i="7"/>
  <c r="A131" i="7"/>
  <c r="C131" i="7"/>
  <c r="D131" i="7"/>
  <c r="F131" i="7"/>
  <c r="A132" i="7"/>
  <c r="C132" i="7"/>
  <c r="D132" i="7"/>
  <c r="F132" i="7"/>
  <c r="A133" i="7"/>
  <c r="C133" i="7"/>
  <c r="D133" i="7"/>
  <c r="F133" i="7"/>
  <c r="A134" i="7"/>
  <c r="C134" i="7"/>
  <c r="D134" i="7"/>
  <c r="F134" i="7"/>
  <c r="A135" i="7"/>
  <c r="C135" i="7"/>
  <c r="D135" i="7"/>
  <c r="F135" i="7"/>
  <c r="A136" i="7"/>
  <c r="C136" i="7"/>
  <c r="D136" i="7"/>
  <c r="F136" i="7"/>
  <c r="A137" i="7"/>
  <c r="C137" i="7"/>
  <c r="D137" i="7"/>
  <c r="F137" i="7"/>
  <c r="A138" i="7"/>
  <c r="C138" i="7"/>
  <c r="D138" i="7"/>
  <c r="F138" i="7"/>
  <c r="A139" i="7"/>
  <c r="C139" i="7"/>
  <c r="D139" i="7"/>
  <c r="F139" i="7"/>
  <c r="A141" i="7"/>
  <c r="C141" i="7"/>
  <c r="D141" i="7"/>
  <c r="F141" i="7"/>
  <c r="A142" i="7"/>
  <c r="C142" i="7"/>
  <c r="F142" i="7"/>
  <c r="A143" i="7"/>
  <c r="C143" i="7"/>
  <c r="D143" i="7"/>
  <c r="F143" i="7"/>
  <c r="A144" i="7"/>
  <c r="C144" i="7"/>
  <c r="D144" i="7"/>
  <c r="F144" i="7"/>
  <c r="A145" i="7"/>
  <c r="C145" i="7"/>
  <c r="D145" i="7"/>
  <c r="F145" i="7"/>
  <c r="A146" i="7"/>
  <c r="C146" i="7"/>
  <c r="D146" i="7"/>
  <c r="F146" i="7"/>
  <c r="A147" i="7"/>
  <c r="C147" i="7"/>
  <c r="D147" i="7"/>
  <c r="F147" i="7"/>
  <c r="A148" i="7"/>
  <c r="C148" i="7"/>
  <c r="D148" i="7"/>
  <c r="F148" i="7"/>
  <c r="A149" i="7"/>
  <c r="C149" i="7"/>
  <c r="D149" i="7"/>
  <c r="F149" i="7"/>
  <c r="A150" i="7"/>
  <c r="C150" i="7"/>
  <c r="D150" i="7"/>
  <c r="F150" i="7"/>
  <c r="A151" i="7"/>
  <c r="C151" i="7"/>
  <c r="D151" i="7"/>
  <c r="F151" i="7"/>
  <c r="A152" i="7"/>
  <c r="C152" i="7"/>
  <c r="D152" i="7"/>
  <c r="F152" i="7"/>
  <c r="A153" i="7"/>
  <c r="C153" i="7"/>
  <c r="F153" i="7"/>
  <c r="A154" i="7"/>
  <c r="C154" i="7"/>
  <c r="D154" i="7"/>
  <c r="F154" i="7"/>
  <c r="A156" i="7"/>
  <c r="C156" i="7"/>
  <c r="D156" i="7"/>
  <c r="F156" i="7"/>
  <c r="A157" i="7"/>
  <c r="C157" i="7"/>
  <c r="F157" i="7"/>
  <c r="A158" i="7"/>
  <c r="C158" i="7"/>
  <c r="D158" i="7"/>
  <c r="F158" i="7"/>
  <c r="A159" i="7"/>
  <c r="C159" i="7"/>
  <c r="D159" i="7"/>
  <c r="F159" i="7"/>
  <c r="A160" i="7"/>
  <c r="C160" i="7"/>
  <c r="D160" i="7"/>
  <c r="F160" i="7"/>
  <c r="A161" i="7"/>
  <c r="C161" i="7"/>
  <c r="D161" i="7"/>
  <c r="F161" i="7"/>
  <c r="A162" i="7"/>
  <c r="C162" i="7"/>
  <c r="D162" i="7"/>
  <c r="F162" i="7"/>
  <c r="A163" i="7"/>
  <c r="C163" i="7"/>
  <c r="D163" i="7"/>
  <c r="F163" i="7"/>
  <c r="A164" i="7"/>
  <c r="C164" i="7"/>
  <c r="D164" i="7"/>
  <c r="F164" i="7"/>
  <c r="A165" i="7"/>
  <c r="C165" i="7"/>
  <c r="D165" i="7"/>
  <c r="F165" i="7"/>
  <c r="A166" i="7"/>
  <c r="C166" i="7"/>
  <c r="D166" i="7"/>
  <c r="F166" i="7"/>
  <c r="A167" i="7"/>
  <c r="C167" i="7"/>
  <c r="D167" i="7"/>
  <c r="F167" i="7"/>
  <c r="A168" i="7"/>
  <c r="C168" i="7"/>
  <c r="D168" i="7"/>
  <c r="F168" i="7"/>
  <c r="A169" i="7"/>
  <c r="C169" i="7"/>
  <c r="D169" i="7"/>
  <c r="F169" i="7"/>
  <c r="A171" i="7"/>
  <c r="C171" i="7"/>
  <c r="D171" i="7"/>
  <c r="F171" i="7"/>
  <c r="A172" i="7"/>
  <c r="C172" i="7"/>
  <c r="F172" i="7"/>
  <c r="A173" i="7"/>
  <c r="C173" i="7"/>
  <c r="D173" i="7"/>
  <c r="F173" i="7"/>
  <c r="A174" i="7"/>
  <c r="C174" i="7"/>
  <c r="D174" i="7"/>
  <c r="F174" i="7"/>
  <c r="A175" i="7"/>
  <c r="C175" i="7"/>
  <c r="D175" i="7"/>
  <c r="F175" i="7"/>
  <c r="A176" i="7"/>
  <c r="C176" i="7"/>
  <c r="D176" i="7"/>
  <c r="F176" i="7"/>
  <c r="A177" i="7"/>
  <c r="C177" i="7"/>
  <c r="D177" i="7"/>
  <c r="F177" i="7"/>
  <c r="A178" i="7"/>
  <c r="C178" i="7"/>
  <c r="D178" i="7"/>
  <c r="F178" i="7"/>
  <c r="A179" i="7"/>
  <c r="C179" i="7"/>
  <c r="D179" i="7"/>
  <c r="F179" i="7"/>
  <c r="A180" i="7"/>
  <c r="C180" i="7"/>
  <c r="D180" i="7"/>
  <c r="F180" i="7"/>
  <c r="A181" i="7"/>
  <c r="C181" i="7"/>
  <c r="D181" i="7"/>
  <c r="F181" i="7"/>
  <c r="A182" i="7"/>
  <c r="C182" i="7"/>
  <c r="D182" i="7"/>
  <c r="F182" i="7"/>
  <c r="A183" i="7"/>
  <c r="C183" i="7"/>
  <c r="F183" i="7"/>
  <c r="A184" i="7"/>
  <c r="C184" i="7"/>
  <c r="D184" i="7"/>
  <c r="F184" i="7"/>
  <c r="A186" i="7"/>
  <c r="C186" i="7"/>
  <c r="D186" i="7"/>
  <c r="F186" i="7"/>
  <c r="A187" i="7"/>
  <c r="C187" i="7"/>
  <c r="F187" i="7"/>
  <c r="A188" i="7"/>
  <c r="C188" i="7"/>
  <c r="D188" i="7"/>
  <c r="F188" i="7"/>
  <c r="A189" i="7"/>
  <c r="C189" i="7"/>
  <c r="D189" i="7"/>
  <c r="F189" i="7"/>
  <c r="A190" i="7"/>
  <c r="C190" i="7"/>
  <c r="D190" i="7"/>
  <c r="F190" i="7"/>
  <c r="A191" i="7"/>
  <c r="C191" i="7"/>
  <c r="D191" i="7"/>
  <c r="F191" i="7"/>
  <c r="A192" i="7"/>
  <c r="C192" i="7"/>
  <c r="D192" i="7"/>
  <c r="F192" i="7"/>
  <c r="A193" i="7"/>
  <c r="C193" i="7"/>
  <c r="D193" i="7"/>
  <c r="F193" i="7"/>
  <c r="A194" i="7"/>
  <c r="C194" i="7"/>
  <c r="D194" i="7"/>
  <c r="F194" i="7"/>
  <c r="A195" i="7"/>
  <c r="C195" i="7"/>
  <c r="D195" i="7"/>
  <c r="F195" i="7"/>
  <c r="A196" i="7"/>
  <c r="C196" i="7"/>
  <c r="D196" i="7"/>
  <c r="F196" i="7"/>
  <c r="A197" i="7"/>
  <c r="C197" i="7"/>
  <c r="D197" i="7"/>
  <c r="F197" i="7"/>
  <c r="A198" i="7"/>
  <c r="C198" i="7"/>
  <c r="D198" i="7"/>
  <c r="F198" i="7"/>
  <c r="A199" i="7"/>
  <c r="C199" i="7"/>
  <c r="D199" i="7"/>
  <c r="F199" i="7"/>
  <c r="A200" i="7"/>
  <c r="C200" i="7"/>
  <c r="D200" i="7"/>
  <c r="F200" i="7"/>
  <c r="A201" i="7"/>
  <c r="C201" i="7"/>
  <c r="D201" i="7"/>
  <c r="F201" i="7"/>
  <c r="A202" i="7"/>
  <c r="C202" i="7"/>
  <c r="D202" i="7"/>
  <c r="F202" i="7"/>
  <c r="A203" i="7"/>
  <c r="C203" i="7"/>
  <c r="D203" i="7"/>
  <c r="F203" i="7"/>
  <c r="A204" i="7"/>
  <c r="C204" i="7"/>
  <c r="D204" i="7"/>
  <c r="F204" i="7"/>
  <c r="A205" i="7"/>
  <c r="C205" i="7"/>
  <c r="D205" i="7"/>
  <c r="F205" i="7"/>
  <c r="A207" i="7"/>
  <c r="C207" i="7"/>
  <c r="D207" i="7"/>
  <c r="F207" i="7"/>
  <c r="A208" i="7"/>
  <c r="C208" i="7"/>
  <c r="F208" i="7"/>
  <c r="A209" i="7"/>
  <c r="C209" i="7"/>
  <c r="D209" i="7"/>
  <c r="F209" i="7"/>
  <c r="A210" i="7"/>
  <c r="C210" i="7"/>
  <c r="D210" i="7"/>
  <c r="F210" i="7"/>
  <c r="A211" i="7"/>
  <c r="C211" i="7"/>
  <c r="D211" i="7"/>
  <c r="F211" i="7"/>
  <c r="A212" i="7"/>
  <c r="C212" i="7"/>
  <c r="D212" i="7"/>
  <c r="F212" i="7"/>
  <c r="A213" i="7"/>
  <c r="C213" i="7"/>
  <c r="D213" i="7"/>
  <c r="F213" i="7"/>
  <c r="A214" i="7"/>
  <c r="C214" i="7"/>
  <c r="D214" i="7"/>
  <c r="F214" i="7"/>
  <c r="A215" i="7"/>
  <c r="C215" i="7"/>
  <c r="D215" i="7"/>
  <c r="F215" i="7"/>
  <c r="A216" i="7"/>
  <c r="C216" i="7"/>
  <c r="D216" i="7"/>
  <c r="F216" i="7"/>
  <c r="A217" i="7"/>
  <c r="C217" i="7"/>
  <c r="D217" i="7"/>
  <c r="F217" i="7"/>
  <c r="A218" i="7"/>
  <c r="C218" i="7"/>
  <c r="D218" i="7"/>
  <c r="F218" i="7"/>
  <c r="A219" i="7"/>
  <c r="C219" i="7"/>
  <c r="F219" i="7"/>
  <c r="A220" i="7"/>
  <c r="C220" i="7"/>
  <c r="D220" i="7"/>
  <c r="F220" i="7"/>
  <c r="A222" i="7"/>
  <c r="C222" i="7"/>
  <c r="D222" i="7"/>
  <c r="F222" i="7"/>
  <c r="A223" i="7"/>
  <c r="C223" i="7"/>
  <c r="F223" i="7"/>
  <c r="A224" i="7"/>
  <c r="C224" i="7"/>
  <c r="D224" i="7"/>
  <c r="F224" i="7"/>
  <c r="A225" i="7"/>
  <c r="C225" i="7"/>
  <c r="D225" i="7"/>
  <c r="F225" i="7"/>
  <c r="A226" i="7"/>
  <c r="C226" i="7"/>
  <c r="D226" i="7"/>
  <c r="F226" i="7"/>
  <c r="A227" i="7"/>
  <c r="C227" i="7"/>
  <c r="D227" i="7"/>
  <c r="F227" i="7"/>
  <c r="A228" i="7"/>
  <c r="C228" i="7"/>
  <c r="D228" i="7"/>
  <c r="F228" i="7"/>
  <c r="A229" i="7"/>
  <c r="C229" i="7"/>
  <c r="D229" i="7"/>
  <c r="F229" i="7"/>
  <c r="A230" i="7"/>
  <c r="C230" i="7"/>
  <c r="D230" i="7"/>
  <c r="F230" i="7"/>
  <c r="A231" i="7"/>
  <c r="C231" i="7"/>
  <c r="D231" i="7"/>
  <c r="F231" i="7"/>
  <c r="A232" i="7"/>
  <c r="C232" i="7"/>
  <c r="D232" i="7"/>
  <c r="F232" i="7"/>
  <c r="A233" i="7"/>
  <c r="C233" i="7"/>
  <c r="D233" i="7"/>
  <c r="F233" i="7"/>
  <c r="A234" i="7"/>
  <c r="C234" i="7"/>
  <c r="D234" i="7"/>
  <c r="F234" i="7"/>
  <c r="A235" i="7"/>
  <c r="C235" i="7"/>
  <c r="D235" i="7"/>
  <c r="F235" i="7"/>
  <c r="A237" i="7"/>
  <c r="C237" i="7"/>
  <c r="D237" i="7"/>
  <c r="F237" i="7"/>
  <c r="A238" i="7"/>
  <c r="C238" i="7"/>
  <c r="F238" i="7"/>
  <c r="A239" i="7"/>
  <c r="C239" i="7"/>
  <c r="D239" i="7"/>
  <c r="F239" i="7"/>
  <c r="A240" i="7"/>
  <c r="C240" i="7"/>
  <c r="D240" i="7"/>
  <c r="F240" i="7"/>
  <c r="A241" i="7"/>
  <c r="C241" i="7"/>
  <c r="D241" i="7"/>
  <c r="F241" i="7"/>
  <c r="A242" i="7"/>
  <c r="C242" i="7"/>
  <c r="D242" i="7"/>
  <c r="F242" i="7"/>
  <c r="A243" i="7"/>
  <c r="C243" i="7"/>
  <c r="D243" i="7"/>
  <c r="F243" i="7"/>
  <c r="A244" i="7"/>
  <c r="C244" i="7"/>
  <c r="D244" i="7"/>
  <c r="F244" i="7"/>
  <c r="A245" i="7"/>
  <c r="C245" i="7"/>
  <c r="D245" i="7"/>
  <c r="F245" i="7"/>
  <c r="A246" i="7"/>
  <c r="C246" i="7"/>
  <c r="D246" i="7"/>
  <c r="F246" i="7"/>
  <c r="A247" i="7"/>
  <c r="C247" i="7"/>
  <c r="D247" i="7"/>
  <c r="F247" i="7"/>
  <c r="A248" i="7"/>
  <c r="C248" i="7"/>
  <c r="D248" i="7"/>
  <c r="F248" i="7"/>
  <c r="A249" i="7"/>
  <c r="C249" i="7"/>
  <c r="D249" i="7"/>
  <c r="F249" i="7"/>
  <c r="A250" i="7"/>
  <c r="C250" i="7"/>
  <c r="D250" i="7"/>
  <c r="F250" i="7"/>
  <c r="A252" i="7"/>
  <c r="C252" i="7"/>
  <c r="D252" i="7"/>
  <c r="F252" i="7"/>
  <c r="A253" i="7"/>
  <c r="C253" i="7"/>
  <c r="F253" i="7"/>
  <c r="A254" i="7"/>
  <c r="C254" i="7"/>
  <c r="D254" i="7"/>
  <c r="F254" i="7"/>
  <c r="A255" i="7"/>
  <c r="C255" i="7"/>
  <c r="D255" i="7"/>
  <c r="F255" i="7"/>
  <c r="A256" i="7"/>
  <c r="C256" i="7"/>
  <c r="D256" i="7"/>
  <c r="F256" i="7"/>
  <c r="A257" i="7"/>
  <c r="C257" i="7"/>
  <c r="D257" i="7"/>
  <c r="F257" i="7"/>
  <c r="A258" i="7"/>
  <c r="C258" i="7"/>
  <c r="D258" i="7"/>
  <c r="F258" i="7"/>
  <c r="A259" i="7"/>
  <c r="C259" i="7"/>
  <c r="D259" i="7"/>
  <c r="F259" i="7"/>
  <c r="A260" i="7"/>
  <c r="C260" i="7"/>
  <c r="D260" i="7"/>
  <c r="F260" i="7"/>
  <c r="A261" i="7"/>
  <c r="C261" i="7"/>
  <c r="D261" i="7"/>
  <c r="F261" i="7"/>
  <c r="A262" i="7"/>
  <c r="C262" i="7"/>
  <c r="D262" i="7"/>
  <c r="F262" i="7"/>
  <c r="A263" i="7"/>
  <c r="C263" i="7"/>
  <c r="D263" i="7"/>
  <c r="F263" i="7"/>
  <c r="A264" i="7"/>
  <c r="C264" i="7"/>
  <c r="F264" i="7"/>
  <c r="A265" i="7"/>
  <c r="C265" i="7"/>
  <c r="D265" i="7"/>
  <c r="F265" i="7"/>
  <c r="A267" i="7"/>
  <c r="C267" i="7"/>
  <c r="D267" i="7"/>
  <c r="F267" i="7"/>
  <c r="A268" i="7"/>
  <c r="C268" i="7"/>
  <c r="F268" i="7"/>
  <c r="A269" i="7"/>
  <c r="C269" i="7"/>
  <c r="D269" i="7"/>
  <c r="F269" i="7"/>
  <c r="A270" i="7"/>
  <c r="C270" i="7"/>
  <c r="D270" i="7"/>
  <c r="F270" i="7"/>
  <c r="A271" i="7"/>
  <c r="C271" i="7"/>
  <c r="D271" i="7"/>
  <c r="F271" i="7"/>
  <c r="A272" i="7"/>
  <c r="C272" i="7"/>
  <c r="D272" i="7"/>
  <c r="F272" i="7"/>
  <c r="A273" i="7"/>
  <c r="C273" i="7"/>
  <c r="D273" i="7"/>
  <c r="F273" i="7"/>
  <c r="A274" i="7"/>
  <c r="C274" i="7"/>
  <c r="D274" i="7"/>
  <c r="F274" i="7"/>
  <c r="A275" i="7"/>
  <c r="C275" i="7"/>
  <c r="D275" i="7"/>
  <c r="F275" i="7"/>
  <c r="A276" i="7"/>
  <c r="C276" i="7"/>
  <c r="D276" i="7"/>
  <c r="F276" i="7"/>
  <c r="A277" i="7"/>
  <c r="C277" i="7"/>
  <c r="D277" i="7"/>
  <c r="F277" i="7"/>
  <c r="A278" i="7"/>
  <c r="C278" i="7"/>
  <c r="D278" i="7"/>
  <c r="F278" i="7"/>
  <c r="A279" i="7"/>
  <c r="C279" i="7"/>
  <c r="D279" i="7"/>
  <c r="F279" i="7"/>
  <c r="A280" i="7"/>
  <c r="C280" i="7"/>
  <c r="D280" i="7"/>
  <c r="F280" i="7"/>
  <c r="A282" i="7"/>
  <c r="C282" i="7"/>
  <c r="D282" i="7"/>
  <c r="F282" i="7"/>
  <c r="A283" i="7"/>
  <c r="C283" i="7"/>
  <c r="F283" i="7"/>
  <c r="A284" i="7"/>
  <c r="C284" i="7"/>
  <c r="D284" i="7"/>
  <c r="F284" i="7"/>
  <c r="A285" i="7"/>
  <c r="C285" i="7"/>
  <c r="D285" i="7"/>
  <c r="F285" i="7"/>
  <c r="A286" i="7"/>
  <c r="C286" i="7"/>
  <c r="D286" i="7"/>
  <c r="F286" i="7"/>
  <c r="A287" i="7"/>
  <c r="C287" i="7"/>
  <c r="D287" i="7"/>
  <c r="F287" i="7"/>
  <c r="A288" i="7"/>
  <c r="C288" i="7"/>
  <c r="D288" i="7"/>
  <c r="F288" i="7"/>
  <c r="A289" i="7"/>
  <c r="C289" i="7"/>
  <c r="D289" i="7"/>
  <c r="F289" i="7"/>
  <c r="A290" i="7"/>
  <c r="C290" i="7"/>
  <c r="D290" i="7"/>
  <c r="F290" i="7"/>
  <c r="A291" i="7"/>
  <c r="C291" i="7"/>
  <c r="D291" i="7"/>
  <c r="F291" i="7"/>
  <c r="A292" i="7"/>
  <c r="C292" i="7"/>
  <c r="D292" i="7"/>
  <c r="F292" i="7"/>
  <c r="A293" i="7"/>
  <c r="C293" i="7"/>
  <c r="F293" i="7"/>
  <c r="A294" i="7"/>
  <c r="C294" i="7"/>
  <c r="F294" i="7"/>
  <c r="A295" i="7"/>
  <c r="C295" i="7"/>
  <c r="D295" i="7"/>
  <c r="F295" i="7"/>
  <c r="A296" i="7"/>
  <c r="C296" i="7"/>
  <c r="D296" i="7"/>
  <c r="F296" i="7"/>
  <c r="A297" i="7"/>
  <c r="C297" i="7"/>
  <c r="D297" i="7"/>
  <c r="F297" i="7"/>
  <c r="A298" i="7"/>
  <c r="C298" i="7"/>
  <c r="D298" i="7"/>
  <c r="F298" i="7"/>
  <c r="A299" i="7"/>
  <c r="C299" i="7"/>
  <c r="D299" i="7"/>
  <c r="F299" i="7"/>
  <c r="A300" i="7"/>
  <c r="C300" i="7"/>
  <c r="D300" i="7"/>
  <c r="F300" i="7"/>
  <c r="A301" i="7"/>
  <c r="C301" i="7"/>
  <c r="D301" i="7"/>
  <c r="F301" i="7"/>
  <c r="A302" i="7"/>
  <c r="C302" i="7"/>
  <c r="D302" i="7"/>
  <c r="F302" i="7"/>
  <c r="A303" i="7"/>
  <c r="C303" i="7"/>
  <c r="D303" i="7"/>
  <c r="F303" i="7"/>
  <c r="A304" i="7"/>
  <c r="C304" i="7"/>
  <c r="F304" i="7"/>
  <c r="A305" i="7"/>
  <c r="C305" i="7"/>
  <c r="F305" i="7"/>
  <c r="A306" i="7"/>
  <c r="C306" i="7"/>
  <c r="D306" i="7"/>
  <c r="F306" i="7"/>
  <c r="A307" i="7"/>
  <c r="C307" i="7"/>
  <c r="D307" i="7"/>
  <c r="F307" i="7"/>
  <c r="A308" i="7"/>
  <c r="C308" i="7"/>
  <c r="D308" i="7"/>
  <c r="F308" i="7"/>
  <c r="A309" i="7"/>
  <c r="C309" i="7"/>
  <c r="D309" i="7"/>
  <c r="F309" i="7"/>
  <c r="A310" i="7"/>
  <c r="C310" i="7"/>
  <c r="D310" i="7"/>
  <c r="F310" i="7"/>
  <c r="A311" i="7"/>
  <c r="C311" i="7"/>
  <c r="D311" i="7"/>
  <c r="F311" i="7"/>
  <c r="A312" i="7"/>
  <c r="C312" i="7"/>
  <c r="D312" i="7"/>
  <c r="F312" i="7"/>
  <c r="A313" i="7"/>
  <c r="C313" i="7"/>
  <c r="D313" i="7"/>
  <c r="F313" i="7"/>
  <c r="A314" i="7"/>
  <c r="C314" i="7"/>
  <c r="D314" i="7"/>
  <c r="F314" i="7"/>
  <c r="A315" i="7"/>
  <c r="C315" i="7"/>
  <c r="D315" i="7"/>
  <c r="F315" i="7"/>
  <c r="A316" i="7"/>
  <c r="C316" i="7"/>
  <c r="F316" i="7"/>
  <c r="A317" i="7"/>
  <c r="C317" i="7"/>
  <c r="F317" i="7"/>
  <c r="A318" i="7"/>
  <c r="C318" i="7"/>
  <c r="D318" i="7"/>
  <c r="F318" i="7"/>
  <c r="A319" i="7"/>
  <c r="C319" i="7"/>
  <c r="D319" i="7"/>
  <c r="F319" i="7"/>
  <c r="A320" i="7"/>
  <c r="C320" i="7"/>
  <c r="D320" i="7"/>
  <c r="F320" i="7"/>
  <c r="A321" i="7"/>
  <c r="C321" i="7"/>
  <c r="D321" i="7"/>
  <c r="F321" i="7"/>
  <c r="A322" i="7"/>
  <c r="C322" i="7"/>
  <c r="D322" i="7"/>
  <c r="F322" i="7"/>
  <c r="A323" i="7"/>
  <c r="C323" i="7"/>
  <c r="D323" i="7"/>
  <c r="F323" i="7"/>
  <c r="A324" i="7"/>
  <c r="C324" i="7"/>
  <c r="F324" i="7"/>
  <c r="A325" i="7"/>
  <c r="C325" i="7"/>
  <c r="D325" i="7"/>
  <c r="F325" i="7"/>
  <c r="A326" i="7"/>
  <c r="C326" i="7"/>
  <c r="D326" i="7"/>
  <c r="F326" i="7"/>
  <c r="A327" i="7"/>
  <c r="C327" i="7"/>
  <c r="D327" i="7"/>
  <c r="F327" i="7"/>
  <c r="A328" i="7"/>
  <c r="C328" i="7"/>
  <c r="F328" i="7"/>
  <c r="A329" i="7"/>
  <c r="C329" i="7"/>
  <c r="F329" i="7"/>
  <c r="A330" i="7"/>
  <c r="C330" i="7"/>
  <c r="F330" i="7"/>
  <c r="A331" i="7"/>
  <c r="C331" i="7"/>
  <c r="F331" i="7"/>
  <c r="A332" i="7"/>
  <c r="C332" i="7"/>
  <c r="F332" i="7"/>
  <c r="A333" i="7"/>
  <c r="C333" i="7"/>
  <c r="F333" i="7"/>
  <c r="A334" i="7"/>
  <c r="C334" i="7"/>
  <c r="F334" i="7"/>
  <c r="A335" i="7"/>
  <c r="C335" i="7"/>
  <c r="F335" i="7"/>
  <c r="A336" i="7"/>
  <c r="C336" i="7"/>
  <c r="F336" i="7"/>
  <c r="A337" i="7"/>
  <c r="C337" i="7"/>
  <c r="F337" i="7"/>
  <c r="A338" i="7"/>
  <c r="C338" i="7"/>
  <c r="F338" i="7"/>
  <c r="A339" i="7"/>
  <c r="C339" i="7"/>
  <c r="F339" i="7"/>
  <c r="A340" i="7"/>
  <c r="C340" i="7"/>
  <c r="F340" i="7"/>
  <c r="B1" i="21"/>
  <c r="B1" i="16"/>
  <c r="E10" i="16"/>
  <c r="E14" i="16"/>
  <c r="H17" i="16"/>
  <c r="E23" i="16"/>
  <c r="E27" i="16"/>
  <c r="E32" i="16"/>
  <c r="E41" i="16"/>
  <c r="E45" i="16"/>
  <c r="E50" i="16"/>
  <c r="E60" i="16"/>
  <c r="E64" i="16"/>
  <c r="E69" i="16"/>
  <c r="AF300" i="12"/>
  <c r="N8" i="7" s="1"/>
  <c r="Q25" i="9"/>
  <c r="BB67" i="24"/>
  <c r="BA67" i="24"/>
  <c r="BB87" i="24"/>
  <c r="BA87" i="24"/>
  <c r="BB77" i="24"/>
  <c r="BB105" i="24"/>
  <c r="BA69" i="24"/>
  <c r="BB76" i="24"/>
  <c r="BA14" i="24"/>
  <c r="BA23" i="24"/>
  <c r="BB33" i="24"/>
  <c r="BB75" i="24"/>
  <c r="BA44" i="24"/>
  <c r="BB17" i="24"/>
  <c r="BA74" i="24"/>
  <c r="BA83" i="24"/>
  <c r="BB47" i="24"/>
  <c r="BA65" i="24"/>
  <c r="BB55" i="24"/>
  <c r="BA55" i="24"/>
  <c r="BB46" i="24"/>
  <c r="BA100" i="24"/>
  <c r="BA109" i="24"/>
  <c r="BB18" i="24"/>
  <c r="BA18" i="24"/>
  <c r="BB45" i="24"/>
  <c r="BA45" i="24"/>
  <c r="BB99" i="24"/>
  <c r="BA99" i="24"/>
  <c r="BA54" i="24"/>
  <c r="BB54" i="24"/>
  <c r="BB108" i="24"/>
  <c r="BA108" i="24"/>
  <c r="BB90" i="24"/>
  <c r="BA25" i="24"/>
  <c r="BA97" i="24"/>
  <c r="BA9" i="24"/>
  <c r="BA27" i="24"/>
  <c r="BA40" i="24"/>
  <c r="BA41" i="24"/>
  <c r="BA49" i="24"/>
  <c r="BA60" i="24"/>
  <c r="BA70" i="24"/>
  <c r="BA92" i="24"/>
  <c r="BA93" i="24"/>
  <c r="BA103" i="24"/>
  <c r="BA5" i="24"/>
  <c r="BA10" i="24"/>
  <c r="BA24" i="24"/>
  <c r="BA51" i="24"/>
  <c r="BA61" i="24"/>
  <c r="BA66" i="24"/>
  <c r="BA104" i="24"/>
  <c r="BA26" i="24"/>
  <c r="BB35" i="24"/>
  <c r="BA62" i="24"/>
  <c r="BB89" i="24"/>
  <c r="BA6" i="24"/>
  <c r="BA7" i="24"/>
  <c r="BA11" i="24"/>
  <c r="BA15" i="24"/>
  <c r="BA21" i="24"/>
  <c r="BA29" i="24"/>
  <c r="BA30" i="24"/>
  <c r="BA37" i="24"/>
  <c r="BA38" i="24"/>
  <c r="BA52" i="24"/>
  <c r="BA58" i="24"/>
  <c r="BA64" i="24"/>
  <c r="BA72" i="24"/>
  <c r="BA73" i="24"/>
  <c r="BA80" i="24"/>
  <c r="BA81" i="24"/>
  <c r="BA95" i="24"/>
  <c r="BA101" i="24"/>
  <c r="BA107" i="24"/>
  <c r="BA3" i="24"/>
  <c r="BA8" i="24"/>
  <c r="BA12" i="24"/>
  <c r="BA13" i="24"/>
  <c r="BA36" i="24"/>
  <c r="BA42" i="24"/>
  <c r="BA53" i="24"/>
  <c r="BA59" i="24"/>
  <c r="BA63" i="24"/>
  <c r="BA71" i="24"/>
  <c r="BA79" i="24"/>
  <c r="BA85" i="24"/>
  <c r="BA96" i="24"/>
  <c r="BA102" i="24"/>
  <c r="BA106" i="24"/>
  <c r="A31" i="17"/>
  <c r="Q32" i="9"/>
  <c r="D283" i="7"/>
  <c r="BB82" i="24"/>
  <c r="BA82" i="24"/>
  <c r="BA32" i="24"/>
  <c r="BB32" i="24"/>
  <c r="BA19" i="24"/>
  <c r="BB19" i="24"/>
  <c r="K25" i="11"/>
  <c r="BB22" i="24"/>
  <c r="BA22" i="24"/>
  <c r="BB57" i="24"/>
  <c r="BA57" i="24"/>
  <c r="BA88" i="24"/>
  <c r="BB88" i="24"/>
  <c r="D21" i="17"/>
  <c r="J10" i="16" s="1"/>
  <c r="F7" i="20"/>
  <c r="E9" i="21" s="1"/>
  <c r="F19" i="21"/>
  <c r="N392" i="24"/>
  <c r="N435" i="24"/>
  <c r="D38" i="17"/>
  <c r="D28" i="16" s="1"/>
  <c r="I64" i="17"/>
  <c r="D73" i="16" s="1"/>
  <c r="D12" i="7"/>
  <c r="C1" i="2"/>
  <c r="A1" i="24"/>
  <c r="A477" i="24" s="1"/>
  <c r="A1" i="18"/>
  <c r="A1" i="13"/>
  <c r="N177" i="24"/>
  <c r="N134" i="24"/>
  <c r="N220" i="24"/>
  <c r="N306" i="24"/>
  <c r="N263" i="24"/>
  <c r="N91" i="24"/>
  <c r="N349" i="24"/>
  <c r="N478" i="24"/>
  <c r="C17" i="20"/>
  <c r="E31" i="21" s="1"/>
  <c r="H17" i="20"/>
  <c r="E41" i="21" s="1"/>
  <c r="A32" i="4"/>
  <c r="J17" i="20"/>
  <c r="E45" i="21" s="1"/>
  <c r="C3" i="16"/>
  <c r="I46" i="17"/>
  <c r="D52" i="16" s="1"/>
  <c r="D17" i="20"/>
  <c r="E33" i="21" s="1"/>
  <c r="C10" i="18"/>
  <c r="D12" i="21" s="1"/>
  <c r="C17" i="18"/>
  <c r="D31" i="21" s="1"/>
  <c r="F31" i="21" s="1"/>
  <c r="D36" i="17"/>
  <c r="D25" i="16" s="1"/>
  <c r="F16" i="20"/>
  <c r="E36" i="21" s="1"/>
  <c r="F17" i="20"/>
  <c r="E37" i="21" s="1"/>
  <c r="D11" i="20"/>
  <c r="E15" i="21" s="1"/>
  <c r="C7" i="20"/>
  <c r="E3" i="21" s="1"/>
  <c r="D13" i="20"/>
  <c r="E23" i="21" s="1"/>
  <c r="I16" i="20"/>
  <c r="E42" i="21" s="1"/>
  <c r="J16" i="20"/>
  <c r="E44" i="21" s="1"/>
  <c r="C11" i="20"/>
  <c r="E13" i="21" s="1"/>
  <c r="E14" i="20"/>
  <c r="E26" i="21" s="1"/>
  <c r="E17" i="20"/>
  <c r="E35" i="21" s="1"/>
  <c r="C14" i="20"/>
  <c r="E22" i="21" s="1"/>
  <c r="D14" i="17"/>
  <c r="D13" i="16" s="1"/>
  <c r="I43" i="17"/>
  <c r="D42" i="16" s="1"/>
  <c r="H21" i="17"/>
  <c r="D35" i="17"/>
  <c r="D22" i="16" s="1"/>
  <c r="I61" i="17"/>
  <c r="D70" i="16" s="1"/>
  <c r="D45" i="17"/>
  <c r="D44" i="16" s="1"/>
  <c r="J21" i="17"/>
  <c r="V21" i="17" s="1"/>
  <c r="D44" i="17"/>
  <c r="D43" i="16" s="1"/>
  <c r="D56" i="17"/>
  <c r="J48" i="16" s="1"/>
  <c r="I6" i="17"/>
  <c r="L6" i="17" s="1"/>
  <c r="D57" i="17"/>
  <c r="J49" i="16" s="1"/>
  <c r="H23" i="17"/>
  <c r="T23" i="17" s="1"/>
  <c r="D43" i="17"/>
  <c r="D40" i="16" s="1"/>
  <c r="H8" i="17"/>
  <c r="J24" i="16" s="1"/>
  <c r="D65" i="17"/>
  <c r="D68" i="16" s="1"/>
  <c r="I51" i="17"/>
  <c r="J42" i="16" s="1"/>
  <c r="I62" i="17"/>
  <c r="D71" i="16" s="1"/>
  <c r="D7" i="20"/>
  <c r="E5" i="21" s="1"/>
  <c r="K16" i="20"/>
  <c r="E46" i="21" s="1"/>
  <c r="E13" i="20"/>
  <c r="E25" i="21" s="1"/>
  <c r="E7" i="20"/>
  <c r="E7" i="21" s="1"/>
  <c r="I6" i="16"/>
  <c r="E1" i="12"/>
  <c r="A1" i="20"/>
  <c r="A1" i="8"/>
  <c r="A1" i="10"/>
  <c r="A1" i="9"/>
  <c r="A1" i="11"/>
  <c r="A264" i="24" l="1"/>
  <c r="K42" i="16"/>
  <c r="K48" i="16"/>
  <c r="H8" i="8"/>
  <c r="A436" i="24"/>
  <c r="O221" i="24"/>
  <c r="O178" i="24"/>
  <c r="R22" i="4"/>
  <c r="S22" i="4" s="1"/>
  <c r="I13" i="16" s="1"/>
  <c r="R23" i="4"/>
  <c r="S23" i="4" s="1"/>
  <c r="I15" i="16" s="1"/>
  <c r="O307" i="24"/>
  <c r="A47" i="24"/>
  <c r="O92" i="24"/>
  <c r="O264" i="24"/>
  <c r="O393" i="24"/>
  <c r="O135" i="24"/>
  <c r="A391" i="24"/>
  <c r="O479" i="24"/>
  <c r="O350" i="24"/>
  <c r="O49" i="24"/>
  <c r="A219" i="24"/>
  <c r="A176" i="24"/>
  <c r="AH22" i="24"/>
  <c r="AH23" i="24"/>
  <c r="AH24" i="24"/>
  <c r="AH25" i="24"/>
  <c r="AH26" i="24"/>
  <c r="AH21" i="24"/>
  <c r="AH19" i="24"/>
  <c r="AH16" i="24"/>
  <c r="AE14" i="24"/>
  <c r="K1" i="24" s="1"/>
  <c r="A24" i="8" s="1"/>
  <c r="R25" i="8" s="1"/>
  <c r="A25" i="8" s="1"/>
  <c r="AH15" i="24"/>
  <c r="AJ14" i="24"/>
  <c r="P1" i="24" s="1"/>
  <c r="D317" i="7"/>
  <c r="L23" i="8"/>
  <c r="D328" i="7" s="1"/>
  <c r="D305" i="7"/>
  <c r="I23" i="8"/>
  <c r="D316" i="7" s="1"/>
  <c r="O19" i="8"/>
  <c r="D336" i="7" s="1"/>
  <c r="O13" i="8"/>
  <c r="O12" i="8" s="1"/>
  <c r="D332" i="7"/>
  <c r="F23" i="8"/>
  <c r="D304" i="7" s="1"/>
  <c r="D253" i="7"/>
  <c r="D219" i="7"/>
  <c r="D183" i="7"/>
  <c r="L19" i="10"/>
  <c r="K25" i="10" s="1"/>
  <c r="D27" i="7"/>
  <c r="D31" i="7"/>
  <c r="D87" i="7"/>
  <c r="L7" i="7"/>
  <c r="N32" i="9"/>
  <c r="N25" i="9"/>
  <c r="D268" i="7"/>
  <c r="D264" i="7"/>
  <c r="L5" i="7"/>
  <c r="O5" i="7" s="1"/>
  <c r="H32" i="9"/>
  <c r="H25" i="9"/>
  <c r="K32" i="9"/>
  <c r="L6" i="7"/>
  <c r="D238" i="7"/>
  <c r="B25" i="9"/>
  <c r="D208" i="7"/>
  <c r="B32" i="9"/>
  <c r="Q25" i="10"/>
  <c r="D187" i="7"/>
  <c r="H25" i="10"/>
  <c r="D142" i="7"/>
  <c r="D91" i="7"/>
  <c r="N25" i="11"/>
  <c r="D76" i="7"/>
  <c r="H25" i="11"/>
  <c r="D46" i="7"/>
  <c r="D42" i="7"/>
  <c r="B25" i="11"/>
  <c r="A20" i="11"/>
  <c r="D16" i="7"/>
  <c r="D39" i="17"/>
  <c r="D29" i="16" s="1"/>
  <c r="I63" i="17"/>
  <c r="D72" i="16" s="1"/>
  <c r="E72" i="16" s="1"/>
  <c r="J14" i="17"/>
  <c r="J7" i="16" s="1"/>
  <c r="D62" i="17"/>
  <c r="D65" i="16" s="1"/>
  <c r="S7" i="17"/>
  <c r="K21" i="16" s="1"/>
  <c r="S58" i="17"/>
  <c r="E58" i="16" s="1"/>
  <c r="H7" i="17"/>
  <c r="J22" i="16" s="1"/>
  <c r="K22" i="16" s="1"/>
  <c r="D18" i="17"/>
  <c r="D18" i="16" s="1"/>
  <c r="D13" i="17"/>
  <c r="D12" i="16" s="1"/>
  <c r="D8" i="17"/>
  <c r="D6" i="16" s="1"/>
  <c r="E6" i="16" s="1"/>
  <c r="D22" i="17"/>
  <c r="J12" i="16" s="1"/>
  <c r="K12" i="16" s="1"/>
  <c r="D48" i="17"/>
  <c r="D48" i="16" s="1"/>
  <c r="E48" i="16" s="1"/>
  <c r="S34" i="17"/>
  <c r="E21" i="16" s="1"/>
  <c r="D11" i="17"/>
  <c r="D9" i="16" s="1"/>
  <c r="E9" i="16" s="1"/>
  <c r="H22" i="17"/>
  <c r="T22" i="17" s="1"/>
  <c r="K22" i="17"/>
  <c r="W22" i="17" s="1"/>
  <c r="I48" i="17"/>
  <c r="D54" i="16" s="1"/>
  <c r="J23" i="17"/>
  <c r="V23" i="17" s="1"/>
  <c r="I53" i="17"/>
  <c r="J51" i="16" s="1"/>
  <c r="K51" i="16" s="1"/>
  <c r="K21" i="17"/>
  <c r="W21" i="17" s="1"/>
  <c r="H9" i="17"/>
  <c r="J25" i="16" s="1"/>
  <c r="E43" i="16"/>
  <c r="E25" i="16"/>
  <c r="D61" i="17"/>
  <c r="D63" i="16" s="1"/>
  <c r="D52" i="17"/>
  <c r="J43" i="16" s="1"/>
  <c r="D7" i="17"/>
  <c r="D4" i="16" s="1"/>
  <c r="E4" i="16" s="1"/>
  <c r="D37" i="17"/>
  <c r="D26" i="16" s="1"/>
  <c r="E26" i="16" s="1"/>
  <c r="D41" i="17"/>
  <c r="D31" i="16" s="1"/>
  <c r="I22" i="17"/>
  <c r="U22" i="17" s="1"/>
  <c r="I47" i="17"/>
  <c r="D53" i="16" s="1"/>
  <c r="E53" i="16" s="1"/>
  <c r="I21" i="17"/>
  <c r="U21" i="17" s="1"/>
  <c r="D46" i="17"/>
  <c r="D46" i="16" s="1"/>
  <c r="I23" i="17"/>
  <c r="U23" i="17" s="1"/>
  <c r="E5" i="17"/>
  <c r="I55" i="17"/>
  <c r="J53" i="16" s="1"/>
  <c r="K53" i="16" s="1"/>
  <c r="D15" i="17"/>
  <c r="D15" i="16" s="1"/>
  <c r="I59" i="17"/>
  <c r="D61" i="16" s="1"/>
  <c r="E61" i="16" s="1"/>
  <c r="I38" i="17"/>
  <c r="D34" i="16" s="1"/>
  <c r="E34" i="16" s="1"/>
  <c r="D16" i="17"/>
  <c r="D16" i="16" s="1"/>
  <c r="I54" i="17"/>
  <c r="J52" i="16" s="1"/>
  <c r="D60" i="17"/>
  <c r="D62" i="16" s="1"/>
  <c r="E62" i="16" s="1"/>
  <c r="H11" i="17"/>
  <c r="J27" i="16" s="1"/>
  <c r="K27" i="16" s="1"/>
  <c r="D59" i="17"/>
  <c r="D59" i="16" s="1"/>
  <c r="J13" i="17"/>
  <c r="J6" i="16" s="1"/>
  <c r="D64" i="17"/>
  <c r="D67" i="16" s="1"/>
  <c r="E67" i="16" s="1"/>
  <c r="I35" i="17"/>
  <c r="D24" i="16" s="1"/>
  <c r="E24" i="16" s="1"/>
  <c r="E44" i="16"/>
  <c r="L6" i="4"/>
  <c r="D17" i="17"/>
  <c r="D17" i="16" s="1"/>
  <c r="E17" i="16" s="1"/>
  <c r="I45" i="17"/>
  <c r="D51" i="16" s="1"/>
  <c r="E51" i="16" s="1"/>
  <c r="D12" i="17"/>
  <c r="D11" i="16" s="1"/>
  <c r="E11" i="16" s="1"/>
  <c r="D51" i="17"/>
  <c r="J40" i="16" s="1"/>
  <c r="D49" i="17"/>
  <c r="D49" i="16" s="1"/>
  <c r="E49" i="16" s="1"/>
  <c r="D40" i="17"/>
  <c r="D30" i="16" s="1"/>
  <c r="E30" i="16" s="1"/>
  <c r="D47" i="17"/>
  <c r="D47" i="16" s="1"/>
  <c r="E47" i="16" s="1"/>
  <c r="I37" i="17"/>
  <c r="D33" i="16" s="1"/>
  <c r="E33" i="16" s="1"/>
  <c r="S50" i="17"/>
  <c r="K39" i="16" s="1"/>
  <c r="I56" i="17"/>
  <c r="J54" i="16" s="1"/>
  <c r="K54" i="16" s="1"/>
  <c r="D9" i="17"/>
  <c r="D7" i="16" s="1"/>
  <c r="E7" i="16" s="1"/>
  <c r="I40" i="17"/>
  <c r="D36" i="16" s="1"/>
  <c r="D63" i="17"/>
  <c r="D66" i="16" s="1"/>
  <c r="E66" i="16" s="1"/>
  <c r="D53" i="17"/>
  <c r="J44" i="16" s="1"/>
  <c r="K44" i="16" s="1"/>
  <c r="I39" i="17"/>
  <c r="D35" i="16" s="1"/>
  <c r="E35" i="16" s="1"/>
  <c r="S42" i="17"/>
  <c r="E39" i="16" s="1"/>
  <c r="E2" i="16"/>
  <c r="D55" i="17"/>
  <c r="J47" i="16" s="1"/>
  <c r="K47" i="16" s="1"/>
  <c r="K23" i="17"/>
  <c r="W23" i="17" s="1"/>
  <c r="H10" i="17"/>
  <c r="J26" i="16" s="1"/>
  <c r="J22" i="17"/>
  <c r="V22" i="17" s="1"/>
  <c r="D54" i="17"/>
  <c r="J46" i="16" s="1"/>
  <c r="D6" i="17"/>
  <c r="D3" i="16" s="1"/>
  <c r="E3" i="16" s="1"/>
  <c r="K52" i="16"/>
  <c r="K24" i="16"/>
  <c r="A434" i="24"/>
  <c r="A305" i="24"/>
  <c r="A49" i="24"/>
  <c r="E40" i="16"/>
  <c r="A90" i="24"/>
  <c r="A262" i="24"/>
  <c r="A307" i="24"/>
  <c r="I17" i="20"/>
  <c r="E43" i="21" s="1"/>
  <c r="A92" i="24"/>
  <c r="E46" i="16"/>
  <c r="A178" i="24"/>
  <c r="A350" i="24"/>
  <c r="C16" i="20"/>
  <c r="E30" i="21" s="1"/>
  <c r="F14" i="20"/>
  <c r="E28" i="21" s="1"/>
  <c r="D8" i="20"/>
  <c r="E6" i="21" s="1"/>
  <c r="D10" i="20"/>
  <c r="E14" i="21" s="1"/>
  <c r="E16" i="20"/>
  <c r="E34" i="21" s="1"/>
  <c r="C10" i="20"/>
  <c r="E12" i="21" s="1"/>
  <c r="F12" i="21" s="1"/>
  <c r="K26" i="16"/>
  <c r="F17" i="18"/>
  <c r="D37" i="21" s="1"/>
  <c r="F37" i="21" s="1"/>
  <c r="D10" i="17"/>
  <c r="D8" i="16" s="1"/>
  <c r="E8" i="16" s="1"/>
  <c r="A479" i="24"/>
  <c r="E15" i="16"/>
  <c r="C13" i="18"/>
  <c r="A133" i="24"/>
  <c r="C59" i="16"/>
  <c r="A221" i="24"/>
  <c r="G16" i="20"/>
  <c r="E38" i="21" s="1"/>
  <c r="A6" i="24"/>
  <c r="A135" i="24"/>
  <c r="F8" i="20"/>
  <c r="E10" i="21" s="1"/>
  <c r="E11" i="20"/>
  <c r="E17" i="21" s="1"/>
  <c r="F17" i="21" s="1"/>
  <c r="H16" i="20"/>
  <c r="E40" i="21" s="1"/>
  <c r="E8" i="20"/>
  <c r="E8" i="21" s="1"/>
  <c r="D16" i="20"/>
  <c r="E32" i="21" s="1"/>
  <c r="C16" i="18"/>
  <c r="C13" i="20"/>
  <c r="E21" i="21" s="1"/>
  <c r="C8" i="20"/>
  <c r="E4" i="21" s="1"/>
  <c r="A348" i="24"/>
  <c r="F13" i="20"/>
  <c r="E27" i="21" s="1"/>
  <c r="K46" i="16"/>
  <c r="D14" i="20"/>
  <c r="E24" i="21" s="1"/>
  <c r="E10" i="20"/>
  <c r="E16" i="21" s="1"/>
  <c r="E29" i="16"/>
  <c r="E16" i="16"/>
  <c r="E12" i="16"/>
  <c r="K4" i="16"/>
  <c r="E70" i="16"/>
  <c r="E18" i="16"/>
  <c r="K49" i="16"/>
  <c r="K40" i="16"/>
  <c r="W17" i="18"/>
  <c r="F13" i="18"/>
  <c r="J16" i="18"/>
  <c r="D7" i="18"/>
  <c r="U6" i="18" s="1"/>
  <c r="U7" i="18" s="1"/>
  <c r="E17" i="18"/>
  <c r="D11" i="18"/>
  <c r="E7" i="18"/>
  <c r="E52" i="16"/>
  <c r="E28" i="16"/>
  <c r="F7" i="18"/>
  <c r="T17" i="18"/>
  <c r="K43" i="16"/>
  <c r="E13" i="16"/>
  <c r="G17" i="18"/>
  <c r="G16" i="18"/>
  <c r="D38" i="21" s="1"/>
  <c r="F38" i="21" s="1"/>
  <c r="C14" i="18"/>
  <c r="K17" i="18"/>
  <c r="K6" i="16"/>
  <c r="E8" i="18"/>
  <c r="D8" i="21" s="1"/>
  <c r="D17" i="18"/>
  <c r="K10" i="16"/>
  <c r="E71" i="16"/>
  <c r="E31" i="16"/>
  <c r="E54" i="16"/>
  <c r="I16" i="18"/>
  <c r="Z15" i="18" s="1"/>
  <c r="Z16" i="18" s="1"/>
  <c r="H16" i="18"/>
  <c r="F8" i="18"/>
  <c r="W8" i="18" s="1"/>
  <c r="J17" i="18"/>
  <c r="K14" i="16"/>
  <c r="F19" i="10"/>
  <c r="D123" i="7"/>
  <c r="BA16" i="24"/>
  <c r="BB16" i="24"/>
  <c r="BA78" i="24"/>
  <c r="BB78" i="24"/>
  <c r="BB86" i="24"/>
  <c r="BA86" i="24"/>
  <c r="BB28" i="24"/>
  <c r="BA28" i="24"/>
  <c r="BB43" i="24"/>
  <c r="BA43" i="24"/>
  <c r="BB56" i="24"/>
  <c r="BA56" i="24"/>
  <c r="BB110" i="24"/>
  <c r="BA110" i="24"/>
  <c r="J3" i="16"/>
  <c r="K3" i="16" s="1"/>
  <c r="BA94" i="24"/>
  <c r="BA50" i="24"/>
  <c r="BA98" i="24"/>
  <c r="E73" i="16"/>
  <c r="L35" i="4"/>
  <c r="C22" i="16"/>
  <c r="E22" i="16" s="1"/>
  <c r="D10" i="18"/>
  <c r="E16" i="18"/>
  <c r="E10" i="18"/>
  <c r="D13" i="18"/>
  <c r="D14" i="18"/>
  <c r="E13" i="18"/>
  <c r="C8" i="18"/>
  <c r="E14" i="18"/>
  <c r="D16" i="18"/>
  <c r="H17" i="18"/>
  <c r="C7" i="18"/>
  <c r="F16" i="18"/>
  <c r="I17" i="18"/>
  <c r="F14" i="18"/>
  <c r="D8" i="18"/>
  <c r="K16" i="18"/>
  <c r="C11" i="18"/>
  <c r="O8" i="7"/>
  <c r="E65" i="16"/>
  <c r="U21" i="4"/>
  <c r="R21" i="4" s="1"/>
  <c r="S21" i="4" s="1"/>
  <c r="I11" i="16" s="1"/>
  <c r="H24" i="4"/>
  <c r="E36" i="16"/>
  <c r="N25" i="10"/>
  <c r="D172" i="7"/>
  <c r="L4" i="7"/>
  <c r="D223" i="7"/>
  <c r="E25" i="9"/>
  <c r="A20" i="9"/>
  <c r="E32" i="9"/>
  <c r="AA300" i="12"/>
  <c r="N3" i="7" s="1"/>
  <c r="AD300" i="12"/>
  <c r="N6" i="7" s="1"/>
  <c r="O6" i="7" s="1"/>
  <c r="AE300" i="12"/>
  <c r="N7" i="7" s="1"/>
  <c r="T21" i="17"/>
  <c r="R21" i="17" s="1"/>
  <c r="S21" i="17" s="1"/>
  <c r="J11" i="16" s="1"/>
  <c r="T9" i="18"/>
  <c r="T10" i="18" s="1"/>
  <c r="T15" i="18"/>
  <c r="T16" i="18" s="1"/>
  <c r="D30" i="21"/>
  <c r="V11" i="18"/>
  <c r="BA4" i="24"/>
  <c r="D294" i="7"/>
  <c r="E68" i="16"/>
  <c r="E63" i="16"/>
  <c r="E42" i="16"/>
  <c r="I7" i="16"/>
  <c r="L14" i="4"/>
  <c r="K25" i="16"/>
  <c r="D157" i="7"/>
  <c r="D112" i="7"/>
  <c r="D108" i="7"/>
  <c r="AH20" i="24"/>
  <c r="BA84" i="24"/>
  <c r="BB84" i="24"/>
  <c r="BA91" i="24"/>
  <c r="BB91" i="24"/>
  <c r="BA31" i="24"/>
  <c r="BB31" i="24"/>
  <c r="AH18" i="24"/>
  <c r="K7" i="16" l="1"/>
  <c r="F30" i="21"/>
  <c r="D42" i="21"/>
  <c r="F42" i="21" s="1"/>
  <c r="H24" i="17"/>
  <c r="X15" i="18"/>
  <c r="X16" i="18" s="1"/>
  <c r="V8" i="18"/>
  <c r="F8" i="21"/>
  <c r="E59" i="16"/>
  <c r="R23" i="17"/>
  <c r="S23" i="17" s="1"/>
  <c r="J15" i="16" s="1"/>
  <c r="K15" i="16" s="1"/>
  <c r="R22" i="17"/>
  <c r="S22" i="17" s="1"/>
  <c r="J13" i="16" s="1"/>
  <c r="K13" i="16" s="1"/>
  <c r="AH14" i="24"/>
  <c r="G24" i="8"/>
  <c r="W7" i="8"/>
  <c r="D330" i="7"/>
  <c r="O23" i="8"/>
  <c r="D329" i="7"/>
  <c r="O7" i="7"/>
  <c r="A32" i="17"/>
  <c r="D21" i="21"/>
  <c r="F21" i="21" s="1"/>
  <c r="T12" i="18"/>
  <c r="T13" i="18" s="1"/>
  <c r="D39" i="21"/>
  <c r="F39" i="21" s="1"/>
  <c r="X17" i="18"/>
  <c r="D10" i="21"/>
  <c r="F10" i="21" s="1"/>
  <c r="D5" i="21"/>
  <c r="F5" i="21" s="1"/>
  <c r="D47" i="21"/>
  <c r="F47" i="21" s="1"/>
  <c r="AB17" i="18"/>
  <c r="V6" i="18"/>
  <c r="V7" i="18" s="1"/>
  <c r="D7" i="21"/>
  <c r="F7" i="21" s="1"/>
  <c r="D44" i="21"/>
  <c r="F44" i="21" s="1"/>
  <c r="AA15" i="18"/>
  <c r="AA16" i="18" s="1"/>
  <c r="K11" i="16"/>
  <c r="Y15" i="18"/>
  <c r="Y16" i="18" s="1"/>
  <c r="D40" i="21"/>
  <c r="F40" i="21" s="1"/>
  <c r="D45" i="21"/>
  <c r="F45" i="21" s="1"/>
  <c r="AA17" i="18"/>
  <c r="D33" i="21"/>
  <c r="F33" i="21" s="1"/>
  <c r="U17" i="18"/>
  <c r="T14" i="18"/>
  <c r="D22" i="21"/>
  <c r="F22" i="21" s="1"/>
  <c r="D9" i="21"/>
  <c r="F9" i="21" s="1"/>
  <c r="W6" i="18"/>
  <c r="W7" i="18" s="1"/>
  <c r="U11" i="18"/>
  <c r="D15" i="21"/>
  <c r="F15" i="21" s="1"/>
  <c r="D27" i="21"/>
  <c r="F27" i="21" s="1"/>
  <c r="W12" i="18"/>
  <c r="W13" i="18" s="1"/>
  <c r="V17" i="18"/>
  <c r="D35" i="21"/>
  <c r="F35" i="21" s="1"/>
  <c r="D13" i="21"/>
  <c r="F13" i="21" s="1"/>
  <c r="T11" i="18"/>
  <c r="D43" i="21"/>
  <c r="F43" i="21" s="1"/>
  <c r="Z17" i="18"/>
  <c r="D32" i="21"/>
  <c r="F32" i="21" s="1"/>
  <c r="U15" i="18"/>
  <c r="U16" i="18" s="1"/>
  <c r="D24" i="21"/>
  <c r="F24" i="21" s="1"/>
  <c r="U14" i="18"/>
  <c r="D14" i="21"/>
  <c r="F14" i="21" s="1"/>
  <c r="U9" i="18"/>
  <c r="U10" i="18" s="1"/>
  <c r="D46" i="21"/>
  <c r="F46" i="21" s="1"/>
  <c r="AB15" i="18"/>
  <c r="AB16" i="18" s="1"/>
  <c r="W15" i="18"/>
  <c r="W16" i="18" s="1"/>
  <c r="D36" i="21"/>
  <c r="F36" i="21" s="1"/>
  <c r="D26" i="21"/>
  <c r="F26" i="21" s="1"/>
  <c r="V14" i="18"/>
  <c r="U12" i="18"/>
  <c r="U13" i="18" s="1"/>
  <c r="D23" i="21"/>
  <c r="F23" i="21" s="1"/>
  <c r="O3" i="7"/>
  <c r="N9" i="7"/>
  <c r="D6" i="21"/>
  <c r="F6" i="21" s="1"/>
  <c r="U8" i="18"/>
  <c r="T6" i="18"/>
  <c r="T7" i="18" s="1"/>
  <c r="D3" i="21"/>
  <c r="F3" i="21" s="1"/>
  <c r="T8" i="18"/>
  <c r="D4" i="21"/>
  <c r="F4" i="21" s="1"/>
  <c r="V9" i="18"/>
  <c r="V10" i="18" s="1"/>
  <c r="D16" i="21"/>
  <c r="F16" i="21" s="1"/>
  <c r="E25" i="10"/>
  <c r="D127" i="7"/>
  <c r="A20" i="10"/>
  <c r="T5" i="18" s="1"/>
  <c r="O4" i="7"/>
  <c r="L9" i="7"/>
  <c r="W14" i="18"/>
  <c r="D28" i="21"/>
  <c r="F28" i="21" s="1"/>
  <c r="Y17" i="18"/>
  <c r="D41" i="21"/>
  <c r="F41" i="21" s="1"/>
  <c r="V12" i="18"/>
  <c r="V13" i="18" s="1"/>
  <c r="D25" i="21"/>
  <c r="F25" i="21" s="1"/>
  <c r="D34" i="21"/>
  <c r="F34" i="21" s="1"/>
  <c r="V15" i="18"/>
  <c r="V16" i="18" s="1"/>
  <c r="M24" i="8" l="1"/>
  <c r="T25" i="8" s="1"/>
  <c r="D340" i="7"/>
  <c r="V7" i="8"/>
  <c r="X10" i="18"/>
  <c r="AC16" i="18"/>
  <c r="C18" i="18"/>
  <c r="G10" i="18"/>
  <c r="G13" i="18"/>
  <c r="X13" i="18"/>
  <c r="X7" i="18"/>
  <c r="G7" i="18"/>
  <c r="J25" i="8" l="1"/>
  <c r="A30" i="4"/>
  <c r="R30" i="4" s="1"/>
  <c r="M26" i="8"/>
  <c r="U5" i="18"/>
  <c r="G9" i="18" s="1"/>
  <c r="F31" i="4" l="1"/>
  <c r="A31" i="4"/>
</calcChain>
</file>

<file path=xl/sharedStrings.xml><?xml version="1.0" encoding="utf-8"?>
<sst xmlns="http://schemas.openxmlformats.org/spreadsheetml/2006/main" count="14541" uniqueCount="3164">
  <si>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</si>
  <si>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</si>
  <si>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</si>
  <si>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</si>
  <si>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</si>
  <si>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</si>
  <si>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</si>
  <si>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</si>
  <si>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</si>
  <si>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</si>
  <si>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</si>
  <si>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</si>
  <si>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</si>
  <si>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</si>
  <si>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</si>
  <si>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CC2-First_Name &amp;
CC2-Last_Name</t>
  </si>
  <si>
    <t>Zip5 &amp;
Zip4</t>
  </si>
  <si>
    <t>FP-Zip5 &amp;
FP-Zip4</t>
  </si>
  <si>
    <t>CC2-Zip5 &amp;
CC2-Zip4</t>
  </si>
  <si>
    <t>MA-Zip5 &amp;
MA-Zip4</t>
  </si>
  <si>
    <t>CC1-Zip5 &amp;
CC1-Zip4</t>
  </si>
  <si>
    <t>CXC-Zip5 &amp;
CXC-Zip4</t>
  </si>
  <si>
    <t>Vref</t>
  </si>
  <si>
    <t>Months in YR</t>
  </si>
  <si>
    <t>CC1-First_Name &amp;
CC1-Last_Name</t>
  </si>
  <si>
    <t>OWNER_HCCIS_ID</t>
  </si>
  <si>
    <t>cap exp</t>
  </si>
  <si>
    <t>hccid_id</t>
  </si>
  <si>
    <t>rpt_year</t>
  </si>
  <si>
    <t>equip_type</t>
  </si>
  <si>
    <t>load script</t>
  </si>
  <si>
    <t>formset_type_id</t>
  </si>
  <si>
    <t>Diagnostic Imaging Facility Identification</t>
  </si>
  <si>
    <t>Web Site Address</t>
  </si>
  <si>
    <r>
      <t>HCCIS ID</t>
    </r>
    <r>
      <rPr>
        <b/>
        <sz val="9"/>
        <rFont val="Arial"/>
        <family val="2"/>
      </rPr>
      <t/>
    </r>
  </si>
  <si>
    <t>Mailing Address</t>
  </si>
  <si>
    <t>PET Procedures</t>
  </si>
  <si>
    <t>MRI Procedures</t>
  </si>
  <si>
    <t>Credential</t>
  </si>
  <si>
    <t>Diagnostic Imaging Facility</t>
  </si>
  <si>
    <t>Diagnostic Imaging Facility Name</t>
  </si>
  <si>
    <t>Multiple unit</t>
  </si>
  <si>
    <t>Zip</t>
  </si>
  <si>
    <t>Zip4</t>
  </si>
  <si>
    <t>Phone</t>
  </si>
  <si>
    <t>Fax</t>
  </si>
  <si>
    <t>Administrator First Name</t>
  </si>
  <si>
    <t>Administrator Last Name</t>
  </si>
  <si>
    <t>Administrator Title</t>
  </si>
  <si>
    <t>Administrator e-mail</t>
  </si>
  <si>
    <t>CFO Name</t>
  </si>
  <si>
    <t>Contact Person First Name</t>
  </si>
  <si>
    <t>Contact Person Last Name</t>
  </si>
  <si>
    <t>Web site</t>
  </si>
  <si>
    <t>MN</t>
  </si>
  <si>
    <t>e-mail</t>
  </si>
  <si>
    <t>N/A</t>
  </si>
  <si>
    <t>Complete this page, print it and have it signed.  Indicate any changes or corrections to data shown.</t>
  </si>
  <si>
    <t xml:space="preserve"> # of Months in Reporting Year</t>
  </si>
  <si>
    <t>Fiscal Year</t>
  </si>
  <si>
    <t>Please disregard the order of the account numbers.  These are for MDH recording purposes only and do not reflect any priority to the data items on the form.</t>
  </si>
  <si>
    <t>start of formset</t>
  </si>
  <si>
    <t>System Affiliation 1</t>
  </si>
  <si>
    <t>Affiliation Type 1</t>
  </si>
  <si>
    <t>System Affiliation 2</t>
  </si>
  <si>
    <t>Affiliation Type 2</t>
  </si>
  <si>
    <t>HCCIS_ID</t>
  </si>
  <si>
    <t>RPT_YEAR</t>
  </si>
  <si>
    <t>CODE</t>
  </si>
  <si>
    <t>VALUE</t>
  </si>
  <si>
    <t>FP org name</t>
  </si>
  <si>
    <t>FP Phone</t>
  </si>
  <si>
    <t>FP Extension</t>
  </si>
  <si>
    <t>FP Fax</t>
  </si>
  <si>
    <t>FP e-mail</t>
  </si>
  <si>
    <t>FP Address</t>
  </si>
  <si>
    <t>FP Multiple unit</t>
  </si>
  <si>
    <t>FP City</t>
  </si>
  <si>
    <t>FP County</t>
  </si>
  <si>
    <t>FP State</t>
  </si>
  <si>
    <t>FP Zip</t>
  </si>
  <si>
    <t>FP Zip4</t>
  </si>
  <si>
    <t>Project 1</t>
  </si>
  <si>
    <t>Change</t>
  </si>
  <si>
    <t>Project 2</t>
  </si>
  <si>
    <t>Project 3</t>
  </si>
  <si>
    <t>Project 4</t>
  </si>
  <si>
    <t>NPI</t>
  </si>
  <si>
    <t xml:space="preserve"> </t>
  </si>
  <si>
    <t>Leave data accounts blank when they are not applicable to your facility.  Use a zero only when the amount is zero.  If data are unavailable, please make note in the e-mail when submitting the report.</t>
  </si>
  <si>
    <t>Average Number of Hours/Month this Mobile Unit was Operated at this Location</t>
  </si>
  <si>
    <t>Total Number of Procedures Performed on this Mobile Unit at this Location</t>
  </si>
  <si>
    <t>Fixed</t>
  </si>
  <si>
    <t>Portable</t>
  </si>
  <si>
    <t>Mobile</t>
  </si>
  <si>
    <t>Type of Mobile Equipment (check only 1 per location)</t>
  </si>
  <si>
    <t>Please enter the number of fixed scanners at this location.</t>
  </si>
  <si>
    <t>Section 2: Count of Fixed Equipment</t>
  </si>
  <si>
    <t>Number of Hours/Month this Equipment was Leased</t>
  </si>
  <si>
    <t>Type of Equipment</t>
  </si>
  <si>
    <t>Scanner</t>
  </si>
  <si>
    <t>Please enter the number of portable scanners at this location.</t>
  </si>
  <si>
    <t>Fixed Equipment</t>
  </si>
  <si>
    <t>Portable Equipment</t>
  </si>
  <si>
    <t>Mobile Equipment</t>
  </si>
  <si>
    <t>Jump to applicable reporting sections</t>
  </si>
  <si>
    <t>Section 5: Count of Portable Equipment</t>
  </si>
  <si>
    <t>Section 6: Ownership of Portable Equipment</t>
  </si>
  <si>
    <t>Section 8: Count of Mobile Equipment</t>
  </si>
  <si>
    <t>Section 9: Ownership of Mobile Equipment</t>
  </si>
  <si>
    <t>Section 10: Leased Equipment</t>
  </si>
  <si>
    <t>Section 11: Mobile Equipment Locations</t>
  </si>
  <si>
    <t>Section 12: Financial or Economic Interest</t>
  </si>
  <si>
    <t>Section 13: Capital Expenditure Commitment Summary</t>
  </si>
  <si>
    <t>Section 14: Capital Expenditure Commitment Detail</t>
  </si>
  <si>
    <t>Capital Expenditure Contact (for sections 13 and 14)</t>
  </si>
  <si>
    <t>(select only 1)</t>
  </si>
  <si>
    <t>Compare Total Cap Exp
Proj $$s reported</t>
  </si>
  <si>
    <t>Sect 13
Summary</t>
  </si>
  <si>
    <t>Sect 14
Detail</t>
  </si>
  <si>
    <t>Project
Specific</t>
  </si>
  <si>
    <t>ECON_INTEREST_ID</t>
  </si>
  <si>
    <t>FOSRMET_TYPE_ID</t>
  </si>
  <si>
    <t>fixed</t>
  </si>
  <si>
    <t>portable</t>
  </si>
  <si>
    <t>mobile</t>
  </si>
  <si>
    <t>Each facility (freestanding or mobile unit) must complete a separate report.</t>
  </si>
  <si>
    <t>Address</t>
  </si>
  <si>
    <t>City</t>
  </si>
  <si>
    <t>Zip Code</t>
  </si>
  <si>
    <t>Facility Phone #</t>
  </si>
  <si>
    <t>Fax #</t>
  </si>
  <si>
    <t>Administrator's Name</t>
  </si>
  <si>
    <t>Administrator's Title</t>
  </si>
  <si>
    <t>CFO's Name</t>
  </si>
  <si>
    <t>County</t>
  </si>
  <si>
    <t>State</t>
  </si>
  <si>
    <t>Facility Fax #</t>
  </si>
  <si>
    <t>Title</t>
  </si>
  <si>
    <t>Direct Phone #</t>
  </si>
  <si>
    <t>Check Type of Affiliation(s):</t>
  </si>
  <si>
    <t>Owned</t>
  </si>
  <si>
    <t>Managed</t>
  </si>
  <si>
    <t>Leased</t>
  </si>
  <si>
    <t>Signed:</t>
  </si>
  <si>
    <t>Printed or Typed:</t>
  </si>
  <si>
    <t>Date:</t>
  </si>
  <si>
    <t>Position:</t>
  </si>
  <si>
    <t>Blue Cross Blue Shield</t>
  </si>
  <si>
    <t>Medica</t>
  </si>
  <si>
    <t>Auto</t>
  </si>
  <si>
    <t>Other Health Plans</t>
  </si>
  <si>
    <t>Medicare</t>
  </si>
  <si>
    <t>MinnesotaCare</t>
  </si>
  <si>
    <t>Total</t>
  </si>
  <si>
    <t>MA/PMAP</t>
  </si>
  <si>
    <t>Self Pay</t>
  </si>
  <si>
    <t>First Name</t>
  </si>
  <si>
    <t>Last Name</t>
  </si>
  <si>
    <t>Suffix</t>
  </si>
  <si>
    <t>Workers' Compensation</t>
  </si>
  <si>
    <t>Medical Equipment</t>
  </si>
  <si>
    <t>Building and Space</t>
  </si>
  <si>
    <t>THIS TAB IS HIDDEN FROM PROVIDER</t>
  </si>
  <si>
    <t>Federal Tax ID</t>
  </si>
  <si>
    <t>NAIC Code</t>
  </si>
  <si>
    <t>NAIC Group</t>
  </si>
  <si>
    <t>Accounting Method</t>
  </si>
  <si>
    <t>Type of Practice</t>
  </si>
  <si>
    <t>Country</t>
  </si>
  <si>
    <t>International Code</t>
  </si>
  <si>
    <t>pull in column W also</t>
  </si>
  <si>
    <t>Other Capital Expenditures</t>
  </si>
  <si>
    <t>Total Capital Expenditures</t>
  </si>
  <si>
    <t>Patient Care Services</t>
  </si>
  <si>
    <t>Other Patient Care Services</t>
  </si>
  <si>
    <t>Other Imaging</t>
  </si>
  <si>
    <t>General Infrastructure</t>
  </si>
  <si>
    <t>Building, Renovation, Non-Patient</t>
  </si>
  <si>
    <t>Computer, Laboratory, Phone, or Monitoring</t>
  </si>
  <si>
    <t>Electronic Medical Records</t>
  </si>
  <si>
    <t>Total Major Capital Expenditure Commitment Expense</t>
  </si>
  <si>
    <t>Contact Name</t>
  </si>
  <si>
    <t>Name of Person completing form</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</si>
  <si>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</si>
  <si>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</si>
  <si>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</si>
  <si>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</si>
  <si>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</si>
  <si>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</si>
  <si>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</si>
  <si>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</si>
  <si>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</si>
  <si>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</si>
  <si>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</si>
  <si>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</si>
  <si>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Capital Expenditure Project Specific Tab</t>
  </si>
  <si>
    <t>Project Location or Facility Name</t>
  </si>
  <si>
    <t>During the 2007 legislative session, Minnesota Statutes, section 144.565, was modified to broaden the definition of health care facilities that are required to submit annual diagnostic imaging utilization and services information to MDH. The requirement to all health care facilities (with the exception of hospitals) that provide diagnostic imaging services through the use of ionizing radiation or other imaging technique using fixed, portable, or mobile equipment regardless of whether the equipment used to provide the service is owned or leased. Please note that clinics are no longer exempt from this reporting requirement.</t>
  </si>
  <si>
    <t>Minnesota Statutes, section 62J.17</t>
  </si>
  <si>
    <t>Minnesota Statutes, section 62J.17 was modified during the 2007 legislative session to require the annual submission of major capital expenditure commitments. The law previously required this information to be submitted throughout the year, as the facilities made the spending commitments. Providers should now include this information with the submission of each facility’s Diagnostic Imaging report.</t>
  </si>
  <si>
    <t>Projects Reported</t>
  </si>
  <si>
    <t>Total value of Projects Reported</t>
  </si>
  <si>
    <t>Project 5</t>
  </si>
  <si>
    <t>Project 6</t>
  </si>
  <si>
    <t>Project 10</t>
  </si>
  <si>
    <t>Project 9</t>
  </si>
  <si>
    <t>Project 8</t>
  </si>
  <si>
    <t>Project 7</t>
  </si>
  <si>
    <t>Facility Name</t>
  </si>
  <si>
    <t>PreferredOne</t>
  </si>
  <si>
    <t>UCare MN</t>
  </si>
  <si>
    <t>M</t>
  </si>
  <si>
    <t>Affiliation(s)</t>
  </si>
  <si>
    <t>Phone Ext</t>
  </si>
  <si>
    <t>CC2 Zip</t>
  </si>
  <si>
    <t>CC2 Zip4</t>
  </si>
  <si>
    <t>CC1 First Name</t>
  </si>
  <si>
    <t>CC1 Last Name</t>
  </si>
  <si>
    <t>CC1 Title</t>
  </si>
  <si>
    <t>CC1 org name</t>
  </si>
  <si>
    <t>CC1 Phone</t>
  </si>
  <si>
    <t>CC1 Extension</t>
  </si>
  <si>
    <t>CC1 Fax</t>
  </si>
  <si>
    <t>CC1 e-mail</t>
  </si>
  <si>
    <t>CC1 Address</t>
  </si>
  <si>
    <t>CC1 Multiple unit</t>
  </si>
  <si>
    <t>CC1 City</t>
  </si>
  <si>
    <t>CC1 County</t>
  </si>
  <si>
    <t>CC1 State</t>
  </si>
  <si>
    <t>CC1 Zip</t>
  </si>
  <si>
    <t>CC1 Zip4</t>
  </si>
  <si>
    <t>FP First Name</t>
  </si>
  <si>
    <t>FP Last Name</t>
  </si>
  <si>
    <t>FP Title</t>
  </si>
  <si>
    <t>Minnesota
Statutes
Chapter
256B.0625</t>
  </si>
  <si>
    <t>health.hccis@state.mn.us</t>
  </si>
  <si>
    <t>Minnesota Statutes, section 144.565</t>
  </si>
  <si>
    <t>Definition: Diagnostic Imaging Facility</t>
  </si>
  <si>
    <t>Whenever reasonably possible, a diagnostic imaging facility must report actual numbers in all categories.  If it is not reasonably possible to report actual information, the diagnostic imaging facility may estimate using reasonable methods.  When an entry is an estimate, please identify it as an estimate.  Note that, upon request, the diagnostic imaging facility must provide a written explanation of the method used for the estimate.</t>
  </si>
  <si>
    <t>Number of Months this Equipment was Leased</t>
  </si>
  <si>
    <t>Information for EACH project over 1 million needs to be submitted on this formset on the Capital Expend Project Specific tab. Reporting this information is required by Minnesota Statutes, section 62J.17, subdivision 2 and 144.698, subdivision 1.</t>
  </si>
  <si>
    <t>Demographic Tab</t>
  </si>
  <si>
    <t>Mobile Locations Tab</t>
  </si>
  <si>
    <t>Leased Equipment Tab</t>
  </si>
  <si>
    <t>Economic Interest Tab</t>
  </si>
  <si>
    <t>Economic
Interest Tab</t>
  </si>
  <si>
    <t>Fixed Equipment Tab</t>
  </si>
  <si>
    <t>Portable Equipment Tab</t>
  </si>
  <si>
    <t>Mobile Equipment Tab</t>
  </si>
  <si>
    <t>Capital
Expenditure
Reporting Tab</t>
  </si>
  <si>
    <t>Capital Expenditure 
Project Specific Tab</t>
  </si>
  <si>
    <t>SPECT/CT Combination Procedures</t>
  </si>
  <si>
    <t>CT Procedures</t>
  </si>
  <si>
    <t>PET/CT Combination Procedures</t>
  </si>
  <si>
    <t>CER Sys ID</t>
  </si>
  <si>
    <t>This certification must be signed by an officer of the Diagnostic Imaging center such as the Administrator, CEO, or CFO.  The signed copy of this page must be either faxed or mailed, or emailed (pdf) to MDH.</t>
  </si>
  <si>
    <t>FORMSET_TYPE_ID</t>
  </si>
  <si>
    <t>CER ID</t>
  </si>
  <si>
    <t>HealthPartners</t>
  </si>
  <si>
    <t>Contact Information</t>
  </si>
  <si>
    <t>Preparer</t>
  </si>
  <si>
    <t>Organization Name</t>
  </si>
  <si>
    <t>Courtesy Contact 1</t>
  </si>
  <si>
    <t>Courtesy Contact Name</t>
  </si>
  <si>
    <t xml:space="preserve">City </t>
  </si>
  <si>
    <t>Courtesy Contact 2</t>
  </si>
  <si>
    <t>Administrator's e-mail</t>
  </si>
  <si>
    <t>SPECT Procedures</t>
  </si>
  <si>
    <t>Yes</t>
  </si>
  <si>
    <t>No</t>
  </si>
  <si>
    <t>Direct Phone</t>
  </si>
  <si>
    <t>Company Name</t>
  </si>
  <si>
    <t>MRI</t>
  </si>
  <si>
    <t>PET</t>
  </si>
  <si>
    <t>PET/CT Combination</t>
  </si>
  <si>
    <t>CT</t>
  </si>
  <si>
    <t>SPECT/CT Combination</t>
  </si>
  <si>
    <t>SPECT</t>
  </si>
  <si>
    <t>Total Major Capital Expenditure Commitments (for projects listed in code 7595 above)</t>
  </si>
  <si>
    <t>Formset Preparer</t>
  </si>
  <si>
    <t>physical location of facility</t>
  </si>
  <si>
    <t>mailing address</t>
  </si>
  <si>
    <t>Zip5</t>
  </si>
  <si>
    <t>Retrospective Review Reporting Exceptions</t>
  </si>
  <si>
    <t>CC2 First Name</t>
  </si>
  <si>
    <t>CC2 Last Name</t>
  </si>
  <si>
    <t>CC2 Title</t>
  </si>
  <si>
    <t>CC2 org name</t>
  </si>
  <si>
    <t>CC2 Phone</t>
  </si>
  <si>
    <t>CC2 Extension</t>
  </si>
  <si>
    <t>CC2 Fax</t>
  </si>
  <si>
    <t>CC2 e-mail</t>
  </si>
  <si>
    <t>CC2 Address</t>
  </si>
  <si>
    <t>CC2 Multiple unit</t>
  </si>
  <si>
    <t>CC2 City</t>
  </si>
  <si>
    <t>CC2 County</t>
  </si>
  <si>
    <t>CC2 State</t>
  </si>
  <si>
    <t>System Affiliation 3</t>
  </si>
  <si>
    <t>Affiliation Type 3</t>
  </si>
  <si>
    <t>FYE</t>
  </si>
  <si>
    <t># Months</t>
  </si>
  <si>
    <t>vlookup</t>
  </si>
  <si>
    <t>entered</t>
  </si>
  <si>
    <t>Mailing Add Contact</t>
  </si>
  <si>
    <t>MA Contact ID</t>
  </si>
  <si>
    <t>FP Contact ID</t>
  </si>
  <si>
    <t>CC1 Contact ID</t>
  </si>
  <si>
    <t>CC2 Contact ID</t>
  </si>
  <si>
    <t>CXC Contact ID</t>
  </si>
  <si>
    <t>MA-Multiple_Unit</t>
  </si>
  <si>
    <t>MA-City</t>
  </si>
  <si>
    <t>MA-County</t>
  </si>
  <si>
    <t>MA-State</t>
  </si>
  <si>
    <t>Admin_Title</t>
  </si>
  <si>
    <t>Admin_e-mail</t>
  </si>
  <si>
    <t>CFO_Name</t>
  </si>
  <si>
    <t>FP-Last_Name</t>
  </si>
  <si>
    <t>FP-Title</t>
  </si>
  <si>
    <t>FP-Org_Name</t>
  </si>
  <si>
    <t>FP-Phone</t>
  </si>
  <si>
    <t>FP-Fax</t>
  </si>
  <si>
    <t>FP-e-mail</t>
  </si>
  <si>
    <t>FP-City</t>
  </si>
  <si>
    <t>FP-County</t>
  </si>
  <si>
    <t>FP-State</t>
  </si>
  <si>
    <t>FP-Zip4</t>
  </si>
  <si>
    <t>CC1-Last_Name</t>
  </si>
  <si>
    <t>CC1-Title</t>
  </si>
  <si>
    <t>CC1-Org_Name</t>
  </si>
  <si>
    <t>CC1-Fax</t>
  </si>
  <si>
    <t>CC1-e-mail</t>
  </si>
  <si>
    <t>CC1-City</t>
  </si>
  <si>
    <t>CC1-County</t>
  </si>
  <si>
    <t>CC1-State</t>
  </si>
  <si>
    <t>CC2-Last_Name</t>
  </si>
  <si>
    <t>CC2-Title</t>
  </si>
  <si>
    <t>CC2-Org_Name</t>
  </si>
  <si>
    <t>CC2-Phone</t>
  </si>
  <si>
    <t>CC2-Fax</t>
  </si>
  <si>
    <t>CC2-e-mail</t>
  </si>
  <si>
    <t>CC2-City</t>
  </si>
  <si>
    <t>CC2-County</t>
  </si>
  <si>
    <t>CC2-State</t>
  </si>
  <si>
    <t>CXC-Last_Name</t>
  </si>
  <si>
    <t>CXC-Title</t>
  </si>
  <si>
    <t>CXC-Org_Name</t>
  </si>
  <si>
    <t>CXC-Phone</t>
  </si>
  <si>
    <t>CXC-Fax</t>
  </si>
  <si>
    <t>CXC-e-mail</t>
  </si>
  <si>
    <t>CXC-City</t>
  </si>
  <si>
    <t>CXC-County</t>
  </si>
  <si>
    <t>CXC-State</t>
  </si>
  <si>
    <t>Web Site</t>
  </si>
  <si>
    <t>System_Affiliation_1</t>
  </si>
  <si>
    <t>Affiliation_Type_1</t>
  </si>
  <si>
    <t>System_Affiliation_2</t>
  </si>
  <si>
    <t>Affiliation_Type_2</t>
  </si>
  <si>
    <t>System_Affiliation_3</t>
  </si>
  <si>
    <t>Affiliation_Type_3</t>
  </si>
  <si>
    <t>Capital Exp Contact</t>
  </si>
  <si>
    <t>Facility Information</t>
  </si>
  <si>
    <t>CC1-Phone</t>
  </si>
  <si>
    <t>CXC-First_Name &amp;
CXC-Last_Name</t>
  </si>
  <si>
    <t>Address &amp;
 Mult Unit</t>
  </si>
  <si>
    <t>FP-Ext</t>
  </si>
  <si>
    <t>CC1-Ext</t>
  </si>
  <si>
    <t>CXC-Ext</t>
  </si>
  <si>
    <t>CC2-Ext</t>
  </si>
  <si>
    <t>script for loading data</t>
  </si>
  <si>
    <t>CXC-Address &amp;
CXC-Mult Unit</t>
  </si>
  <si>
    <t>CC1-Address &amp;
CC1-Mult Unit</t>
  </si>
  <si>
    <t>CC2-Address &amp;
 CC-2-Mult Unit</t>
  </si>
  <si>
    <t>FP-Address &amp;
 FP-Mult Unit</t>
  </si>
  <si>
    <t>MA-Address &amp;
MA-Mult Unit</t>
  </si>
  <si>
    <t>Admin_First_ Name &amp;
Admin_Last_Name</t>
  </si>
  <si>
    <t>FP-First_Name &amp;
FP-Last_Name</t>
  </si>
  <si>
    <t>Preparer  (required)</t>
  </si>
  <si>
    <t>Courtesy Contact 1 (optional)</t>
  </si>
  <si>
    <t>Courtesy Contact 2 (optional)</t>
  </si>
  <si>
    <t>Accrediting Organization</t>
  </si>
  <si>
    <t>American College of Radiology (ACR)</t>
  </si>
  <si>
    <t>CTAP</t>
  </si>
  <si>
    <t>Intersocietal Accreditation Commission (IAC)</t>
  </si>
  <si>
    <t>MRAP</t>
  </si>
  <si>
    <t>PETAP</t>
  </si>
  <si>
    <t>NMAP</t>
  </si>
  <si>
    <t>CTA</t>
  </si>
  <si>
    <t>MRA</t>
  </si>
  <si>
    <t>Diag. Imaging</t>
  </si>
  <si>
    <t>The Joint Commission (TJC)</t>
  </si>
  <si>
    <t>Imaging
Radiology</t>
  </si>
  <si>
    <t>Section Number</t>
  </si>
  <si>
    <t>Explanation</t>
  </si>
  <si>
    <t>Section 1</t>
  </si>
  <si>
    <t>Section 2</t>
  </si>
  <si>
    <t>Section 3</t>
  </si>
  <si>
    <t>Section 4</t>
  </si>
  <si>
    <t>Section 5</t>
  </si>
  <si>
    <t>Section 6</t>
  </si>
  <si>
    <t>Section 7</t>
  </si>
  <si>
    <t>Section 8</t>
  </si>
  <si>
    <t>Section 9</t>
  </si>
  <si>
    <t>Section 10</t>
  </si>
  <si>
    <t>Section 11</t>
  </si>
  <si>
    <t>Section 12</t>
  </si>
  <si>
    <t>Section 13</t>
  </si>
  <si>
    <t>Section 14</t>
  </si>
  <si>
    <t>Section 15</t>
  </si>
  <si>
    <t>Cert Expiration</t>
  </si>
  <si>
    <t>Accreditation</t>
  </si>
  <si>
    <t>Information Regarding Reporting</t>
  </si>
  <si>
    <t>Diagnostic Imaging Accreditation Certification</t>
  </si>
  <si>
    <t>Document Explanations if needed</t>
  </si>
  <si>
    <t>Document Explanations</t>
  </si>
  <si>
    <t>CT
scanner</t>
  </si>
  <si>
    <t>Nuc
Cardiology</t>
  </si>
  <si>
    <t>ACR MRAP
Exp Date</t>
  </si>
  <si>
    <t>ACR PETAP Exp Date</t>
  </si>
  <si>
    <t>ACR CTAP
Exp Date</t>
  </si>
  <si>
    <t>ACR NMAP
Exp Date</t>
  </si>
  <si>
    <t>TJC
MRA
Exp Date</t>
  </si>
  <si>
    <t>TJC
MRI
Exp Date</t>
  </si>
  <si>
    <t>TJC
PET
Exp Date</t>
  </si>
  <si>
    <t>TJC
CT
Exp Date</t>
  </si>
  <si>
    <t>TJC
CTA
Exp Date</t>
  </si>
  <si>
    <t>TJC
CT scan
Exp Date</t>
  </si>
  <si>
    <t>TJC
NucCard
Exp Date</t>
  </si>
  <si>
    <t>TJC
Diag Img
Exp Date</t>
  </si>
  <si>
    <t>TJC
Img Rad
Exp Date</t>
  </si>
  <si>
    <t xml:space="preserve">ACR MRAP
</t>
  </si>
  <si>
    <t xml:space="preserve">ACR PETAP
</t>
  </si>
  <si>
    <t xml:space="preserve">ACR CTAP
</t>
  </si>
  <si>
    <t xml:space="preserve">ACR NMAP
</t>
  </si>
  <si>
    <t xml:space="preserve">TJC
MRA
</t>
  </si>
  <si>
    <t xml:space="preserve">TJC
MRI
</t>
  </si>
  <si>
    <t xml:space="preserve">TJC
PET
</t>
  </si>
  <si>
    <t xml:space="preserve">TJC
CT
</t>
  </si>
  <si>
    <t xml:space="preserve">TJC
CTA
</t>
  </si>
  <si>
    <t xml:space="preserve">TJC
CT scan
</t>
  </si>
  <si>
    <t xml:space="preserve">TJC
NucCard
</t>
  </si>
  <si>
    <t xml:space="preserve">TJC
Diag Img
</t>
  </si>
  <si>
    <t xml:space="preserve">TJC
Img Rad
</t>
  </si>
  <si>
    <t>Please indicate your facility's accrediting organization and relevant modalities below along with the certification expiration date of each modality.</t>
  </si>
  <si>
    <t>Accreditation Certification</t>
  </si>
  <si>
    <t>MRAP Exp Date</t>
  </si>
  <si>
    <t>PETAP Exp Date</t>
  </si>
  <si>
    <t>ACR</t>
  </si>
  <si>
    <t>CTAP Exp Date</t>
  </si>
  <si>
    <t>NMAP Exp Date</t>
  </si>
  <si>
    <t>IAC</t>
  </si>
  <si>
    <t>ICAMRL</t>
  </si>
  <si>
    <t>ICACTL</t>
  </si>
  <si>
    <t>ICANL</t>
  </si>
  <si>
    <t xml:space="preserve">IAC
ICA-MRL
</t>
  </si>
  <si>
    <t>IAC
ICA-MRL
Exp Date</t>
  </si>
  <si>
    <t xml:space="preserve">IAC
ICA-CTL
</t>
  </si>
  <si>
    <t>IAC
ICA-CTL
Exp Date</t>
  </si>
  <si>
    <t xml:space="preserve">IAC
ICA-NL
</t>
  </si>
  <si>
    <t>IAC
ICA-NL
Exp Date</t>
  </si>
  <si>
    <t>ICA-MRL</t>
  </si>
  <si>
    <t>ICA-MRL Exp Date</t>
  </si>
  <si>
    <t>ICA-CTL</t>
  </si>
  <si>
    <t>ICA-CTL Exp Date</t>
  </si>
  <si>
    <t>ICA-NL</t>
  </si>
  <si>
    <t>ICA-NL Exp Date</t>
  </si>
  <si>
    <t>TJC</t>
  </si>
  <si>
    <t>MRA Exp Date</t>
  </si>
  <si>
    <t>MRI Exp Date</t>
  </si>
  <si>
    <t>PET Exp Date</t>
  </si>
  <si>
    <t>CT Exp Date</t>
  </si>
  <si>
    <t>CTA Exp Date</t>
  </si>
  <si>
    <t>CT scanner</t>
  </si>
  <si>
    <t>CT scanner Exp Date</t>
  </si>
  <si>
    <t>Nuc Cardiology Exp Date</t>
  </si>
  <si>
    <t>Diag Imaging</t>
  </si>
  <si>
    <t>Diag Imaging Exp Date</t>
  </si>
  <si>
    <t>Imaging/Radiology</t>
  </si>
  <si>
    <t>Imaging/Radiology Exp Date</t>
  </si>
  <si>
    <t>Minnesota Statutes, section 144.1225</t>
  </si>
  <si>
    <t>accred org</t>
  </si>
  <si>
    <t>modality</t>
  </si>
  <si>
    <t>Check Type of Modalities
and enter Expiration of Certification</t>
  </si>
  <si>
    <t>HIDE</t>
  </si>
  <si>
    <t>Mobile Location Totals Check</t>
  </si>
  <si>
    <t>PET/CT</t>
  </si>
  <si>
    <t>SPECT/CT</t>
  </si>
  <si>
    <t>Code</t>
  </si>
  <si>
    <t>Type</t>
  </si>
  <si>
    <t>#billed</t>
  </si>
  <si>
    <t>Total of all scans reported on Mobile Location Tab</t>
  </si>
  <si>
    <t>#locations</t>
  </si>
  <si>
    <t>#scans</t>
  </si>
  <si>
    <t>mri</t>
  </si>
  <si>
    <t>pet</t>
  </si>
  <si>
    <t>pet/ct</t>
  </si>
  <si>
    <t>ct</t>
  </si>
  <si>
    <t>spect/ct</t>
  </si>
  <si>
    <t>spect</t>
  </si>
  <si>
    <t>Minnesota Statutes, section 144.1225 required accreditation by August 1, 2013. Reporting accreditation on this form is required. For more information please review the Accreditation Fact Sheet.</t>
  </si>
  <si>
    <t>Submission of accreditation certification is required.</t>
  </si>
  <si>
    <t>LOCATION</t>
  </si>
  <si>
    <t>ICACTL
Dental</t>
  </si>
  <si>
    <t>ICA-CTL Dental</t>
  </si>
  <si>
    <t>ICA-CTL Dental Exp Date</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</si>
  <si>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</si>
  <si>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</si>
  <si>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</si>
  <si>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</si>
  <si>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</si>
  <si>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</si>
  <si>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</si>
  <si>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</si>
  <si>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</si>
  <si>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</si>
  <si>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</si>
  <si>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</si>
  <si>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</si>
  <si>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</si>
  <si>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</si>
  <si>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</si>
  <si>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</si>
  <si>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</si>
  <si>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</si>
  <si>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</si>
  <si>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</si>
  <si>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</si>
  <si>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</si>
  <si>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</si>
  <si>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</si>
  <si>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</si>
  <si>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</si>
  <si>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</si>
  <si>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</si>
  <si>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</si>
  <si>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Cardiac Care</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</si>
  <si>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</si>
  <si>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</si>
  <si>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</si>
  <si>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</si>
  <si>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</si>
  <si>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</si>
  <si>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</si>
  <si>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</si>
  <si>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</si>
  <si>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</si>
  <si>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</si>
  <si>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</si>
  <si>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</si>
  <si>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</si>
  <si>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</si>
  <si>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</si>
  <si>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</si>
  <si>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Mental Health</t>
  </si>
  <si>
    <t>PET/CT - Replacement</t>
  </si>
  <si>
    <t>Multiple Specialty Areas</t>
  </si>
  <si>
    <t>Positron Emission Tomography (PET) - Additional</t>
  </si>
  <si>
    <t>Neurology</t>
  </si>
  <si>
    <t>Positron Emission Tomography (PET) - Replacement</t>
  </si>
  <si>
    <t>Impact</t>
  </si>
  <si>
    <t>Nursery</t>
  </si>
  <si>
    <t>Radiation Therapy</t>
  </si>
  <si>
    <t>Yes, project will improve patient quality and/or clinical effectiveness</t>
  </si>
  <si>
    <t>Obstetrics</t>
  </si>
  <si>
    <t>Robotic Surgery</t>
  </si>
  <si>
    <t>No, project will not improve patient quality and/or clinical effectiveness</t>
  </si>
  <si>
    <t>Oncology</t>
  </si>
  <si>
    <t>Single-Photon Emission CT (SPECT) - Additional</t>
  </si>
  <si>
    <t>Orthopedics</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</si>
  <si>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</si>
  <si>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</si>
  <si>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</si>
  <si>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</si>
  <si>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</si>
  <si>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</si>
  <si>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</si>
  <si>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</si>
  <si>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</si>
  <si>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</si>
  <si>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</si>
  <si>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</si>
  <si>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</si>
  <si>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</si>
  <si>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</si>
  <si>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Rehabilitation</t>
  </si>
  <si>
    <t>Surgery</t>
  </si>
  <si>
    <t>Urgent Care</t>
  </si>
  <si>
    <t>COLUMNS S and to the right of S are HIDDEN FROM PROVIDER</t>
  </si>
  <si>
    <t>LOC_NAME</t>
  </si>
  <si>
    <t>DESC_ACCESS</t>
  </si>
  <si>
    <t>DESC_EVIDENCE</t>
  </si>
  <si>
    <t>DESC_ALTERNATIVES</t>
  </si>
  <si>
    <t>EXCL_MEDED</t>
  </si>
  <si>
    <t>EXCL_BLGDMNT</t>
  </si>
  <si>
    <t>EXCL_NONPT</t>
  </si>
  <si>
    <t>EXCL_OWNCHG</t>
  </si>
  <si>
    <t>hccis.cer_project_type_tbl  data load</t>
  </si>
  <si>
    <t>Capital Expenditure Detail by Project</t>
  </si>
  <si>
    <t>Cap_Exp_RR_TBL Data Load</t>
  </si>
  <si>
    <t>SYSTEM_ID</t>
  </si>
  <si>
    <t>PROJECT_ID</t>
  </si>
  <si>
    <t>PROJECT_TYPE_ID</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</si>
  <si>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</si>
  <si>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CAP_EXP_RR_TBL</t>
  </si>
  <si>
    <t>Project Number 1</t>
  </si>
  <si>
    <t>CER_PROJECT_TYPE_TBL</t>
  </si>
  <si>
    <t>for DI, FOSC, and Systems</t>
  </si>
  <si>
    <t>CAP_EXP_RR_TYPE_TBL</t>
  </si>
  <si>
    <t>for HAR</t>
  </si>
  <si>
    <t>CER</t>
  </si>
  <si>
    <t>Proj. ID</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</si>
  <si>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</si>
  <si>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</si>
  <si>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</si>
  <si>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</si>
  <si>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</si>
  <si>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</si>
  <si>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</si>
  <si>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</si>
  <si>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Project Number 2</t>
  </si>
  <si>
    <t>Title and General Description of the Project</t>
  </si>
  <si>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</si>
  <si>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</si>
  <si>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</si>
  <si>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</si>
  <si>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</si>
  <si>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</si>
  <si>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</si>
  <si>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</si>
  <si>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</si>
  <si>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</si>
  <si>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</si>
  <si>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Project_Type_Table Elements</t>
  </si>
  <si>
    <t>Project Number 3</t>
  </si>
  <si>
    <t>Please provide details regarding improved access to care.</t>
  </si>
  <si>
    <t>ACCESS</t>
  </si>
  <si>
    <t>Are equivalent services available within 30 miles for your patient population?</t>
  </si>
  <si>
    <t>REMOTE_ACCESS</t>
  </si>
  <si>
    <t>Does the project involve new or increased capacity?</t>
  </si>
  <si>
    <t>CAPACITY</t>
  </si>
  <si>
    <t>What was the capacity level prior to expansion or added equipment?</t>
  </si>
  <si>
    <t>PRIOR_CAPACITY</t>
  </si>
  <si>
    <t>Project 11</t>
  </si>
  <si>
    <t>Please provide any additional information regarding how this project improves access to care.</t>
  </si>
  <si>
    <t>Project 12</t>
  </si>
  <si>
    <t>Please list the closest providers (name and town/city) of equivalent services or technology currently available within 10 miles.</t>
  </si>
  <si>
    <t>Project Number 4</t>
  </si>
  <si>
    <t>Please provide details regarding improved patient quality and/or clinical effectiveness of care.</t>
  </si>
  <si>
    <t>IMPACT</t>
  </si>
  <si>
    <t>Does the project result in improved patient quality and/or more effective clinical care than prior to the expenditure?</t>
  </si>
  <si>
    <t>MORE_EFFECTIVE</t>
  </si>
  <si>
    <t>Are any improvements in quality or clinical effectiveness supported by evidence?</t>
  </si>
  <si>
    <t>EFFECTIVE_EVIDENCE</t>
  </si>
  <si>
    <t>Please provide any additional information describing how the project improves patient quality or clinical effectiveness of care.</t>
  </si>
  <si>
    <t>Please list the source(s) of evidence for improved quality and/or clinical effectiveness.</t>
  </si>
  <si>
    <t>Project Number 5</t>
  </si>
  <si>
    <t>Please provide a description of alternatives considered and why more or less cost effective options were discarded.</t>
  </si>
  <si>
    <t>ALTERNATIVES</t>
  </si>
  <si>
    <t>Please describe any lawful collaborative arrangements, including the type of collaboration, the partnership name, the names of the partners, a description of their involvement and any other information that will facilitate a complete review of this project.</t>
  </si>
  <si>
    <t>Project Number 6</t>
  </si>
  <si>
    <t>Project Number 7</t>
  </si>
  <si>
    <t>Project Number 8</t>
  </si>
  <si>
    <t>Project Number 9</t>
  </si>
  <si>
    <t>Project Number 10</t>
  </si>
  <si>
    <t>Project Number 11</t>
  </si>
  <si>
    <t>Project Number 12</t>
  </si>
  <si>
    <r>
      <t xml:space="preserve">Minnesota Statutes, section 144.1225, require facilities that bill for the Technical Component of Advanced Diagnostic Imaging Services to be accredited by August 1, 2013 to be eligible for reimbursement. Facilities must annually report to the Commissioner of Health demonstration of this accreditation. Report accrediting organization, relevant modalities, and expiration of accreditation on this form. </t>
    </r>
    <r>
      <rPr>
        <b/>
        <sz val="10"/>
        <rFont val="Calibri"/>
        <family val="2"/>
      </rPr>
      <t>Submission of accreditation certification is required (pdf by email attachment) with this report.</t>
    </r>
  </si>
  <si>
    <r>
      <t xml:space="preserve">You are required to complete </t>
    </r>
    <r>
      <rPr>
        <b/>
        <i/>
        <sz val="10"/>
        <rFont val="Calibri"/>
        <family val="2"/>
      </rPr>
      <t>all</t>
    </r>
    <r>
      <rPr>
        <sz val="10"/>
        <rFont val="Calibri"/>
        <family val="2"/>
      </rPr>
      <t xml:space="preserve"> applicable sections of the report.</t>
    </r>
  </si>
  <si>
    <r>
      <t>(Reporting Entity)</t>
    </r>
    <r>
      <rPr>
        <u/>
        <sz val="10"/>
        <color indexed="12"/>
        <rFont val="Calibri"/>
        <family val="2"/>
      </rPr>
      <t xml:space="preserve"> </t>
    </r>
    <r>
      <rPr>
        <b/>
        <u/>
        <sz val="10"/>
        <color indexed="12"/>
        <rFont val="Calibri"/>
        <family val="2"/>
      </rPr>
      <t>HCCIS ID</t>
    </r>
  </si>
  <si>
    <r>
      <t xml:space="preserve">Certification Statement: </t>
    </r>
    <r>
      <rPr>
        <sz val="10"/>
        <rFont val="Calibri"/>
        <family val="2"/>
      </rPr>
      <t>I hereby certify that I have examined the accompanying Annual Report and to the best of my knowledge, the information contained in this report is accurate.</t>
    </r>
  </si>
  <si>
    <r>
      <t xml:space="preserve">Use the space below for elaborations or explanations for any of the information supplied on this form, or to document any changes in methods used from prior years' data.  You can use the </t>
    </r>
    <r>
      <rPr>
        <u/>
        <sz val="10"/>
        <color indexed="12"/>
        <rFont val="Calibri"/>
        <family val="2"/>
      </rPr>
      <t>hyperlinks</t>
    </r>
    <r>
      <rPr>
        <sz val="10"/>
        <color indexed="16"/>
        <rFont val="Calibri"/>
        <family val="2"/>
      </rPr>
      <t xml:space="preserve"> to return to specific sections in the form.</t>
    </r>
  </si>
  <si>
    <r>
      <t xml:space="preserve">Section 1: Utilization - </t>
    </r>
    <r>
      <rPr>
        <b/>
        <u/>
        <sz val="14"/>
        <color indexed="12"/>
        <rFont val="Calibri"/>
        <family val="2"/>
      </rPr>
      <t>Fixed Equipment</t>
    </r>
  </si>
  <si>
    <r>
      <t xml:space="preserve">Please enter the number of procedures </t>
    </r>
    <r>
      <rPr>
        <b/>
        <i/>
        <sz val="10"/>
        <color indexed="16"/>
        <rFont val="Calibri"/>
        <family val="2"/>
      </rPr>
      <t>provided and billed</t>
    </r>
    <r>
      <rPr>
        <sz val="10"/>
        <color indexed="16"/>
        <rFont val="Calibri"/>
        <family val="2"/>
      </rPr>
      <t xml:space="preserve"> by this facility regardless if the equipment is owned or leased.</t>
    </r>
  </si>
  <si>
    <r>
      <t xml:space="preserve">Enter </t>
    </r>
    <r>
      <rPr>
        <b/>
        <sz val="10"/>
        <color indexed="10"/>
        <rFont val="Calibri"/>
        <family val="2"/>
      </rPr>
      <t>TOTAL</t>
    </r>
    <r>
      <rPr>
        <sz val="10"/>
        <color indexed="10"/>
        <rFont val="Calibri"/>
        <family val="2"/>
      </rPr>
      <t xml:space="preserve"> MA and MinnesotaCare Managed Care Procedures if breakout detail for lines 16 and 18 are not available (cells in row 15 are NOT locked).</t>
    </r>
  </si>
  <si>
    <r>
      <t xml:space="preserve">Number of </t>
    </r>
    <r>
      <rPr>
        <b/>
        <sz val="10"/>
        <rFont val="Calibri"/>
        <family val="2"/>
      </rPr>
      <t>Fixed</t>
    </r>
    <r>
      <rPr>
        <sz val="10"/>
        <rFont val="Calibri"/>
        <family val="2"/>
      </rPr>
      <t xml:space="preserve"> Scanners</t>
    </r>
  </si>
  <si>
    <r>
      <t xml:space="preserve">Section 3: </t>
    </r>
    <r>
      <rPr>
        <b/>
        <sz val="10"/>
        <color indexed="16"/>
        <rFont val="Calibri"/>
        <family val="2"/>
      </rPr>
      <t>Ownership of</t>
    </r>
    <r>
      <rPr>
        <b/>
        <i/>
        <sz val="10"/>
        <color indexed="16"/>
        <rFont val="Calibri"/>
        <family val="2"/>
      </rPr>
      <t xml:space="preserve"> </t>
    </r>
    <r>
      <rPr>
        <b/>
        <sz val="10"/>
        <color indexed="16"/>
        <rFont val="Calibri"/>
        <family val="2"/>
      </rPr>
      <t>Fixed Equipment</t>
    </r>
  </si>
  <si>
    <r>
      <t xml:space="preserve">Please identify if the reporting entity </t>
    </r>
    <r>
      <rPr>
        <b/>
        <i/>
        <sz val="10"/>
        <color indexed="16"/>
        <rFont val="Calibri"/>
        <family val="2"/>
      </rPr>
      <t>owns or leases</t>
    </r>
    <r>
      <rPr>
        <sz val="10"/>
        <color indexed="16"/>
        <rFont val="Calibri"/>
        <family val="2"/>
      </rPr>
      <t xml:space="preserve"> the equipment for the utilization provided above.</t>
    </r>
  </si>
  <si>
    <r>
      <t xml:space="preserve">Do you </t>
    </r>
    <r>
      <rPr>
        <b/>
        <i/>
        <sz val="10"/>
        <rFont val="Calibri"/>
        <family val="2"/>
      </rPr>
      <t>own</t>
    </r>
    <r>
      <rPr>
        <sz val="10"/>
        <rFont val="Calibri"/>
        <family val="2"/>
      </rPr>
      <t xml:space="preserve"> this equipment?</t>
    </r>
  </si>
  <si>
    <r>
      <t xml:space="preserve">If you </t>
    </r>
    <r>
      <rPr>
        <b/>
        <i/>
        <sz val="10"/>
        <rFont val="Calibri"/>
        <family val="2"/>
      </rPr>
      <t>own</t>
    </r>
    <r>
      <rPr>
        <sz val="10"/>
        <rFont val="Calibri"/>
        <family val="2"/>
      </rPr>
      <t xml:space="preserve"> this equipment, do you </t>
    </r>
    <r>
      <rPr>
        <b/>
        <i/>
        <sz val="10"/>
        <rFont val="Calibri"/>
        <family val="2"/>
      </rPr>
      <t>lease</t>
    </r>
    <r>
      <rPr>
        <sz val="10"/>
        <rFont val="Calibri"/>
        <family val="2"/>
      </rPr>
      <t xml:space="preserve"> this equipment out to </t>
    </r>
    <r>
      <rPr>
        <b/>
        <i/>
        <sz val="10"/>
        <rFont val="Calibri"/>
        <family val="2"/>
      </rPr>
      <t>others</t>
    </r>
    <r>
      <rPr>
        <sz val="10"/>
        <rFont val="Calibri"/>
        <family val="2"/>
      </rPr>
      <t>?</t>
    </r>
  </si>
  <si>
    <r>
      <t>Section 4: Utilization -</t>
    </r>
    <r>
      <rPr>
        <b/>
        <u/>
        <sz val="14"/>
        <color indexed="12"/>
        <rFont val="Calibri"/>
        <family val="2"/>
      </rPr>
      <t xml:space="preserve"> Portable Equipment</t>
    </r>
  </si>
  <si>
    <r>
      <t xml:space="preserve">Enter </t>
    </r>
    <r>
      <rPr>
        <b/>
        <sz val="10"/>
        <color indexed="10"/>
        <rFont val="Calibri"/>
        <family val="2"/>
      </rPr>
      <t>TOTAL</t>
    </r>
    <r>
      <rPr>
        <sz val="10"/>
        <color indexed="10"/>
        <rFont val="Calibri"/>
        <family val="2"/>
      </rPr>
      <t xml:space="preserve"> MA and MinnesotaCare Managed Care Procedures if breakout detail for lines 16 &amp; 18 are not available (cells in row 15 are NOT locked).</t>
    </r>
  </si>
  <si>
    <r>
      <t xml:space="preserve">Number of </t>
    </r>
    <r>
      <rPr>
        <b/>
        <sz val="10"/>
        <rFont val="Calibri"/>
        <family val="2"/>
      </rPr>
      <t>Portable</t>
    </r>
    <r>
      <rPr>
        <sz val="10"/>
        <rFont val="Calibri"/>
        <family val="2"/>
      </rPr>
      <t xml:space="preserve"> Scanners</t>
    </r>
  </si>
  <si>
    <r>
      <t xml:space="preserve">Section 7: Utilization - </t>
    </r>
    <r>
      <rPr>
        <b/>
        <u/>
        <sz val="14"/>
        <color indexed="12"/>
        <rFont val="Calibri"/>
        <family val="2"/>
      </rPr>
      <t>Mobile Equipment</t>
    </r>
  </si>
  <si>
    <r>
      <t>Please enter the number of mobile scanners at</t>
    </r>
    <r>
      <rPr>
        <b/>
        <i/>
        <sz val="10"/>
        <color indexed="16"/>
        <rFont val="Calibri"/>
        <family val="2"/>
      </rPr>
      <t xml:space="preserve"> this location</t>
    </r>
    <r>
      <rPr>
        <sz val="10"/>
        <color indexed="16"/>
        <rFont val="Calibri"/>
        <family val="2"/>
      </rPr>
      <t>.</t>
    </r>
  </si>
  <si>
    <r>
      <t xml:space="preserve">Number of </t>
    </r>
    <r>
      <rPr>
        <b/>
        <sz val="10"/>
        <rFont val="Calibri"/>
        <family val="2"/>
      </rPr>
      <t>Mobile</t>
    </r>
    <r>
      <rPr>
        <sz val="10"/>
        <rFont val="Calibri"/>
        <family val="2"/>
      </rPr>
      <t xml:space="preserve"> Scanners</t>
    </r>
  </si>
  <si>
    <r>
      <t xml:space="preserve">Please list </t>
    </r>
    <r>
      <rPr>
        <b/>
        <i/>
        <sz val="10"/>
        <color indexed="16"/>
        <rFont val="Calibri"/>
        <family val="2"/>
      </rPr>
      <t>all</t>
    </r>
    <r>
      <rPr>
        <sz val="10"/>
        <color indexed="16"/>
        <rFont val="Calibri"/>
        <family val="2"/>
      </rPr>
      <t xml:space="preserve"> the entities to which the diagnostic imaging equipment is </t>
    </r>
    <r>
      <rPr>
        <b/>
        <i/>
        <sz val="10"/>
        <color indexed="16"/>
        <rFont val="Calibri"/>
        <family val="2"/>
      </rPr>
      <t xml:space="preserve">leased to </t>
    </r>
    <r>
      <rPr>
        <sz val="10"/>
        <color indexed="16"/>
        <rFont val="Calibri"/>
        <family val="2"/>
      </rPr>
      <t>or</t>
    </r>
    <r>
      <rPr>
        <b/>
        <i/>
        <sz val="10"/>
        <color indexed="16"/>
        <rFont val="Calibri"/>
        <family val="2"/>
      </rPr>
      <t xml:space="preserve"> leased from</t>
    </r>
    <r>
      <rPr>
        <sz val="10"/>
        <color indexed="16"/>
        <rFont val="Calibri"/>
        <family val="2"/>
      </rPr>
      <t>.</t>
    </r>
  </si>
  <si>
    <r>
      <t xml:space="preserve">Equipment Leased </t>
    </r>
    <r>
      <rPr>
        <b/>
        <i/>
        <sz val="10"/>
        <color indexed="16"/>
        <rFont val="Calibri"/>
        <family val="2"/>
      </rPr>
      <t>To</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</si>
  <si>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Equipment Leased </t>
    </r>
    <r>
      <rPr>
        <b/>
        <i/>
        <sz val="10"/>
        <color indexed="16"/>
        <rFont val="Calibri"/>
        <family val="2"/>
      </rPr>
      <t>From</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</si>
  <si>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Please list </t>
    </r>
    <r>
      <rPr>
        <b/>
        <i/>
        <sz val="10"/>
        <color indexed="16"/>
        <rFont val="Calibri"/>
        <family val="2"/>
      </rPr>
      <t>all</t>
    </r>
    <r>
      <rPr>
        <sz val="10"/>
        <color indexed="16"/>
        <rFont val="Calibri"/>
        <family val="2"/>
      </rPr>
      <t xml:space="preserve"> the locations where the mobile equipment is parked and diagnostic imaging services are provided </t>
    </r>
    <r>
      <rPr>
        <b/>
        <i/>
        <sz val="10"/>
        <color indexed="16"/>
        <rFont val="Calibri"/>
        <family val="2"/>
      </rPr>
      <t>and</t>
    </r>
    <r>
      <rPr>
        <sz val="10"/>
        <color indexed="16"/>
        <rFont val="Calibri"/>
        <family val="2"/>
      </rPr>
      <t xml:space="preserve"> the services </t>
    </r>
    <r>
      <rPr>
        <b/>
        <i/>
        <sz val="10"/>
        <color indexed="16"/>
        <rFont val="Calibri"/>
        <family val="2"/>
      </rPr>
      <t>(technical component)</t>
    </r>
    <r>
      <rPr>
        <sz val="10"/>
        <color indexed="16"/>
        <rFont val="Calibri"/>
        <family val="2"/>
      </rPr>
      <t xml:space="preserve"> are </t>
    </r>
    <r>
      <rPr>
        <b/>
        <i/>
        <sz val="10"/>
        <color indexed="16"/>
        <rFont val="Calibri"/>
        <family val="2"/>
      </rPr>
      <t xml:space="preserve">billed by the owner </t>
    </r>
    <r>
      <rPr>
        <sz val="10"/>
        <color indexed="16"/>
        <rFont val="Calibri"/>
        <family val="2"/>
      </rPr>
      <t>of the diagnostic imaging equipment.</t>
    </r>
  </si>
  <si>
    <r>
      <t xml:space="preserve">Please enter the names of all physicians with any </t>
    </r>
    <r>
      <rPr>
        <u/>
        <sz val="10"/>
        <color indexed="12"/>
        <rFont val="Calibri"/>
        <family val="2"/>
      </rPr>
      <t>financial or economic interest</t>
    </r>
    <r>
      <rPr>
        <sz val="10"/>
        <color indexed="16"/>
        <rFont val="Calibri"/>
        <family val="2"/>
      </rPr>
      <t xml:space="preserve"> excluding salaried physicians, unless the physicians' salary is adjusted for volume of service, and all other individuals with a ten percent or greater financial or economic interest in the facility. </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</si>
  <si>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</si>
  <si>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 and 144.698, subdivision 1.</t>
    </r>
  </si>
  <si>
    <r>
      <t>Diagnostic Imaging</t>
    </r>
    <r>
      <rPr>
        <sz val="10"/>
        <rFont val="Calibri"/>
        <family val="2"/>
      </rPr>
      <t xml:space="preserve"> (includes new </t>
    </r>
    <r>
      <rPr>
        <b/>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</si>
  <si>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</si>
  <si>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Please note as a result of the changes during the 2007 legislative session, some of these definitions have been changed, clarified, or new definitions have been added. See Minnesota Statutes, section </t>
    </r>
    <r>
      <rPr>
        <b/>
        <u/>
        <sz val="10"/>
        <color indexed="12"/>
        <rFont val="Calibri"/>
        <family val="2"/>
      </rPr>
      <t>144.565</t>
    </r>
    <r>
      <rPr>
        <b/>
        <sz val="10"/>
        <color indexed="16"/>
        <rFont val="Calibri"/>
        <family val="2"/>
      </rPr>
      <t>.</t>
    </r>
  </si>
  <si>
    <r>
      <t>Provider of Diagnostic Imaging Services:</t>
    </r>
    <r>
      <rPr>
        <sz val="10"/>
        <rFont val="Calibri"/>
        <family val="2"/>
      </rPr>
      <t xml:space="preserve">  A diagnostic imaging facility </t>
    </r>
    <r>
      <rPr>
        <b/>
        <i/>
        <sz val="10"/>
        <rFont val="Calibri"/>
        <family val="2"/>
      </rPr>
      <t>or</t>
    </r>
    <r>
      <rPr>
        <sz val="10"/>
        <rFont val="Calibri"/>
        <family val="2"/>
      </rPr>
      <t xml:space="preserve"> an entity that </t>
    </r>
    <r>
      <rPr>
        <b/>
        <i/>
        <sz val="10"/>
        <rFont val="Calibri"/>
        <family val="2"/>
      </rPr>
      <t>offers and bills for</t>
    </r>
    <r>
      <rPr>
        <sz val="10"/>
        <rFont val="Calibri"/>
        <family val="2"/>
      </rPr>
      <t xml:space="preserve"> diagnostic imaging services at a facility </t>
    </r>
    <r>
      <rPr>
        <b/>
        <i/>
        <sz val="10"/>
        <rFont val="Calibri"/>
        <family val="2"/>
      </rPr>
      <t>owned or leased</t>
    </r>
    <r>
      <rPr>
        <sz val="10"/>
        <rFont val="Calibri"/>
        <family val="2"/>
      </rPr>
      <t xml:space="preserve"> by the entity.</t>
    </r>
  </si>
  <si>
    <r>
      <t>Diagnostic Imaging Facility:</t>
    </r>
    <r>
      <rPr>
        <sz val="10"/>
        <rFont val="Calibri"/>
        <family val="2"/>
      </rPr>
      <t xml:space="preserve">  A health care facility that is not a hospital or location licensed as a hospital which offers diagnostic imaging services in Minnesota, regardless of whether the equipment used to provide the service is owned or leased. A diagnostic imaging facility includes, but is not limited to, facilities such as a physician's office, clinic, mobile transport vehicle, outpatient imaging center, or surgical center.</t>
    </r>
  </si>
  <si>
    <r>
      <t>Diagnostic Imaging Service:</t>
    </r>
    <r>
      <rPr>
        <sz val="10"/>
        <rFont val="Calibri"/>
        <family val="2"/>
      </rPr>
      <t xml:space="preserve"> The use of ionizing radiation or other imaging technique on a human patient including, but not limited to, magnetic resonance imaging (MRI) or computerized tomography (CT), positron emission tomography (PET), or single photon emission computerized tomography (SPECT) scans using fixed, portable, or mobile equipment.</t>
    </r>
  </si>
  <si>
    <r>
      <t>National Provider Identifier (NPI).  Enter the NPI you have been assigned from the Centers for Medicare &amp; Medicaid Services (CMS).  See</t>
    </r>
    <r>
      <rPr>
        <u/>
        <sz val="10"/>
        <color indexed="12"/>
        <rFont val="Calibri"/>
        <family val="2"/>
      </rPr>
      <t xml:space="preserve"> http://www.cms.hhs.gov/NationalProvIdentStand/ </t>
    </r>
    <r>
      <rPr>
        <sz val="10"/>
        <rFont val="Calibri"/>
        <family val="2"/>
      </rPr>
      <t>for more information.</t>
    </r>
  </si>
  <si>
    <r>
      <t>Financial or Economic Interest:</t>
    </r>
    <r>
      <rPr>
        <sz val="10"/>
        <rFont val="Calibri"/>
        <family val="2"/>
      </rPr>
      <t xml:space="preserve">  A direct or indirect:
  (1) equity or debt security issued by an entity, including, but not limited to, shares of stock 
in a corporation, membership in a limited liability company, beneficial interest in a trust, units 
or other interests in a partnership, bonds, debentures, notes or other equity interests or debt 
instruments, or any contractual arrangements;
   (2) membership, proprietary interest, or co-ownership with an individual, group, or 
organization to which patients, clients, or customers are referred to; or
   (3) employer-employee or independent contractor relationship, including, but not limited 
to, those that may occur in a limited partnership, profit-sharing arrangement, or other similar 
arrangement with any facility to which patients are referred, including any compensation between a facility and a health care provider, the group practice of which the provider is a member or employee or a related party with respect to any of them.</t>
    </r>
  </si>
  <si>
    <r>
      <t>Fixed Equipment:</t>
    </r>
    <r>
      <rPr>
        <sz val="10"/>
        <rFont val="Calibri"/>
        <family val="2"/>
      </rPr>
      <t xml:space="preserve">  A stationary diagnostic imaging machine </t>
    </r>
    <r>
      <rPr>
        <b/>
        <i/>
        <sz val="10"/>
        <rFont val="Calibri"/>
        <family val="2"/>
      </rPr>
      <t>installed in</t>
    </r>
    <r>
      <rPr>
        <sz val="10"/>
        <rFont val="Calibri"/>
        <family val="2"/>
      </rPr>
      <t xml:space="preserve"> a permanent location.</t>
    </r>
  </si>
  <si>
    <r>
      <t xml:space="preserve">Portable Equipment:  </t>
    </r>
    <r>
      <rPr>
        <sz val="10"/>
        <rFont val="Calibri"/>
        <family val="2"/>
      </rPr>
      <t xml:space="preserve">A diagnostic imaging machine designed to be temporarily </t>
    </r>
    <r>
      <rPr>
        <b/>
        <i/>
        <sz val="10"/>
        <rFont val="Calibri"/>
        <family val="2"/>
      </rPr>
      <t>transported within</t>
    </r>
    <r>
      <rPr>
        <sz val="10"/>
        <rFont val="Calibri"/>
        <family val="2"/>
      </rPr>
      <t xml:space="preserve"> a permanent location to perform diagnostic imaging services.</t>
    </r>
  </si>
  <si>
    <r>
      <t>Mobile Equipment:</t>
    </r>
    <r>
      <rPr>
        <sz val="10"/>
        <rFont val="Calibri"/>
        <family val="2"/>
      </rPr>
      <t xml:space="preserve">  A diagnostic imaging machine in a self-contained transport vehicle designed to be brought to a </t>
    </r>
    <r>
      <rPr>
        <b/>
        <i/>
        <sz val="10"/>
        <rFont val="Calibri"/>
        <family val="2"/>
      </rPr>
      <t>temporary offsite location</t>
    </r>
    <r>
      <rPr>
        <sz val="10"/>
        <rFont val="Calibri"/>
        <family val="2"/>
      </rPr>
      <t xml:space="preserve"> to perform diagnostic imaging services.</t>
    </r>
  </si>
  <si>
    <r>
      <t xml:space="preserve">Capital Expenditure: </t>
    </r>
    <r>
      <rPr>
        <sz val="10"/>
        <rFont val="Calibri"/>
        <family val="2"/>
      </rPr>
      <t>An expenditure which, under generally accepted accounting priniciples, is not properly chargeable as an expense of operation and maintenance.</t>
    </r>
  </si>
  <si>
    <r>
      <t>Major Capital Expenditure Spending Commitment:</t>
    </r>
    <r>
      <rPr>
        <sz val="10"/>
        <rFont val="Calibri"/>
        <family val="2"/>
      </rPr>
      <t xml:space="preserve">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t>
    </r>
  </si>
  <si>
    <r>
      <t xml:space="preserve">Date of Spending Commitment: </t>
    </r>
    <r>
      <rPr>
        <sz val="10"/>
        <rFont val="Calibri"/>
        <family val="2"/>
      </rPr>
      <t xml:space="preserve">The date the project was authorized by an Executive or Board of Directors </t>
    </r>
  </si>
  <si>
    <r>
      <t>Health Care Service:</t>
    </r>
    <r>
      <rPr>
        <sz val="10"/>
        <rFont val="Calibri"/>
        <family val="2"/>
      </rPr>
      <t xml:space="preserve"> means
     (1) a service or item that would be covered by the medical assistance program under Minnesota Statutes Chapter 256B if provided in accordance with medial assistance requirements to an eligible medical assistance recipient; and
     (2) a service or item that would be covered by medical assistance except that it is characterized as experimental, cosmetic or voluntary.
Health Care Service DOES NOT INCLUDE:
         retail, over-the-counter sales of nonprescription drugs and other retail sales of health-related products that are not generally paid for by medical assistance and other third-party coverage.</t>
    </r>
  </si>
  <si>
    <r>
      <t xml:space="preserve">Medical Equipment: </t>
    </r>
    <r>
      <rPr>
        <sz val="10"/>
        <rFont val="Calibri"/>
        <family val="2"/>
      </rPr>
      <t>means fixed and movable equipment that is used by a provider in the provision of health care service.</t>
    </r>
    <r>
      <rPr>
        <b/>
        <sz val="10"/>
        <rFont val="Calibri"/>
        <family val="2"/>
      </rPr>
      <t xml:space="preserve"> </t>
    </r>
  </si>
  <si>
    <r>
      <t>New Specialized Service:</t>
    </r>
    <r>
      <rPr>
        <sz val="10"/>
        <rFont val="Calibri"/>
        <family val="2"/>
      </rPr>
      <t xml:space="preserve"> means a specialized health care procedure or treatment regimen offered by a provider that was not previously offered by the provider.</t>
    </r>
  </si>
  <si>
    <r>
      <t>Specialty Care:</t>
    </r>
    <r>
      <rPr>
        <sz val="10"/>
        <rFont val="Calibri"/>
        <family val="2"/>
      </rPr>
      <t xml:space="preserve"> includes but is not limited to cardiac, neurology, orthopedic, obstetrics, mental health, chemical dependency, and emergency services.</t>
    </r>
  </si>
  <si>
    <r>
      <t xml:space="preserve">Exceptions 
</t>
    </r>
    <r>
      <rPr>
        <sz val="10"/>
        <rFont val="Calibri"/>
        <family val="2"/>
      </rPr>
      <t>Capital Expenditure Retrospective Review reporting requirement in do not apply to the following capital activities:
     (1)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</si>
  <si>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!Interim Manufacturer Operational Lease - CT - Fixed</t>
  </si>
  <si>
    <t>!Interim Manufacturer Operational Lease - CT - Mobile</t>
  </si>
  <si>
    <t>!Interim Manufacturer Operational Lease - MRI - Fixed</t>
  </si>
  <si>
    <t>!Interim Manufacturer Operational Lease - MRI - Mobile</t>
  </si>
  <si>
    <t>!Interim Manufacturer Operational Lease - PET - Fixed</t>
  </si>
  <si>
    <t>!Interim Manufacturer Operational Lease - PET - Mobile</t>
  </si>
  <si>
    <t>!Interim Manufacturer Operational Lease - PET/CT - Fixed</t>
  </si>
  <si>
    <t>!Interim Manufacturer Operational Lease - PET/CT - Moble</t>
  </si>
  <si>
    <t>!Interim Manufacturer Operational Lease - SPECT - Fixed</t>
  </si>
  <si>
    <t>!Interim Manufacturer Operational Lease - SPECT - Mobile</t>
  </si>
  <si>
    <t>!Interim Manufacturer Operational Lease - SPECT/CT  - Mobile</t>
  </si>
  <si>
    <t>!Interim Manufacturer Operational Lease - SPECT/CT - Fixed</t>
  </si>
  <si>
    <t>Affiliated Community Medical Center - Marshall</t>
  </si>
  <si>
    <t>MARSHALL</t>
  </si>
  <si>
    <t>1521 Carlson Street</t>
  </si>
  <si>
    <t>LYON</t>
  </si>
  <si>
    <t>101 Willmar Avenue Southwest</t>
  </si>
  <si>
    <t>WILLMAR</t>
  </si>
  <si>
    <t>Administrator</t>
  </si>
  <si>
    <t>Thomas</t>
  </si>
  <si>
    <t>CFO</t>
  </si>
  <si>
    <t>ALEXANDRIA</t>
  </si>
  <si>
    <t>DOUGLAS</t>
  </si>
  <si>
    <t>5775 Wayzata Boulevard</t>
  </si>
  <si>
    <t>Suite 400</t>
  </si>
  <si>
    <t>ST. LOUIS PARK</t>
  </si>
  <si>
    <t>HENNEPIN</t>
  </si>
  <si>
    <t>Sue</t>
  </si>
  <si>
    <t>Holman</t>
  </si>
  <si>
    <t>Center for Diagnostic Imaging, Inc.</t>
  </si>
  <si>
    <t>sholman@cdirad.com</t>
  </si>
  <si>
    <t>Suite 425</t>
  </si>
  <si>
    <t>Jenny</t>
  </si>
  <si>
    <t>Oelfke</t>
  </si>
  <si>
    <t>Accounting Manager</t>
  </si>
  <si>
    <t>Center for Diagnostic Imaging</t>
  </si>
  <si>
    <t>jenny.oelfke@cdirad.com</t>
  </si>
  <si>
    <t>www.mycdi.com</t>
  </si>
  <si>
    <t>Allergy, Asthma &amp; Immunology</t>
  </si>
  <si>
    <t>SHOREVIEW</t>
  </si>
  <si>
    <t>4625 Churchill Street</t>
  </si>
  <si>
    <t>RAMSEY</t>
  </si>
  <si>
    <t>Office Manager</t>
  </si>
  <si>
    <t>same as facility</t>
  </si>
  <si>
    <t>No Affiliation</t>
  </si>
  <si>
    <t>Allina Health Clinic - Vadnais Heights</t>
  </si>
  <si>
    <t>VADNAIS HEIGHTS</t>
  </si>
  <si>
    <t>1155 East County Road E</t>
  </si>
  <si>
    <t>Suite 100</t>
  </si>
  <si>
    <t>Clinic Manager</t>
  </si>
  <si>
    <t>Financial Analyst</t>
  </si>
  <si>
    <t>Allina Health</t>
  </si>
  <si>
    <t>2925 Chicago Avenue</t>
  </si>
  <si>
    <t>MINNEAPOLIS</t>
  </si>
  <si>
    <t>Kim</t>
  </si>
  <si>
    <t>Director of Finance</t>
  </si>
  <si>
    <t>www.allina.com</t>
  </si>
  <si>
    <t>Allina Health System</t>
  </si>
  <si>
    <t>Allina Medical Clinic - Forest Lake</t>
  </si>
  <si>
    <t>FOREST LAKE</t>
  </si>
  <si>
    <t>1540 South Lake Street</t>
  </si>
  <si>
    <t>WASHINGTON</t>
  </si>
  <si>
    <t>Allina Medical Clinic - Northfield</t>
  </si>
  <si>
    <t>NORTHFIELD</t>
  </si>
  <si>
    <t>1400 Jefferson Road</t>
  </si>
  <si>
    <t>RICE</t>
  </si>
  <si>
    <t>Allina Medical Clinic - Woodbury</t>
  </si>
  <si>
    <t>WOODBURY</t>
  </si>
  <si>
    <t>8675 Valley Creek Road</t>
  </si>
  <si>
    <t>Mary</t>
  </si>
  <si>
    <t>Andros ENT &amp; Sleep Center, PA</t>
  </si>
  <si>
    <t>INVER GROVE HEIGHTS</t>
  </si>
  <si>
    <t>5565 Blaine Avenue</t>
  </si>
  <si>
    <t>DAKOTA</t>
  </si>
  <si>
    <t>Practice Administrator</t>
  </si>
  <si>
    <t>Aspen Medical Group - Bandana Square</t>
  </si>
  <si>
    <t>ST. PAUL</t>
  </si>
  <si>
    <t>1020 Bandana Boulevard West</t>
  </si>
  <si>
    <t>Aspen Medical Group - Maplewood</t>
  </si>
  <si>
    <t>MAPLEWOOD</t>
  </si>
  <si>
    <t>1850 Beam Avenue</t>
  </si>
  <si>
    <t>WORTHINGTON</t>
  </si>
  <si>
    <t>CDI Grand Rapids, LLC @ Deer River Health Care Center</t>
  </si>
  <si>
    <t>DEER RIVER</t>
  </si>
  <si>
    <t>115 Tenth Avenue NE</t>
  </si>
  <si>
    <t>Deer River Health Care Center, Inc.</t>
  </si>
  <si>
    <t>CDI Grand Rapids, LLC (CDI No. MN, Grand Itasca Hosp, Deer River HCare Ctr, Rad Assoc of Duluth)</t>
  </si>
  <si>
    <t>CDI Grand Rapids, LLC @ Grand Itasca Hospital</t>
  </si>
  <si>
    <t>GRAND RAPIDS</t>
  </si>
  <si>
    <t>1601 Golf Course Road</t>
  </si>
  <si>
    <t>Grand Itasca Clinic &amp; Hospital</t>
  </si>
  <si>
    <t>Center for Clinical Imaging Research</t>
  </si>
  <si>
    <t>2021 Sixth Street SE</t>
  </si>
  <si>
    <t>Michael</t>
  </si>
  <si>
    <t>Director</t>
  </si>
  <si>
    <t>Joanne</t>
  </si>
  <si>
    <t>Johnson</t>
  </si>
  <si>
    <t>ccir@umn.edu</t>
  </si>
  <si>
    <t>University of Minnesota Physicians</t>
  </si>
  <si>
    <t>Fairview Health Services</t>
  </si>
  <si>
    <t>Center for Diagnostic Imaging - Blaine</t>
  </si>
  <si>
    <t>BLAINE</t>
  </si>
  <si>
    <t>2305 108th Lane NE</t>
  </si>
  <si>
    <t>ANOKA</t>
  </si>
  <si>
    <t>Rob</t>
  </si>
  <si>
    <t>Cherney</t>
  </si>
  <si>
    <t>robert.cherney@cdirad.com</t>
  </si>
  <si>
    <t>Center for Diagnostic Imaging - Burnsville</t>
  </si>
  <si>
    <t>BURNSVILLE</t>
  </si>
  <si>
    <t>675 Nicollet Boulevard East</t>
  </si>
  <si>
    <t>Suite 150</t>
  </si>
  <si>
    <t>Center for Diagnostic Imaging - Coon Rapids</t>
  </si>
  <si>
    <t>COON RAPIDS</t>
  </si>
  <si>
    <t>3450  124th Avenue NW</t>
  </si>
  <si>
    <t>Center for Diagnostic Imaging - Eden Prairie</t>
  </si>
  <si>
    <t>EDEN PRAIRIE</t>
  </si>
  <si>
    <t>775 Prarie Center Drive</t>
  </si>
  <si>
    <t>Suite 260</t>
  </si>
  <si>
    <t>Center for Diagnostic Imaging - Lakeville</t>
  </si>
  <si>
    <t>LAKEVILLE</t>
  </si>
  <si>
    <t>10438 185th Street West</t>
  </si>
  <si>
    <t>Center for Diagnostic Imaging - Maple Grove</t>
  </si>
  <si>
    <t>MAPLE GROVE</t>
  </si>
  <si>
    <t>9630 Grove Circle North</t>
  </si>
  <si>
    <t>Center for Diagnostic Imaging - Maplewood</t>
  </si>
  <si>
    <t>1860 Beam Avenue</t>
  </si>
  <si>
    <t>Center for Diagnostic Imaging - Mendota Heights</t>
  </si>
  <si>
    <t>910 Sibley Memorial Highway</t>
  </si>
  <si>
    <t>Center for Diagnostic Imaging - Roseville</t>
  </si>
  <si>
    <t>ROSEVILLE</t>
  </si>
  <si>
    <t>1835 County Road C West</t>
  </si>
  <si>
    <t>Suite 180</t>
  </si>
  <si>
    <t>Center for Diagnostic Imaging - Sartell</t>
  </si>
  <si>
    <t>SARTELL</t>
  </si>
  <si>
    <t>166 - 19th Street South</t>
  </si>
  <si>
    <t>STEARNS</t>
  </si>
  <si>
    <t>Center for Diagnostic Imaging - St. Cloud</t>
  </si>
  <si>
    <t>ST. CLOUD</t>
  </si>
  <si>
    <t>251 County Road 120</t>
  </si>
  <si>
    <t>Center for Diagnostic Imaging - St. Louis Park</t>
  </si>
  <si>
    <t>Suite 190</t>
  </si>
  <si>
    <t>Northwestern Health Science University</t>
  </si>
  <si>
    <t>Center for Diagnostic Imaging - Willmar</t>
  </si>
  <si>
    <t>502 Second Street SW</t>
  </si>
  <si>
    <t>Suite 6</t>
  </si>
  <si>
    <t>Private Physicians (non-specified)</t>
  </si>
  <si>
    <t>Center for Diagnostic Imaging - Woodbury Cornerstone</t>
  </si>
  <si>
    <t>6025 Lake Road</t>
  </si>
  <si>
    <t>Suite 130</t>
  </si>
  <si>
    <t>Center for Specialty Care</t>
  </si>
  <si>
    <t>FAIRMONT</t>
  </si>
  <si>
    <t>717 South State Street</t>
  </si>
  <si>
    <t>Suite 900</t>
  </si>
  <si>
    <t>MARTIN</t>
  </si>
  <si>
    <t>Erin</t>
  </si>
  <si>
    <t>Kayla</t>
  </si>
  <si>
    <t>Radiology Manager</t>
  </si>
  <si>
    <t>kaylaa@centerforspecialtycare.com</t>
  </si>
  <si>
    <t>www.centerforspecialtycare.com</t>
  </si>
  <si>
    <t>MILACA</t>
  </si>
  <si>
    <t>MILLE LACS</t>
  </si>
  <si>
    <t>PO Box 158</t>
  </si>
  <si>
    <t>President</t>
  </si>
  <si>
    <t>Central Minnesota Diagnostic, Inc.</t>
  </si>
  <si>
    <t>www.cmdi.org</t>
  </si>
  <si>
    <t>Central Minnesota Diagnostic, Inc</t>
  </si>
  <si>
    <t>Central Minnesota Diagnostic, Inc @ Appleton Municipal Hospital</t>
  </si>
  <si>
    <t>APPLETON</t>
  </si>
  <si>
    <t>SWIFT</t>
  </si>
  <si>
    <t>Central Minnesota Diagnostic, Inc @ Bigfork Valley Hospital</t>
  </si>
  <si>
    <t>BIGFORK</t>
  </si>
  <si>
    <t>258 Pinetree Drive</t>
  </si>
  <si>
    <t>ITASCA</t>
  </si>
  <si>
    <t>Central Minnesota Diagnostic, Inc @ CentraCare Health - Long Prairie</t>
  </si>
  <si>
    <t>LONG PRAIRIE</t>
  </si>
  <si>
    <t>20 Ninth Street Southeast</t>
  </si>
  <si>
    <t>TODD</t>
  </si>
  <si>
    <t>Central Minnesota Diagnostic, Inc @ CentraCare Health - Melrose</t>
  </si>
  <si>
    <t>MELROSE</t>
  </si>
  <si>
    <t>11 North Fifth Avenue West</t>
  </si>
  <si>
    <t>Central Minnesota Diagnostic, Inc @ CentraCare Health - Monticello</t>
  </si>
  <si>
    <t>MONTICELLO</t>
  </si>
  <si>
    <t>1013 Hart Boulevard</t>
  </si>
  <si>
    <t>WRIGHT</t>
  </si>
  <si>
    <t>Central Minnesota Diagnostic, Inc @ CentraCare Health - Paynesville</t>
  </si>
  <si>
    <t>PAYNESVILLE</t>
  </si>
  <si>
    <t>200 West First Street</t>
  </si>
  <si>
    <t>Central Minnesota Diagnostic, Inc @ CentraCare Health - Sauk Centre</t>
  </si>
  <si>
    <t>SAUK CENTRE</t>
  </si>
  <si>
    <t>425 North Elm Street</t>
  </si>
  <si>
    <t>Central Minnesota Diagnostic, Inc @ Chippewa County Montevideo Hospital</t>
  </si>
  <si>
    <t>MONTEVIDEO</t>
  </si>
  <si>
    <t>824 11th Street North</t>
  </si>
  <si>
    <t>Central Minnesota Diagnostic, Inc @ Cloquet Memorial Hospital Association</t>
  </si>
  <si>
    <t>CLOQUET</t>
  </si>
  <si>
    <t>512 Skyline Boulevard</t>
  </si>
  <si>
    <t>CARLTON</t>
  </si>
  <si>
    <t>GRAND MARAIS</t>
  </si>
  <si>
    <t>COOK</t>
  </si>
  <si>
    <t>Central Minnesota Diagnostic, Inc @ Cook Hospital &amp; C&amp;NC</t>
  </si>
  <si>
    <t>10 Fifth Street SE</t>
  </si>
  <si>
    <t>ST. LOUIS</t>
  </si>
  <si>
    <t>Central Minnesota Diagnostic, Inc @ Cuyuna Regional Medical Center</t>
  </si>
  <si>
    <t>CROSBY</t>
  </si>
  <si>
    <t>320 East Main Street</t>
  </si>
  <si>
    <t>CROW WING</t>
  </si>
  <si>
    <t>Central Minnesota Diagnostic, Inc @ Deer River HealthCare Center</t>
  </si>
  <si>
    <t>1002 Comstock Drive</t>
  </si>
  <si>
    <t>Central Minnesota Diagnostic, Inc @ Ely-Bloomenson Community Hospital</t>
  </si>
  <si>
    <t>ELY</t>
  </si>
  <si>
    <t>328 West Conan Street</t>
  </si>
  <si>
    <t>ADA</t>
  </si>
  <si>
    <t>Central Minnesota Diagnostic, Inc @ Essentia Health Northern Pines</t>
  </si>
  <si>
    <t>AURORA</t>
  </si>
  <si>
    <t>5211 Highway 110</t>
  </si>
  <si>
    <t>SANDSTONE</t>
  </si>
  <si>
    <t xml:space="preserve">Central Minnesota Diagnostic, Inc @ Essentia Health St. Mary's </t>
  </si>
  <si>
    <t>DETROIT LAKES</t>
  </si>
  <si>
    <t>1027 Washington Avenue</t>
  </si>
  <si>
    <t>Central Minnesota Diagnostic, Inc @ Fairview Lakes Regional Medical Center</t>
  </si>
  <si>
    <t>WYOMING</t>
  </si>
  <si>
    <t>5200 Fairview Boulevard</t>
  </si>
  <si>
    <t>CHISAGO</t>
  </si>
  <si>
    <t>Central Minnesota Diagnostic, Inc @ Fairview Northland Regional Hospital</t>
  </si>
  <si>
    <t>PRINCETON</t>
  </si>
  <si>
    <t>911 Northland Drive</t>
  </si>
  <si>
    <t>SHERBURNE</t>
  </si>
  <si>
    <t>Central Minnesota Diagnostic, Inc @ Fairview University Medical Center - Mesabi</t>
  </si>
  <si>
    <t>HIBBING</t>
  </si>
  <si>
    <t>750 East 34th Street</t>
  </si>
  <si>
    <t>Central Minnesota Diagnostic, Inc @ FirstLight Health System</t>
  </si>
  <si>
    <t>MORA</t>
  </si>
  <si>
    <t>301 South Hwy 65</t>
  </si>
  <si>
    <t>KANABEC</t>
  </si>
  <si>
    <t>Central Minnesota Diagnostic, Inc @ Glacial Ridge Health System</t>
  </si>
  <si>
    <t>GLENWOOD</t>
  </si>
  <si>
    <t>10 Fourth Avenue SE</t>
  </si>
  <si>
    <t>POPE</t>
  </si>
  <si>
    <t>Central Minnesota Diagnostic, Inc @ Granite Falls Municipal Hospital &amp; Manor</t>
  </si>
  <si>
    <t>GRANITE FALLS</t>
  </si>
  <si>
    <t>345 Tenth Avenue</t>
  </si>
  <si>
    <t>YELLOW MEDICINE</t>
  </si>
  <si>
    <t>Central Minnesota Diagnostic, Inc @ Hutchinson Health</t>
  </si>
  <si>
    <t>HUTCHINSON</t>
  </si>
  <si>
    <t>MCLEOD</t>
  </si>
  <si>
    <t>DAWSON</t>
  </si>
  <si>
    <t>1282 Walnut Street</t>
  </si>
  <si>
    <t>LAC QUI PARLE</t>
  </si>
  <si>
    <t>BAUDETTE</t>
  </si>
  <si>
    <t>Central Minnesota Diagnostic, Inc @ Lakewood Health System</t>
  </si>
  <si>
    <t>STAPLES</t>
  </si>
  <si>
    <t>49725 County Road 83</t>
  </si>
  <si>
    <t>WADENA</t>
  </si>
  <si>
    <t>Central Minnesota Diagnostic, Inc @ LifeCare Medical Center</t>
  </si>
  <si>
    <t>ROSEAU</t>
  </si>
  <si>
    <t>715 Delmore Drive</t>
  </si>
  <si>
    <t>Central Minnesota Diagnostic, Inc @ Madison Hospital</t>
  </si>
  <si>
    <t>MADISON</t>
  </si>
  <si>
    <t>900 Second Avenue</t>
  </si>
  <si>
    <t>Central Minnesota Diagnostic, Inc @ Mahnomen Health Center</t>
  </si>
  <si>
    <t>MAHNOMEN</t>
  </si>
  <si>
    <t>414 West Jefferson</t>
  </si>
  <si>
    <t>RED WING</t>
  </si>
  <si>
    <t>Central Minnesota Diagnostic, Inc @ Meeker Memorial Hospital</t>
  </si>
  <si>
    <t>LITCHFIELD</t>
  </si>
  <si>
    <t>612 South Sibley Avenue</t>
  </si>
  <si>
    <t>MEEKER</t>
  </si>
  <si>
    <t>Central Minnesota Diagnostic, Inc @ Mercy Hospital</t>
  </si>
  <si>
    <t>MOOSE LAKE</t>
  </si>
  <si>
    <t>710 South Kenwood Avenue</t>
  </si>
  <si>
    <t>Central Minnesota Diagnostic, Inc @ Mille Lacs Health System</t>
  </si>
  <si>
    <t>ONAMIA</t>
  </si>
  <si>
    <t>200 North Elm Street, Box A</t>
  </si>
  <si>
    <t>LE SUEUR</t>
  </si>
  <si>
    <t>Central Minnesota Diagnostic, Inc @ Perham Health</t>
  </si>
  <si>
    <t>PERHAM</t>
  </si>
  <si>
    <t>665 Third Street SW</t>
  </si>
  <si>
    <t>OTTER TAIL</t>
  </si>
  <si>
    <t>Central Minnesota Diagnostic, Inc @ Pipestone County Medical Center</t>
  </si>
  <si>
    <t>PIPESTONE</t>
  </si>
  <si>
    <t>916 Fourth Avenue SW</t>
  </si>
  <si>
    <t>Central Minnesota Diagnostic, Inc @ Rainy Lake Medical Center</t>
  </si>
  <si>
    <t>INTERNATIONAL FALLS</t>
  </si>
  <si>
    <t>1400 Highway 71</t>
  </si>
  <si>
    <t>KOOCHICHING</t>
  </si>
  <si>
    <t>Central Minnesota Diagnostic, Inc @ Redwood Area Hospital</t>
  </si>
  <si>
    <t>REDWOOD FALLS</t>
  </si>
  <si>
    <t>100 Fallwood Road</t>
  </si>
  <si>
    <t>REDWOOD</t>
  </si>
  <si>
    <t>Central Minnesota Diagnostic, Inc @ Renville County Hospital</t>
  </si>
  <si>
    <t>OLIVIA</t>
  </si>
  <si>
    <t>611 East Fairview</t>
  </si>
  <si>
    <t>RENVILLE</t>
  </si>
  <si>
    <t>Central Minnesota Diagnostic, Inc @ Ridgeview Sibley Medical Center</t>
  </si>
  <si>
    <t>ARLINGTON</t>
  </si>
  <si>
    <t>601 West Chandler Street</t>
  </si>
  <si>
    <t>SIBLEY</t>
  </si>
  <si>
    <t>Central Minnesota Diagnostic, Inc @ River's Edge Hospital &amp; Clinic</t>
  </si>
  <si>
    <t>ST. PETER</t>
  </si>
  <si>
    <t>Central Minnesota Diagnostic, Inc @ Riverwood HealthCare Center</t>
  </si>
  <si>
    <t>AITKIN</t>
  </si>
  <si>
    <t>200 Bunker Hill Drive</t>
  </si>
  <si>
    <t>Central Minnesota Diagnostic, Inc @ Sanford Bagley Medical Center</t>
  </si>
  <si>
    <t>BAGLEY</t>
  </si>
  <si>
    <t>203 Fourth Street NW</t>
  </si>
  <si>
    <t>CLEARWATER</t>
  </si>
  <si>
    <t>Central Minnesota Diagnostic, Inc @ Sanford Wheaton Medical Center</t>
  </si>
  <si>
    <t>WHEATON</t>
  </si>
  <si>
    <t>401 12th Street North</t>
  </si>
  <si>
    <t>TRAVERSE</t>
  </si>
  <si>
    <t>Central Minnesota Diagnostic, Inc @ Sleepy Eye Medical Center</t>
  </si>
  <si>
    <t>SLEEPY EYE</t>
  </si>
  <si>
    <t>400 Fourth Avenue Northwest</t>
  </si>
  <si>
    <t>BROWN</t>
  </si>
  <si>
    <t>Central Minnesota Diagnostic, Inc @ St. Francis Medical Center</t>
  </si>
  <si>
    <t>BRECKENRIDGE</t>
  </si>
  <si>
    <t>2400 St. Francis Drive</t>
  </si>
  <si>
    <t>WILKIN</t>
  </si>
  <si>
    <t>Central Minnesota Diagnostic, Inc @ St. Gabriel's Hospital</t>
  </si>
  <si>
    <t>LITTLE FALLS</t>
  </si>
  <si>
    <t>815 Second Street Southeast</t>
  </si>
  <si>
    <t>MORRISON</t>
  </si>
  <si>
    <t>Central Minnesota Diagnostic, Inc @ St. Joseph's Area Health Services, Inc.</t>
  </si>
  <si>
    <t>PARK RAPIDS</t>
  </si>
  <si>
    <t>600 Pleasant Avenue</t>
  </si>
  <si>
    <t>HUBBARD</t>
  </si>
  <si>
    <t>Central Minnesota Diagnostic, Inc @ Swift County-Benson Hospital</t>
  </si>
  <si>
    <t>BENSON</t>
  </si>
  <si>
    <t>1815 Wisconsin Avenue</t>
  </si>
  <si>
    <t>Central Minnesota Diagnostic, Inc @ Tri-County Hospital</t>
  </si>
  <si>
    <t>415 North Jefferson Street</t>
  </si>
  <si>
    <t>Central Minnesota Diagnostic, Inc @ United Hospital District</t>
  </si>
  <si>
    <t>BLUE EARTH</t>
  </si>
  <si>
    <t>515 South Moore Street</t>
  </si>
  <si>
    <t>FARIBAULT</t>
  </si>
  <si>
    <t>MINNETONKA</t>
  </si>
  <si>
    <t>Wilcox</t>
  </si>
  <si>
    <t>Senior Financial Analyst</t>
  </si>
  <si>
    <t>EDINA</t>
  </si>
  <si>
    <t>Community MRI Services, LLC</t>
  </si>
  <si>
    <t>1252 Washington Avenue</t>
  </si>
  <si>
    <t>BECKER</t>
  </si>
  <si>
    <t>Hofer</t>
  </si>
  <si>
    <t>Suppa</t>
  </si>
  <si>
    <t>Patient Billing Manager</t>
  </si>
  <si>
    <t>Imaging Solutions, Inc.</t>
  </si>
  <si>
    <t>ksuppa@imagingsolutionsinc.com</t>
  </si>
  <si>
    <t>2829 University Drive South</t>
  </si>
  <si>
    <t>Suite 102</t>
  </si>
  <si>
    <t>FARGO</t>
  </si>
  <si>
    <t>CASS</t>
  </si>
  <si>
    <t>ND</t>
  </si>
  <si>
    <t>Cathy</t>
  </si>
  <si>
    <t>Regional Manager</t>
  </si>
  <si>
    <t>imagingsolutionsinc.com</t>
  </si>
  <si>
    <t>Consulting Radiologists, Ltd.</t>
  </si>
  <si>
    <t>PLYMOUTH</t>
  </si>
  <si>
    <t>15700 37th Avenue North</t>
  </si>
  <si>
    <t>Charles D.</t>
  </si>
  <si>
    <t>Engmark II</t>
  </si>
  <si>
    <t>Chief Administrative Officer</t>
  </si>
  <si>
    <t>chuck.engmark@crlmed.com</t>
  </si>
  <si>
    <t>Charles D. Engmark II</t>
  </si>
  <si>
    <t>Jeff</t>
  </si>
  <si>
    <t>Voss</t>
  </si>
  <si>
    <t>Sr. Accountant/Analyst</t>
  </si>
  <si>
    <t>jeff.voss@crlmed.com</t>
  </si>
  <si>
    <t>1221 Nicollet Mall</t>
  </si>
  <si>
    <t>www.consultingradiologists.com</t>
  </si>
  <si>
    <t>CRMC - Baxter Clinic</t>
  </si>
  <si>
    <t>BAXTER</t>
  </si>
  <si>
    <t>13205 Isle Drive</t>
  </si>
  <si>
    <t>John</t>
  </si>
  <si>
    <t>CEO</t>
  </si>
  <si>
    <t>David</t>
  </si>
  <si>
    <t>VanHorn</t>
  </si>
  <si>
    <t>Director of Radiology</t>
  </si>
  <si>
    <t>wwww.cuyunamed.org</t>
  </si>
  <si>
    <t>2101 North University Drive</t>
  </si>
  <si>
    <t>Larry</t>
  </si>
  <si>
    <t>Gabbert</t>
  </si>
  <si>
    <t>Sr. Financial Analyst</t>
  </si>
  <si>
    <t>DMS Imaging</t>
  </si>
  <si>
    <t>Kristi</t>
  </si>
  <si>
    <t>Schreiber</t>
  </si>
  <si>
    <t>Director of Accounting &amp; Tax Management</t>
  </si>
  <si>
    <t>www.dmshealthtechnologies.com</t>
  </si>
  <si>
    <t>DMS Imaging, Inc.</t>
  </si>
  <si>
    <t>DMS Imaging - MR076</t>
  </si>
  <si>
    <t>DMS Imaging - MR139</t>
  </si>
  <si>
    <t>DMS Imaging - MR140</t>
  </si>
  <si>
    <t>DMS Imaging - MR141</t>
  </si>
  <si>
    <t>DMS Imaging - MR157</t>
  </si>
  <si>
    <t>DMS Imaging - NM044</t>
  </si>
  <si>
    <t>DMS Imaging - NM054</t>
  </si>
  <si>
    <t>DMS Imaging - NM055</t>
  </si>
  <si>
    <t>DMS Imaging - NM062</t>
  </si>
  <si>
    <t>DMS Imaging - NM076</t>
  </si>
  <si>
    <t>DMS Imaging - NM080</t>
  </si>
  <si>
    <t>DMS Imaging - NM081</t>
  </si>
  <si>
    <t>DMS Imaging - PC014</t>
  </si>
  <si>
    <t>DMS Imaging - PC022</t>
  </si>
  <si>
    <t>DMS Imaging - PC023</t>
  </si>
  <si>
    <t>4960 Yuma Court North</t>
  </si>
  <si>
    <t>Lynn</t>
  </si>
  <si>
    <t>Behrns</t>
  </si>
  <si>
    <t>Interim Diagnostic Imaging, LLC</t>
  </si>
  <si>
    <t>lynn.behrns@comcast.net</t>
  </si>
  <si>
    <t>DULUTH</t>
  </si>
  <si>
    <t>Eric</t>
  </si>
  <si>
    <t>Radiology Director</t>
  </si>
  <si>
    <t>Eagan Open MRI</t>
  </si>
  <si>
    <t>EAGAN</t>
  </si>
  <si>
    <t>Suite 120</t>
  </si>
  <si>
    <t>710 Commerce Drive</t>
  </si>
  <si>
    <t>Suite 200</t>
  </si>
  <si>
    <t>www.summitortho.com</t>
  </si>
  <si>
    <t>Ear, Nose &amp; Throat Speciality Care - Minneapolis</t>
  </si>
  <si>
    <t>2211 Park Avenue South</t>
  </si>
  <si>
    <t>Melissa</t>
  </si>
  <si>
    <t>www.entsc.com</t>
  </si>
  <si>
    <t>Ear Nose &amp; Throat Specialty Care</t>
  </si>
  <si>
    <t>347 Smith Avenue North</t>
  </si>
  <si>
    <t>Suite 602</t>
  </si>
  <si>
    <t>Thompson</t>
  </si>
  <si>
    <t>Suite 300</t>
  </si>
  <si>
    <t>Executive Director</t>
  </si>
  <si>
    <t>Essentia Health Hibbing Clinic</t>
  </si>
  <si>
    <t>730 East 34th Street</t>
  </si>
  <si>
    <t>Dorothy</t>
  </si>
  <si>
    <t>Grigg</t>
  </si>
  <si>
    <t>Laboratory/Radiology Supervisor</t>
  </si>
  <si>
    <t>dorothy.grigg@essentiahealth.org</t>
  </si>
  <si>
    <t>Essentia Health</t>
  </si>
  <si>
    <t>Anderson</t>
  </si>
  <si>
    <t>Fairview Blaine Clinic</t>
  </si>
  <si>
    <t>10961 Club West Parkway</t>
  </si>
  <si>
    <t>Deborah</t>
  </si>
  <si>
    <t>Hollerich</t>
  </si>
  <si>
    <t>Clinic Administrator</t>
  </si>
  <si>
    <t>dholler1@fairview.org</t>
  </si>
  <si>
    <t>Dan Fromm</t>
  </si>
  <si>
    <t>Kevin</t>
  </si>
  <si>
    <t>400 Stinson Boulevard NE</t>
  </si>
  <si>
    <t>3rd Floor</t>
  </si>
  <si>
    <t>Director of Business Services</t>
  </si>
  <si>
    <t>Mayland-Poyzer</t>
  </si>
  <si>
    <t>dmaylan1@fairview.org</t>
  </si>
  <si>
    <t>James</t>
  </si>
  <si>
    <t>www.fairview.org/clinics/primary/c_563010.asp</t>
  </si>
  <si>
    <t>Fairview Maple Grove Medical Center</t>
  </si>
  <si>
    <t>14500 - 99th Avenue North</t>
  </si>
  <si>
    <t>14500 99th Avenue North</t>
  </si>
  <si>
    <t>Heather</t>
  </si>
  <si>
    <t>Sheridan</t>
  </si>
  <si>
    <t>hsherid1@fairview.org</t>
  </si>
  <si>
    <t>Daniel Fromm</t>
  </si>
  <si>
    <t>www.fairview.org</t>
  </si>
  <si>
    <t>Ann</t>
  </si>
  <si>
    <t>Frank Y. Wei, MD, PLLC</t>
  </si>
  <si>
    <t>6600 France Avenue South</t>
  </si>
  <si>
    <t>Suite 615</t>
  </si>
  <si>
    <t>Jill</t>
  </si>
  <si>
    <t>Sinda</t>
  </si>
  <si>
    <t>insurance@mnphysmed.com</t>
  </si>
  <si>
    <t>Frank Y. Wei, MD</t>
  </si>
  <si>
    <t>iCare Diagnostic Imaging, LLC</t>
  </si>
  <si>
    <t>BROOKLYN CENTER</t>
  </si>
  <si>
    <t>2781 Freeway Boulevard</t>
  </si>
  <si>
    <t>Suite 160</t>
  </si>
  <si>
    <t>Jason</t>
  </si>
  <si>
    <t>Stadther</t>
  </si>
  <si>
    <t>DC</t>
  </si>
  <si>
    <t>jason_stadther@yahoo.com</t>
  </si>
  <si>
    <t>Troy</t>
  </si>
  <si>
    <t>Roovers</t>
  </si>
  <si>
    <t>Chief Manager</t>
  </si>
  <si>
    <t>troovers@mplsrad.com</t>
  </si>
  <si>
    <t>Joan Stone</t>
  </si>
  <si>
    <t>Angie</t>
  </si>
  <si>
    <t>Beckius</t>
  </si>
  <si>
    <t>Sr. Accountant</t>
  </si>
  <si>
    <t>Medical Billing Services</t>
  </si>
  <si>
    <t>abeckius@mplsrad.com</t>
  </si>
  <si>
    <t>2955 Xenium Lane</t>
  </si>
  <si>
    <t>Suite 40</t>
  </si>
  <si>
    <t>Joan</t>
  </si>
  <si>
    <t>Stone</t>
  </si>
  <si>
    <t>jstone@mplsrad.com</t>
  </si>
  <si>
    <t>www.mplsrad.com</t>
  </si>
  <si>
    <t>North Memorial Health Care</t>
  </si>
  <si>
    <t>West Imaging</t>
  </si>
  <si>
    <t>Imaging Center of Maple Grove</t>
  </si>
  <si>
    <t>9855 Hospital Drive</t>
  </si>
  <si>
    <t>Imaging Center of Plymouth</t>
  </si>
  <si>
    <t>2800 Campus Drive</t>
  </si>
  <si>
    <t>Suite 30</t>
  </si>
  <si>
    <t>Staff Accountant</t>
  </si>
  <si>
    <t>Minneapolis Radiology Associates</t>
  </si>
  <si>
    <t>2955 Xenium Lane North</t>
  </si>
  <si>
    <t>Imaging Solutions, Inc. - Mobile MRI</t>
  </si>
  <si>
    <t>President/CEO</t>
  </si>
  <si>
    <t>Manager Clinical Services</t>
  </si>
  <si>
    <t>www.imagingsolutionsinc.com</t>
  </si>
  <si>
    <t>Insight Health Services Corp.</t>
  </si>
  <si>
    <t>DALLAS</t>
  </si>
  <si>
    <t>PO Box 847689</t>
  </si>
  <si>
    <t>TX</t>
  </si>
  <si>
    <t>Don</t>
  </si>
  <si>
    <t>Salyer</t>
  </si>
  <si>
    <t>Insight Health Services</t>
  </si>
  <si>
    <t>dsalyer@insighthealth.com</t>
  </si>
  <si>
    <t>Sherri</t>
  </si>
  <si>
    <t>Seymer</t>
  </si>
  <si>
    <t>Director of Customer Service</t>
  </si>
  <si>
    <t>sseymer@insighthealth.com</t>
  </si>
  <si>
    <t>Interim Diagnostic Imaging, LLC - CT-1</t>
  </si>
  <si>
    <t>www.interimdiagnostic.com</t>
  </si>
  <si>
    <t>Interim Diagnostic Imaging, LLC - MRI-1</t>
  </si>
  <si>
    <t>Interventional Pain &amp; Physical Medicine Clinic</t>
  </si>
  <si>
    <t>2301 Connecticut Avenue South</t>
  </si>
  <si>
    <t>2301 Connecticut Avenue</t>
  </si>
  <si>
    <t>Stacy</t>
  </si>
  <si>
    <t>Kowalkowski</t>
  </si>
  <si>
    <t>stacy@ippmc.com</t>
  </si>
  <si>
    <t>Amanda</t>
  </si>
  <si>
    <t>Scheiber</t>
  </si>
  <si>
    <t>Executive Assistant</t>
  </si>
  <si>
    <t>amanda.scheiber@ippmc.com</t>
  </si>
  <si>
    <t>www.ippmc.com</t>
  </si>
  <si>
    <t>www.tristatebrainspine.com</t>
  </si>
  <si>
    <t>Kurtis Waters, MD</t>
  </si>
  <si>
    <t>13359 Isle Drive</t>
  </si>
  <si>
    <t>Suite 1</t>
  </si>
  <si>
    <t>Mindy</t>
  </si>
  <si>
    <t>Silvernail</t>
  </si>
  <si>
    <t>Office Administrator</t>
  </si>
  <si>
    <t>msilvernail@kurtiswatersmd.com</t>
  </si>
  <si>
    <t>Kurtis Waters MD</t>
  </si>
  <si>
    <t>www.kurtiswatersmd.com</t>
  </si>
  <si>
    <t>BRAINERD</t>
  </si>
  <si>
    <t>2019 South Sixth Street</t>
  </si>
  <si>
    <t>Stacie</t>
  </si>
  <si>
    <t>Ryan</t>
  </si>
  <si>
    <t>staciearyan@gmail.com</t>
  </si>
  <si>
    <t>Robert Posch</t>
  </si>
  <si>
    <t>www.lakesimagingcenter.com</t>
  </si>
  <si>
    <t>Lakeview Clinic, Ltd.</t>
  </si>
  <si>
    <t>WACONIA</t>
  </si>
  <si>
    <t>424 State Highway 5 West</t>
  </si>
  <si>
    <t>CARVER</t>
  </si>
  <si>
    <t>Robert</t>
  </si>
  <si>
    <t>rwilcox@lakeviewclinic.com</t>
  </si>
  <si>
    <t>Tom</t>
  </si>
  <si>
    <t>Bowman</t>
  </si>
  <si>
    <t>Assistant Administrator</t>
  </si>
  <si>
    <t>tombowman@lakeviewclinic.com</t>
  </si>
  <si>
    <t>www.lakeviewclinic.com</t>
  </si>
  <si>
    <t>LifeScan Minnesota</t>
  </si>
  <si>
    <t>6545 France Avenue South</t>
  </si>
  <si>
    <t>Suite 115</t>
  </si>
  <si>
    <t>Kate</t>
  </si>
  <si>
    <t>Grisham</t>
  </si>
  <si>
    <t>Assistant Adminstrator</t>
  </si>
  <si>
    <t>Suburban Radiological Consultants</t>
  </si>
  <si>
    <t>kgrisham@subrad.com</t>
  </si>
  <si>
    <t>4801 West 81st Street</t>
  </si>
  <si>
    <t>Suite 108</t>
  </si>
  <si>
    <t>BLOOMINGTON</t>
  </si>
  <si>
    <t>Suburban Radiologic Consultants</t>
  </si>
  <si>
    <t>Mankato Clinic</t>
  </si>
  <si>
    <t>MANKATO</t>
  </si>
  <si>
    <t>1230 East Main Street</t>
  </si>
  <si>
    <t>PO Box 8674</t>
  </si>
  <si>
    <t>Randall</t>
  </si>
  <si>
    <t>Farrow</t>
  </si>
  <si>
    <t>Steve Hatkin</t>
  </si>
  <si>
    <t>Coty</t>
  </si>
  <si>
    <t>Bruneder</t>
  </si>
  <si>
    <t>Senior Accountant</t>
  </si>
  <si>
    <t>cotyb@mankato-clinic.com</t>
  </si>
  <si>
    <t>Peggy</t>
  </si>
  <si>
    <t>Julian</t>
  </si>
  <si>
    <t>peggyj@mankato-clinic.com</t>
  </si>
  <si>
    <t>www.mankato-clinic.com</t>
  </si>
  <si>
    <t>Mankato Clinic Ltd.</t>
  </si>
  <si>
    <t>Mayo Clinic - CHARLTON BLDG</t>
  </si>
  <si>
    <t>ROCHESTER</t>
  </si>
  <si>
    <t xml:space="preserve">10 Third Avenue NW </t>
  </si>
  <si>
    <t>OLMSTED</t>
  </si>
  <si>
    <t>200 First Street SW</t>
  </si>
  <si>
    <t>Ronald</t>
  </si>
  <si>
    <t>Menaker</t>
  </si>
  <si>
    <t>Administrator - Radiology</t>
  </si>
  <si>
    <t>menaker.ronald@mayo.edu</t>
  </si>
  <si>
    <t>Hames</t>
  </si>
  <si>
    <t>Mayo Clinic / Foundation</t>
  </si>
  <si>
    <t>hames.melissa@mayo.edu</t>
  </si>
  <si>
    <t>Mark</t>
  </si>
  <si>
    <t>Homard</t>
  </si>
  <si>
    <t>Analyst</t>
  </si>
  <si>
    <t>homard.mark@mayo.edu</t>
  </si>
  <si>
    <t>Brad</t>
  </si>
  <si>
    <t>Weber</t>
  </si>
  <si>
    <t>Manager - Operations</t>
  </si>
  <si>
    <t>weber.brad@mayo.edu</t>
  </si>
  <si>
    <t>www.mayoclinic.com</t>
  </si>
  <si>
    <t>Mayo Clinic</t>
  </si>
  <si>
    <t>Mayo Clinic - GONDA BLDG</t>
  </si>
  <si>
    <t xml:space="preserve">100 Third Avenue SW </t>
  </si>
  <si>
    <t>Mayo Clinic - JACOBSON BLDG</t>
  </si>
  <si>
    <t>190 Second Street NW</t>
  </si>
  <si>
    <t>Mayo Clinic - MAYO BLDG</t>
  </si>
  <si>
    <t>Mayo Clinic - MAYO CLINIC SQUARE</t>
  </si>
  <si>
    <t>600 Hennepin Avenue</t>
  </si>
  <si>
    <t>Suite 310</t>
  </si>
  <si>
    <t>Mayo Clinic Eastridge</t>
  </si>
  <si>
    <t>101 Martin Luther King Jr. Drive</t>
  </si>
  <si>
    <t>1025 Marsh Street</t>
  </si>
  <si>
    <t>Greg</t>
  </si>
  <si>
    <t>VanEps</t>
  </si>
  <si>
    <t>Mayo Clinic Mankato</t>
  </si>
  <si>
    <t>vaneps.jill@mayo.edu</t>
  </si>
  <si>
    <t>Mayo Clinic Health System - Owatonna</t>
  </si>
  <si>
    <t>OWATONNA</t>
  </si>
  <si>
    <t>2200 26th Street NW</t>
  </si>
  <si>
    <t>STEELE</t>
  </si>
  <si>
    <t>134 Southview</t>
  </si>
  <si>
    <t>Berg</t>
  </si>
  <si>
    <t>Associate Administrator</t>
  </si>
  <si>
    <t>Berg.david2@mayo.edu</t>
  </si>
  <si>
    <t>Tim</t>
  </si>
  <si>
    <t>anderson.timothy2@mayo.edu</t>
  </si>
  <si>
    <t>Brown</t>
  </si>
  <si>
    <t>Administrator - Operations</t>
  </si>
  <si>
    <t>brown.mark@mayo.edu</t>
  </si>
  <si>
    <t>Cindy</t>
  </si>
  <si>
    <t>Oleson</t>
  </si>
  <si>
    <t>Manager Radiology</t>
  </si>
  <si>
    <t>oleson.cindy@mayo.edu</t>
  </si>
  <si>
    <t>www.owatonnaclinic.com</t>
  </si>
  <si>
    <t>Midwest Spine &amp; Brain Institute, LLC</t>
  </si>
  <si>
    <t>675 Nicollet Avenue East</t>
  </si>
  <si>
    <t>Shari</t>
  </si>
  <si>
    <t>Ohland</t>
  </si>
  <si>
    <t>sohland@midwestspine.net</t>
  </si>
  <si>
    <t>1950 Northwestern Avenue</t>
  </si>
  <si>
    <t>STILLWATER</t>
  </si>
  <si>
    <t>Laura</t>
  </si>
  <si>
    <t>Karla</t>
  </si>
  <si>
    <t>Krey</t>
  </si>
  <si>
    <t>Revenue Cycle Manager</t>
  </si>
  <si>
    <t>kkrey@midwestspine.net</t>
  </si>
  <si>
    <t>Finance Department</t>
  </si>
  <si>
    <t>1950 Curve Crest Boulevard West</t>
  </si>
  <si>
    <t>www.midwestspineinstitute.com</t>
  </si>
  <si>
    <t>Minneapolis Clinic of Neurology, Ltd - Burnsville</t>
  </si>
  <si>
    <t>4225 Golden Valley Road</t>
  </si>
  <si>
    <t>GOLDEN VALLEY</t>
  </si>
  <si>
    <t>Kurt</t>
  </si>
  <si>
    <t>Neil</t>
  </si>
  <si>
    <t>kurt.neil@mpls-clinic.com</t>
  </si>
  <si>
    <t>Todd Johnson</t>
  </si>
  <si>
    <t>Foster</t>
  </si>
  <si>
    <t>Minneapolis Clinic of Neurology, Ltd</t>
  </si>
  <si>
    <t>michael.foster@mpls-clinic.com</t>
  </si>
  <si>
    <t>www.minneapolisclinic.com</t>
  </si>
  <si>
    <t>Minneapolis Clinic of Neurology, Ltd - Golden Valley (MRI 1)</t>
  </si>
  <si>
    <t>Minneapolis Clinic of Neurology, Ltd - Golden Valley (MRI 2)</t>
  </si>
  <si>
    <t>Minneapolis Orthopaedics, Ltd. - Minneapolis</t>
  </si>
  <si>
    <t>825 South Eighth Street</t>
  </si>
  <si>
    <t>Suite 550</t>
  </si>
  <si>
    <t>Sara</t>
  </si>
  <si>
    <t>Peplinski</t>
  </si>
  <si>
    <t>manager@mplsortho.com</t>
  </si>
  <si>
    <t>Douglas Becker</t>
  </si>
  <si>
    <t>speplinski@mplsortho.com</t>
  </si>
  <si>
    <t>Lohmann</t>
  </si>
  <si>
    <t>Financial Manager</t>
  </si>
  <si>
    <t>mlohmann@mplsortho.com</t>
  </si>
  <si>
    <t>www.mplsortho.com</t>
  </si>
  <si>
    <t>Minnesota Oncology Hematology</t>
  </si>
  <si>
    <t>1580 Beam Avenue</t>
  </si>
  <si>
    <t>Patricia</t>
  </si>
  <si>
    <t>patricia.thompson@usoncology.com</t>
  </si>
  <si>
    <t>Theodore Bjork, CFO</t>
  </si>
  <si>
    <t>Todd</t>
  </si>
  <si>
    <t>Heggen</t>
  </si>
  <si>
    <t>todd.heggen@usoncology.com</t>
  </si>
  <si>
    <t>2550 University Avenue West</t>
  </si>
  <si>
    <t>Suite 110 N</t>
  </si>
  <si>
    <t>Theodore</t>
  </si>
  <si>
    <t>Bjork</t>
  </si>
  <si>
    <t>ted.bjork@usoncology.com</t>
  </si>
  <si>
    <t>www.minnesotaoncology.com</t>
  </si>
  <si>
    <t>US Oncology</t>
  </si>
  <si>
    <t>Minnetonka Imaging MRI</t>
  </si>
  <si>
    <t>Carlos</t>
  </si>
  <si>
    <t>Rivera</t>
  </si>
  <si>
    <t>DC/President</t>
  </si>
  <si>
    <t>carlos@riverachiropracticcenter.com</t>
  </si>
  <si>
    <t>Dr. Carlos Rivera</t>
  </si>
  <si>
    <t>www.minnetonkaimagingmri.com</t>
  </si>
  <si>
    <t>Mobile Imaging Services @ Allina Medical Clinic - Northfield (Minneapolis Heart Institute)</t>
  </si>
  <si>
    <t>800 East 28th Street</t>
  </si>
  <si>
    <t>Suite 500</t>
  </si>
  <si>
    <t>Charles Engmark</t>
  </si>
  <si>
    <t>Consulting Radiologists, Ltd</t>
  </si>
  <si>
    <t>7505 Metro Boulevard</t>
  </si>
  <si>
    <t>Mobile Imaging Services @ District One Hospital (Minneapolis Heart Institute)</t>
  </si>
  <si>
    <t>200 State Avenue</t>
  </si>
  <si>
    <t>Mobile Imaging Services @ Glencoe Regional Health Services (Minneapolis Heart Institute)</t>
  </si>
  <si>
    <t>GLENCOE</t>
  </si>
  <si>
    <t>1805 Hennepin Avenue North</t>
  </si>
  <si>
    <t>Mobile Imaging Services @ New Ulm Medical Center (Minneapolis Heart Institute)</t>
  </si>
  <si>
    <t>NEW ULM</t>
  </si>
  <si>
    <t>1324 Fifth Street North</t>
  </si>
  <si>
    <t>HASTINGS</t>
  </si>
  <si>
    <t>1175 Nininger Road</t>
  </si>
  <si>
    <t>Mobile Imaging Services c/o Abbot Northwestern Hospital -Mobile SPECT3 (Minneapolis Heart Institute)</t>
  </si>
  <si>
    <t>MRI Pathways</t>
  </si>
  <si>
    <t>36 Nathan Lane North</t>
  </si>
  <si>
    <t>Peter</t>
  </si>
  <si>
    <t>Bian</t>
  </si>
  <si>
    <t>Operations Director</t>
  </si>
  <si>
    <t>Chang-Jiang</t>
  </si>
  <si>
    <t>Zheng</t>
  </si>
  <si>
    <t>Medical Director</t>
  </si>
  <si>
    <t>drcj@mripathways.com</t>
  </si>
  <si>
    <t>www.mripathways.com</t>
  </si>
  <si>
    <t>FRIDLEY</t>
  </si>
  <si>
    <t>Chief Executive Officer</t>
  </si>
  <si>
    <t>Noran Neurological Clinic, PA</t>
  </si>
  <si>
    <t>11091 Ulysses Street NE</t>
  </si>
  <si>
    <t>2828 Chicago Avenue South</t>
  </si>
  <si>
    <t>Midtown Medical Building</t>
  </si>
  <si>
    <t>Montgomery</t>
  </si>
  <si>
    <t>bmontgomery@noranclinic.com</t>
  </si>
  <si>
    <t>Mark Franklin</t>
  </si>
  <si>
    <t>Franklin</t>
  </si>
  <si>
    <t>mfranklin@noranclinic.com</t>
  </si>
  <si>
    <t>www.noranclinic.com</t>
  </si>
  <si>
    <t>Noran Neurological Clinic, P.A.</t>
  </si>
  <si>
    <t>LAKE ELMO</t>
  </si>
  <si>
    <t>8515 Eagle Point Boulevard</t>
  </si>
  <si>
    <t>North Memorial Medical Clinic - Minnetonka</t>
  </si>
  <si>
    <t>15450 Highway 7</t>
  </si>
  <si>
    <t>North Memorial Clinic - Minnetonka</t>
  </si>
  <si>
    <t>Casey</t>
  </si>
  <si>
    <t>Brenda</t>
  </si>
  <si>
    <t>Teich</t>
  </si>
  <si>
    <t>Manager</t>
  </si>
  <si>
    <t>485 Arundel Street</t>
  </si>
  <si>
    <t>BROOKLYN PARK</t>
  </si>
  <si>
    <t>3366 Oakdale Avenue North</t>
  </si>
  <si>
    <t>Suite 103</t>
  </si>
  <si>
    <t>Jay Hempe</t>
  </si>
  <si>
    <t>COO</t>
  </si>
  <si>
    <t>Twin Cities Orthopedics</t>
  </si>
  <si>
    <t>www.tcomn.com</t>
  </si>
  <si>
    <t>Oakdale Ear, Nose &amp; Throat Clinic - Maple Grove</t>
  </si>
  <si>
    <t>9825 Hospital Drive</t>
  </si>
  <si>
    <t>Suite 203</t>
  </si>
  <si>
    <t>ROBBINSDALE</t>
  </si>
  <si>
    <t>Oakdale Ear, Nose &amp; Throat Clinic</t>
  </si>
  <si>
    <t>www.oakdaleent.com</t>
  </si>
  <si>
    <t>Oakdale Ear, Nose, &amp; Throat Clinic</t>
  </si>
  <si>
    <t>Oakdale Ear, Nose &amp; Throat Clinic - Robbinsdale</t>
  </si>
  <si>
    <t>Open Sided MRI</t>
  </si>
  <si>
    <t>Troy J.</t>
  </si>
  <si>
    <t>Angela</t>
  </si>
  <si>
    <t>St. Luke's Hospital, Duluth</t>
  </si>
  <si>
    <t>Orthopaedic Associates of Duluth, PA</t>
  </si>
  <si>
    <t>1000 East First Street</t>
  </si>
  <si>
    <t>www.oaduluth.com</t>
  </si>
  <si>
    <t>Orthopedic Partners (Div of Twin Cities Orthopedics)</t>
  </si>
  <si>
    <t>3111 - 124th Avenue NW</t>
  </si>
  <si>
    <t>Rebecca</t>
  </si>
  <si>
    <t>beckyanderson@tcomn.com</t>
  </si>
  <si>
    <t>8290 University Avenue NE</t>
  </si>
  <si>
    <t>Otolaryngology, Head &amp; Neck Surgery, P.A.</t>
  </si>
  <si>
    <t>Lisa</t>
  </si>
  <si>
    <t>Eric Becken, MD</t>
  </si>
  <si>
    <t>Jennifer</t>
  </si>
  <si>
    <t>Partridge</t>
  </si>
  <si>
    <t>CT Technical Director</t>
  </si>
  <si>
    <t>jpartridge@mwent.net</t>
  </si>
  <si>
    <t>2080 Woodwinds Drive</t>
  </si>
  <si>
    <t>Richard</t>
  </si>
  <si>
    <t>Karlen</t>
  </si>
  <si>
    <t>Medical Director/RSO</t>
  </si>
  <si>
    <t>rkarlen@mwent.net</t>
  </si>
  <si>
    <t>www.midwestentspecialists.com</t>
  </si>
  <si>
    <t>Park Nicollet Clinic  Burnsville</t>
  </si>
  <si>
    <t>14000 Fairview Drive</t>
  </si>
  <si>
    <t>Frazier</t>
  </si>
  <si>
    <t>VP Surgical Specialties</t>
  </si>
  <si>
    <t>Laura.frazier@parknicollet.com</t>
  </si>
  <si>
    <t>Catherine Lenagh</t>
  </si>
  <si>
    <t>Boder</t>
  </si>
  <si>
    <t>Radiology Business Operations Analyst</t>
  </si>
  <si>
    <t>Park Nicollet Clinic</t>
  </si>
  <si>
    <t>boderj@parknicollet.com</t>
  </si>
  <si>
    <t>6500 Excelsior Boulevard</t>
  </si>
  <si>
    <t>Ilene</t>
  </si>
  <si>
    <t>Leister</t>
  </si>
  <si>
    <t>leistim@parknicollet.com</t>
  </si>
  <si>
    <t>Nelson</t>
  </si>
  <si>
    <t>angela.nelson1@parknicollet.com</t>
  </si>
  <si>
    <t>Harris</t>
  </si>
  <si>
    <t>Park Nicollet Health Services</t>
  </si>
  <si>
    <t>patricia.harris@parknicollet.com</t>
  </si>
  <si>
    <t>5050 Excelsior Boulevard</t>
  </si>
  <si>
    <t>Park Nicollet Clinic  Maple Grove</t>
  </si>
  <si>
    <t>9555 Upland Lane North</t>
  </si>
  <si>
    <t>laura.frazier@parknicollet.com</t>
  </si>
  <si>
    <t>Park Nicollet Clinic  St. Louis Park</t>
  </si>
  <si>
    <t>4951 Excelsior Boulevard</t>
  </si>
  <si>
    <t>Park Nicollet Clinic  Wayzata</t>
  </si>
  <si>
    <t>WAYZATA</t>
  </si>
  <si>
    <t>250 Central Avenue</t>
  </si>
  <si>
    <t>Suite 220</t>
  </si>
  <si>
    <t>Physicians Group, LLC</t>
  </si>
  <si>
    <t>735 Kasota Avenue</t>
  </si>
  <si>
    <t>Vincent Payne</t>
  </si>
  <si>
    <t>Malibu</t>
  </si>
  <si>
    <t>Leith</t>
  </si>
  <si>
    <t>Director of MRI Operations</t>
  </si>
  <si>
    <t>4054 Sawyer Road</t>
  </si>
  <si>
    <t>SARASOTA</t>
  </si>
  <si>
    <t>FL</t>
  </si>
  <si>
    <t>1600 University Avenue</t>
  </si>
  <si>
    <t>Suite 306</t>
  </si>
  <si>
    <t>Hallin</t>
  </si>
  <si>
    <t>Radiation Safety Officer</t>
  </si>
  <si>
    <t>casey.hallin@pgllc-mn.com</t>
  </si>
  <si>
    <t>http://www.physiciansgroupllc.com</t>
  </si>
  <si>
    <t>Sanford Health Detroit Lakes Clinic</t>
  </si>
  <si>
    <t>1245 Washington Avenue</t>
  </si>
  <si>
    <t>Volk</t>
  </si>
  <si>
    <t>Senior Vice President - Sanford Clinic</t>
  </si>
  <si>
    <t>james.volk@sanfordhealth.org</t>
  </si>
  <si>
    <t>Tiffany Lawrence</t>
  </si>
  <si>
    <t>Sanford Health</t>
  </si>
  <si>
    <t>415 Third Avenue North</t>
  </si>
  <si>
    <t>www.sanfordhealth.org</t>
  </si>
  <si>
    <t>Sanford Health East Grand Forks</t>
  </si>
  <si>
    <t>EAST GRAND FORKS</t>
  </si>
  <si>
    <t>929 Central Avenue</t>
  </si>
  <si>
    <t>POLK</t>
  </si>
  <si>
    <t>929 Central Avenue NW</t>
  </si>
  <si>
    <t>Sanford USD Medical Center - MRI-1</t>
  </si>
  <si>
    <t>SIOUX FALLS</t>
  </si>
  <si>
    <t>1305 West 18th Street</t>
  </si>
  <si>
    <t>SD</t>
  </si>
  <si>
    <t>PO Box 5039</t>
  </si>
  <si>
    <t>Paul</t>
  </si>
  <si>
    <t>Hanson</t>
  </si>
  <si>
    <t>paul.hanson@sanfordhealth.org</t>
  </si>
  <si>
    <t>Cole Turner</t>
  </si>
  <si>
    <t>Chad</t>
  </si>
  <si>
    <t>Borns</t>
  </si>
  <si>
    <t>chad.borns@sanfordhealth.org</t>
  </si>
  <si>
    <t>MINNEHAHA</t>
  </si>
  <si>
    <t>Sanford USD Medical Center - MRI-2</t>
  </si>
  <si>
    <t>Sanford USD Medical Center - MRI-3</t>
  </si>
  <si>
    <t>Shared Medical Services - ACE 01 (PET/CT)</t>
  </si>
  <si>
    <t>COTTAGE GROVE</t>
  </si>
  <si>
    <t>209 Limestone Pass</t>
  </si>
  <si>
    <t>WI</t>
  </si>
  <si>
    <t>DANE</t>
  </si>
  <si>
    <t>Arington</t>
  </si>
  <si>
    <t>lisaa@sharedmed.com</t>
  </si>
  <si>
    <t>Rick Lonigro</t>
  </si>
  <si>
    <t>Kelly</t>
  </si>
  <si>
    <t>Thurnbauer</t>
  </si>
  <si>
    <t>Shared Medical Services</t>
  </si>
  <si>
    <t>kthurnbauer@sharedmed.com</t>
  </si>
  <si>
    <t>www.sharedmed.com</t>
  </si>
  <si>
    <t>Shared Medical Services - JET 01 (PET/CT)</t>
  </si>
  <si>
    <t>Shared Medical Services - KEY 01 (PET/CT)</t>
  </si>
  <si>
    <t>Shared Medical Services - OSL 03 (MRI)</t>
  </si>
  <si>
    <t>Shared Medical Services - PBS 01 (MRI)</t>
  </si>
  <si>
    <t>Shared Medical Services - XIM 03 (MRI)</t>
  </si>
  <si>
    <t>Shared Medical Technology, Inc. SPECT-F1 @ Riverview Healthcare Association</t>
  </si>
  <si>
    <t>CROOKSTON</t>
  </si>
  <si>
    <t>323 South Minnesota</t>
  </si>
  <si>
    <t>1422 Naylor Drive SE</t>
  </si>
  <si>
    <t>BEMIDJI</t>
  </si>
  <si>
    <t>BELTRAMI</t>
  </si>
  <si>
    <t>Craig Zadra</t>
  </si>
  <si>
    <t>Shared Medical Technology</t>
  </si>
  <si>
    <t>202 West Newton Street</t>
  </si>
  <si>
    <t>RICE LAKE</t>
  </si>
  <si>
    <t>BARRON</t>
  </si>
  <si>
    <t>Craig</t>
  </si>
  <si>
    <t>Zadra</t>
  </si>
  <si>
    <t>craigz@sharedmedtech.com</t>
  </si>
  <si>
    <t>www.sharedmedtech.com</t>
  </si>
  <si>
    <t>Shared Medical Technonogy, Inc.</t>
  </si>
  <si>
    <t>Shared Medical Technology, Inc. SPECT-F2 @ First Care Medical Services</t>
  </si>
  <si>
    <t>FOSSTON</t>
  </si>
  <si>
    <t>900 Hillgoss Boulevard</t>
  </si>
  <si>
    <t>Shared Medical Technology, Inc. SPECT-F3 @ LifeCare Medical Center</t>
  </si>
  <si>
    <t>Shared Medical Technology, Inc. SPECT-F4 @ Sanford Thief River Falls Medical Center</t>
  </si>
  <si>
    <t>THIEF RIVER FALLS</t>
  </si>
  <si>
    <t>3001 Sanford Parkway</t>
  </si>
  <si>
    <t>PENNINGTON</t>
  </si>
  <si>
    <t>Shared Medical Technology, Inc. SPECT-M2 (Mobile Unit - 2)</t>
  </si>
  <si>
    <t>Smart Choice MRI, LLC - Richfield</t>
  </si>
  <si>
    <t>RICHFIELD</t>
  </si>
  <si>
    <t>1704 East 66th Street</t>
  </si>
  <si>
    <t>Smart Choice MRI</t>
  </si>
  <si>
    <t>Smart Choice MRI, LLC - Woodbury</t>
  </si>
  <si>
    <t>1605 Queens Drive</t>
  </si>
  <si>
    <t>Southwest Minnesota Orthopedics and Sports Medicine, Inc. - Marshall</t>
  </si>
  <si>
    <t>1401 Nwakama Street</t>
  </si>
  <si>
    <t>2331 20th Street 9 (Hwy 30)</t>
  </si>
  <si>
    <t>SLAYTON</t>
  </si>
  <si>
    <t>MURRAY</t>
  </si>
  <si>
    <t>Jessica</t>
  </si>
  <si>
    <t>Buysse</t>
  </si>
  <si>
    <t>Office Manager, RT</t>
  </si>
  <si>
    <t>jessica@swm-ortho.com</t>
  </si>
  <si>
    <t>Anthony Nwakama, MD</t>
  </si>
  <si>
    <t>Southwest Minnesota Orthopedics and Sports Medicinc, Inc.</t>
  </si>
  <si>
    <t>Anthony</t>
  </si>
  <si>
    <t>Nwakama</t>
  </si>
  <si>
    <t>Owner, CEO</t>
  </si>
  <si>
    <t>anwakama@swm-ortho.com</t>
  </si>
  <si>
    <t>http://swm-ortho.com</t>
  </si>
  <si>
    <t xml:space="preserve">Southwest MN Ortho &amp; Sports Med </t>
  </si>
  <si>
    <t>St. Cloud Ear, Nose &amp;Throat-Head and Neck Clinic</t>
  </si>
  <si>
    <t>1528 Northway Drive</t>
  </si>
  <si>
    <t>Schneider</t>
  </si>
  <si>
    <t>bschneider@stcloudent.com</t>
  </si>
  <si>
    <t>www.stcloudent.com</t>
  </si>
  <si>
    <t>www.stcloudmedical.com</t>
  </si>
  <si>
    <t>St. Cloud Orthopedic Associates, Ltd.</t>
  </si>
  <si>
    <t>1901 Connecticut Avenue South</t>
  </si>
  <si>
    <t>William</t>
  </si>
  <si>
    <t>Worzala</t>
  </si>
  <si>
    <t>bworzala@stcloudorthopedics.com</t>
  </si>
  <si>
    <t>Gary Wolters</t>
  </si>
  <si>
    <t>Gary</t>
  </si>
  <si>
    <t>Wolters</t>
  </si>
  <si>
    <t>Controller</t>
  </si>
  <si>
    <t>gwolters@stcloudorthopedics.com</t>
  </si>
  <si>
    <t>www.stcloudorthopedics.com</t>
  </si>
  <si>
    <t>915 East First Street</t>
  </si>
  <si>
    <t>Eric Lohn</t>
  </si>
  <si>
    <t>Bloom</t>
  </si>
  <si>
    <t>St. Luke's Hospital</t>
  </si>
  <si>
    <t>www.slhduluth.com/clinics-specialties</t>
  </si>
  <si>
    <t>St. Luke's Duluth Clinic System - Laurentian Medical Clinic</t>
  </si>
  <si>
    <t>VIRGINIA</t>
  </si>
  <si>
    <t>8373 Unity Drive</t>
  </si>
  <si>
    <t>Terri</t>
  </si>
  <si>
    <t>Ruberg</t>
  </si>
  <si>
    <t>terri.ruberg@slhduluth.com</t>
  </si>
  <si>
    <t>St. Paul Cancer Care Center</t>
  </si>
  <si>
    <t>345 Sherman Street</t>
  </si>
  <si>
    <t>St. Paul Radiology Downtown</t>
  </si>
  <si>
    <t>250 Thompson Street</t>
  </si>
  <si>
    <t>250 Thomson Street</t>
  </si>
  <si>
    <t>Martin</t>
  </si>
  <si>
    <t>Jerry Gehling</t>
  </si>
  <si>
    <t>Streier</t>
  </si>
  <si>
    <t>St. Paul Radiology</t>
  </si>
  <si>
    <t>hstreier@stpaulrad.com</t>
  </si>
  <si>
    <t>166 Fourth Street East</t>
  </si>
  <si>
    <t>www.stpaulradiology.com</t>
  </si>
  <si>
    <t>St. Paul Radiology Eagan</t>
  </si>
  <si>
    <t>1185 Town Centre Drive</t>
  </si>
  <si>
    <t>Suite 125</t>
  </si>
  <si>
    <t>St. Paul Rheumatology, P.A.</t>
  </si>
  <si>
    <t>2854 Highway 55</t>
  </si>
  <si>
    <t>Kryjeski</t>
  </si>
  <si>
    <t>Credentialing Manager</t>
  </si>
  <si>
    <t>St. Paul Rheumatology</t>
  </si>
  <si>
    <t>annk@hmr.net</t>
  </si>
  <si>
    <t>www.sprdem.com</t>
  </si>
  <si>
    <t>Stand Up Mid America MRI, PA</t>
  </si>
  <si>
    <t>604 North Lilac Drive</t>
  </si>
  <si>
    <t>Wayne</t>
  </si>
  <si>
    <t>Dahl, DC</t>
  </si>
  <si>
    <t>Owner, President</t>
  </si>
  <si>
    <t>suma@sumamri.com</t>
  </si>
  <si>
    <t>SUMA MRI</t>
  </si>
  <si>
    <t>tony@sumamri.com</t>
  </si>
  <si>
    <t>www.sumamri.com</t>
  </si>
  <si>
    <t>SUMA</t>
  </si>
  <si>
    <t>StandUp Multipositional Advantage MRI, PA</t>
  </si>
  <si>
    <t>Suburban Imaging  Blaine</t>
  </si>
  <si>
    <t>11855 Ulysses Street NE</t>
  </si>
  <si>
    <t>www.subrad.com</t>
  </si>
  <si>
    <t>Suburban Imaging  Burnsville</t>
  </si>
  <si>
    <t>14000 Nicollet Avenue</t>
  </si>
  <si>
    <t>Suite 204</t>
  </si>
  <si>
    <t>Suburban Imaging  Coon Rapids</t>
  </si>
  <si>
    <t>8990 Springbrook Drive</t>
  </si>
  <si>
    <t>Suite 140</t>
  </si>
  <si>
    <t>Suburban Imaging  Coon Rapids 2</t>
  </si>
  <si>
    <t>11850 Blackfoot Street</t>
  </si>
  <si>
    <t>Suburban Imaging  Maple Grove</t>
  </si>
  <si>
    <t>12000 Elm Creek Boulevard</t>
  </si>
  <si>
    <t>Suburban Imaging  Southdale</t>
  </si>
  <si>
    <t>Summit Midway MRI</t>
  </si>
  <si>
    <t>1661 St. Anthony Avenue</t>
  </si>
  <si>
    <t>Summit Woodlake MRI</t>
  </si>
  <si>
    <t>2090 Woodwinds Drive</t>
  </si>
  <si>
    <t>The Orthopedic &amp; Fracture Clinic, PA</t>
  </si>
  <si>
    <t>1431 Premier Drive</t>
  </si>
  <si>
    <t>Andrew</t>
  </si>
  <si>
    <t>Meyers</t>
  </si>
  <si>
    <t>andym@ofc-clinic.com</t>
  </si>
  <si>
    <t>Richard Menden</t>
  </si>
  <si>
    <t>Menden</t>
  </si>
  <si>
    <t>rmenden@ofc-clinic.com</t>
  </si>
  <si>
    <t>www.ofc-clinic.com</t>
  </si>
  <si>
    <t>TRIA Orthopaedic Center</t>
  </si>
  <si>
    <t>8100 Northland Drive</t>
  </si>
  <si>
    <t>Steven</t>
  </si>
  <si>
    <t>Housh</t>
  </si>
  <si>
    <t>VP Orthopaedic Services</t>
  </si>
  <si>
    <t>steven.c.housh@healthpartners.com</t>
  </si>
  <si>
    <t>Chow</t>
  </si>
  <si>
    <t>Sr. Business Operations Manager</t>
  </si>
  <si>
    <t>ching.hang.chow@tria.com</t>
  </si>
  <si>
    <t>www.tria.com</t>
  </si>
  <si>
    <t>Tristate Brain and Spine Institute</t>
  </si>
  <si>
    <t>6600 State Hwy 29 South</t>
  </si>
  <si>
    <t>Twin Cities Diagnostic Center, LLC</t>
  </si>
  <si>
    <t>7570 Wayzata Boulevard</t>
  </si>
  <si>
    <t>Katiana Fleites</t>
  </si>
  <si>
    <t>Katiana</t>
  </si>
  <si>
    <t>Fleites</t>
  </si>
  <si>
    <t>www.tcdiagnostic.com</t>
  </si>
  <si>
    <t>3955 Parklawn Avenue</t>
  </si>
  <si>
    <t>1000 West 140th Street</t>
  </si>
  <si>
    <t>Simonson</t>
  </si>
  <si>
    <t>troysimonson@tcomn.com</t>
  </si>
  <si>
    <t>4200 Dahlberg Drive</t>
  </si>
  <si>
    <t>1701 Curve Crest Boulevard</t>
  </si>
  <si>
    <t>5803 Neal Avenue North</t>
  </si>
  <si>
    <t>OAK PARK HEIGHTS</t>
  </si>
  <si>
    <t>500 Maple Street</t>
  </si>
  <si>
    <t>Twin Cities Orthopedics - Lake Elmo</t>
  </si>
  <si>
    <t>8650 Hudson Boulevard</t>
  </si>
  <si>
    <t>Twin Cities Orthopedics MRI</t>
  </si>
  <si>
    <t>4010 West 65th Street</t>
  </si>
  <si>
    <t>Twin Cities Orthopedics, PA</t>
  </si>
  <si>
    <t>CHASKA</t>
  </si>
  <si>
    <t>111 Hundertmark Road</t>
  </si>
  <si>
    <t>U of M Health Clinics and Surgery Center</t>
  </si>
  <si>
    <t>909 Fulton Street SE</t>
  </si>
  <si>
    <t>Urgency Room - Eagan</t>
  </si>
  <si>
    <t>3010 Denmark Avenue</t>
  </si>
  <si>
    <t>Klassen</t>
  </si>
  <si>
    <t>tklassen@eppahealth.com</t>
  </si>
  <si>
    <t>Emergency Physicians, P.A.</t>
  </si>
  <si>
    <t>Rennich</t>
  </si>
  <si>
    <t>krennich@eppahealth.com</t>
  </si>
  <si>
    <t>Strathman</t>
  </si>
  <si>
    <t>General Counsel, Director of Human Resources</t>
  </si>
  <si>
    <t>cstrathman@eppahealth.com</t>
  </si>
  <si>
    <t>www.urgencyroom.com</t>
  </si>
  <si>
    <t>Emergency Physicians, P.A. (EPPA)</t>
  </si>
  <si>
    <t>Urgency Room - Vadnais Heights</t>
  </si>
  <si>
    <t>1159 East County Road E</t>
  </si>
  <si>
    <t xml:space="preserve">VADNAIS HEIGHTS </t>
  </si>
  <si>
    <t>Urgency Room - Woodbury</t>
  </si>
  <si>
    <t>7030 Valley Creek Plaza</t>
  </si>
  <si>
    <t>Natalie</t>
  </si>
  <si>
    <t>VanQuest</t>
  </si>
  <si>
    <t>natalie.vanquest@partnersimaging.net</t>
  </si>
  <si>
    <t>Mark Andrican</t>
  </si>
  <si>
    <t>VP Imaging Services</t>
  </si>
  <si>
    <t>Vadnais Heights MRI</t>
  </si>
  <si>
    <t>3580 Arcade Street</t>
  </si>
  <si>
    <t>Voyageur Imaging, LLC</t>
  </si>
  <si>
    <t>393 Dunlap Street</t>
  </si>
  <si>
    <t>Suite LL40</t>
  </si>
  <si>
    <t>Hans</t>
  </si>
  <si>
    <t>Castro</t>
  </si>
  <si>
    <t>jennifer@voyageurimaging.com</t>
  </si>
  <si>
    <t>Dr. Steven Johnson</t>
  </si>
  <si>
    <t>Hentges</t>
  </si>
  <si>
    <t>Billing Coordinator</t>
  </si>
  <si>
    <t>Wayne Dahl, DC</t>
  </si>
  <si>
    <t>Willmar Imaging &amp; Diagnostic Center, LLC</t>
  </si>
  <si>
    <t>Appleton Municipal Hospital and Nursing Home</t>
  </si>
  <si>
    <t>30 South Behl Street</t>
  </si>
  <si>
    <t>Ridgeview Sibley Medical Center</t>
  </si>
  <si>
    <t>Essentia Health Northern Pines</t>
  </si>
  <si>
    <t>Sanford Bagley Medical Center</t>
  </si>
  <si>
    <t>LakeWood Health Center</t>
  </si>
  <si>
    <t>Community Behavioral Health Hospital - Baxter</t>
  </si>
  <si>
    <t>Community Behavioral Health Hospital - Bemidji</t>
  </si>
  <si>
    <t>Sanford Bemidji Medical Center</t>
  </si>
  <si>
    <t>Swift County-Benson Hospital</t>
  </si>
  <si>
    <t>Bigfork Valley Hospital</t>
  </si>
  <si>
    <t>United Hospital District</t>
  </si>
  <si>
    <t>St. Joseph's Medical Center</t>
  </si>
  <si>
    <t>St. Francis Medical Center</t>
  </si>
  <si>
    <t>PrairieCare</t>
  </si>
  <si>
    <t>Buffalo Hospital</t>
  </si>
  <si>
    <t>BUFFALO</t>
  </si>
  <si>
    <t>Fairview Ridges Hospital</t>
  </si>
  <si>
    <t>Cambridge Medical Center</t>
  </si>
  <si>
    <t>CAMBRIDGE</t>
  </si>
  <si>
    <t>Sanford Canby Medical Center</t>
  </si>
  <si>
    <t>CANBY</t>
  </si>
  <si>
    <t>Mayo Clinic Health System - Cannon Falls</t>
  </si>
  <si>
    <t>CANNON FALLS</t>
  </si>
  <si>
    <t>US Public Health Service - Cass Lake</t>
  </si>
  <si>
    <t>CASS LAKE</t>
  </si>
  <si>
    <t>Cloquet Memorial Hospital Association</t>
  </si>
  <si>
    <t>Cook Hospital &amp; C&amp;NC</t>
  </si>
  <si>
    <t>Mercy Hospital</t>
  </si>
  <si>
    <t>Riverview Healthcare Association</t>
  </si>
  <si>
    <t>Cuyuna Regional Medical Center</t>
  </si>
  <si>
    <t>Johnson Memorial Health Services</t>
  </si>
  <si>
    <t>Essentia Health - Deer River</t>
  </si>
  <si>
    <t>Essentia Health - Duluth</t>
  </si>
  <si>
    <t>St. Mary's Medical Center</t>
  </si>
  <si>
    <t>Fairview Southdale Hospital</t>
  </si>
  <si>
    <t>Prairie Ridge Hospital &amp; Health Services</t>
  </si>
  <si>
    <t>ELBOW LAKE</t>
  </si>
  <si>
    <t>Ely-Bloomenson Community Hospital</t>
  </si>
  <si>
    <t>Mayo Clinic Health System - Fairmont</t>
  </si>
  <si>
    <t>District One Hospital</t>
  </si>
  <si>
    <t>Community Behavioral Health Hospital - Fergus Falls</t>
  </si>
  <si>
    <t>FERGUS FALLS</t>
  </si>
  <si>
    <t>Lake Region Healthcare Corporation</t>
  </si>
  <si>
    <t>Glencoe Regional Health Services</t>
  </si>
  <si>
    <t>Glacial Ridge Health System</t>
  </si>
  <si>
    <t>Regency Hospital of Minneapolis</t>
  </si>
  <si>
    <t>Essentia Health - Graceville</t>
  </si>
  <si>
    <t>GRACEVILLE</t>
  </si>
  <si>
    <t>Grand Itasca Clinic and Hospital</t>
  </si>
  <si>
    <t>Granite Falls Municipal Hospital &amp; Manor</t>
  </si>
  <si>
    <t>Kittson Memorial Healthcare Center</t>
  </si>
  <si>
    <t>HALLOCK</t>
  </si>
  <si>
    <t>Regina Hospital</t>
  </si>
  <si>
    <t>Hendricks Community Hospital Association</t>
  </si>
  <si>
    <t>HENDRICKS</t>
  </si>
  <si>
    <t>Fairview University Medical Center - Mesabi</t>
  </si>
  <si>
    <t>Hutchinson Health</t>
  </si>
  <si>
    <t>Rainy Lake Medical Center</t>
  </si>
  <si>
    <t>Sanford Jackson Medical Center</t>
  </si>
  <si>
    <t>JACKSON</t>
  </si>
  <si>
    <t>Mayo Clinic Health System - Lake City</t>
  </si>
  <si>
    <t>LAKE CITY</t>
  </si>
  <si>
    <t>Minnesota Valley Health Center</t>
  </si>
  <si>
    <t>Meeker Memorial Hospital</t>
  </si>
  <si>
    <t>St. Gabriel's Hospital</t>
  </si>
  <si>
    <t>CentraCare Health System - Long Prairie</t>
  </si>
  <si>
    <t>Sanford Hospital Luverne</t>
  </si>
  <si>
    <t>LUVERNE</t>
  </si>
  <si>
    <t>Madelia Community Hospital, Inc.</t>
  </si>
  <si>
    <t>MADELIA</t>
  </si>
  <si>
    <t>Madison Hospital</t>
  </si>
  <si>
    <t>Mahnomen Health Center</t>
  </si>
  <si>
    <t>Maple Grove Hospital</t>
  </si>
  <si>
    <t>St. John's Hospital</t>
  </si>
  <si>
    <t>Avera Marshall Regional Medical Center</t>
  </si>
  <si>
    <t>Abbott Northwestern Hospital</t>
  </si>
  <si>
    <t>Children's Health Care dba Children's Hospitals and Clinics of Minnesota</t>
  </si>
  <si>
    <t>Hennepin County Medical Center</t>
  </si>
  <si>
    <t>Phillips Eye Institute</t>
  </si>
  <si>
    <t>Shriners Hospitals for Children</t>
  </si>
  <si>
    <t>University of Minnesota Medical Center - Fairview</t>
  </si>
  <si>
    <t>Veterans Affairs Medical Center</t>
  </si>
  <si>
    <t>Chippewa County-Montevideo Hospital</t>
  </si>
  <si>
    <t>CentraCare Health - Monticello</t>
  </si>
  <si>
    <t>FirstLight Health System</t>
  </si>
  <si>
    <t>Stevens Community Medical Center</t>
  </si>
  <si>
    <t>MORRIS</t>
  </si>
  <si>
    <t>Mayo Clinic Health System - New Prague</t>
  </si>
  <si>
    <t>NEW PRAGUE</t>
  </si>
  <si>
    <t>New Ulm Medical Center</t>
  </si>
  <si>
    <t>Northfield Hospital &amp; Clinics</t>
  </si>
  <si>
    <t>Renville County Hospital</t>
  </si>
  <si>
    <t>Mille Lacs Health System</t>
  </si>
  <si>
    <t>Ortonville Area Health Services</t>
  </si>
  <si>
    <t>ORTONVILLE</t>
  </si>
  <si>
    <t>Owatonna Hospital</t>
  </si>
  <si>
    <t>St. Joseph's Area Health Services, Inc.</t>
  </si>
  <si>
    <t>CentraCare Health - Paynesville</t>
  </si>
  <si>
    <t>Perham Health</t>
  </si>
  <si>
    <t>Pipestone County Medical Center</t>
  </si>
  <si>
    <t>Fairview Northland Regional Hospital</t>
  </si>
  <si>
    <t>US Public Health Service - Red Lake</t>
  </si>
  <si>
    <t>RED LAKE</t>
  </si>
  <si>
    <t>Mayo Clinic Health System - Red Wing</t>
  </si>
  <si>
    <t>Redwood Area Hospital</t>
  </si>
  <si>
    <t>North Memorial Medical Center</t>
  </si>
  <si>
    <t>3300 Oakdale Avenue North</t>
  </si>
  <si>
    <t>Community Behavioral Health Hospital - Rochester</t>
  </si>
  <si>
    <t>Mayo Clinic Hospital - Rochester</t>
  </si>
  <si>
    <t>Olmsted Medical Center</t>
  </si>
  <si>
    <t>LifeCare Medical Center</t>
  </si>
  <si>
    <t>Essentia Health - Sandstone</t>
  </si>
  <si>
    <t>CentraCare Health - Sauk Centre</t>
  </si>
  <si>
    <t>St. Francis Regional Medical Center</t>
  </si>
  <si>
    <t>SHAKOPEE</t>
  </si>
  <si>
    <t>Murray County Memorial Hospital</t>
  </si>
  <si>
    <t>Sleepy Eye Medical Center</t>
  </si>
  <si>
    <t>Mayo Clinic Health System - Springfield</t>
  </si>
  <si>
    <t>SPRINGFIELD</t>
  </si>
  <si>
    <t>St. Cloud Hospital</t>
  </si>
  <si>
    <t>Veterans Affairs Health Care System</t>
  </si>
  <si>
    <t>Mayo Clinic Health System - St. James</t>
  </si>
  <si>
    <t>ST. JAMES</t>
  </si>
  <si>
    <t>Park Nicollet Methodist Hospital</t>
  </si>
  <si>
    <t>Bethesda LTACH</t>
  </si>
  <si>
    <t>Gillette Children's Specialty Healthcare</t>
  </si>
  <si>
    <t>Regions Hospital</t>
  </si>
  <si>
    <t>St. Joseph's Hospital</t>
  </si>
  <si>
    <t>United Hospital</t>
  </si>
  <si>
    <t>River's Edge Hospital &amp; Clinic</t>
  </si>
  <si>
    <t>Lakewood Health System</t>
  </si>
  <si>
    <t>Lakeview Memorial Hospital</t>
  </si>
  <si>
    <t>Sanford Medical Center Thief River Falls</t>
  </si>
  <si>
    <t>Sanford Tracy Medical Center</t>
  </si>
  <si>
    <t>TRACY</t>
  </si>
  <si>
    <t>Lake View Memorial Hospital</t>
  </si>
  <si>
    <t>TWO HARBORS</t>
  </si>
  <si>
    <t>TYLER</t>
  </si>
  <si>
    <t>Essentia Health Virginia</t>
  </si>
  <si>
    <t>Saint Elizabeth's Medical Center</t>
  </si>
  <si>
    <t>WABASHA</t>
  </si>
  <si>
    <t>Ridgeview Medical Center</t>
  </si>
  <si>
    <t>Tri-County Hospital</t>
  </si>
  <si>
    <t>North Valley Health Center</t>
  </si>
  <si>
    <t>WARREN</t>
  </si>
  <si>
    <t>Mayo Clinic Health System - Waseca</t>
  </si>
  <si>
    <t>WASECA</t>
  </si>
  <si>
    <t>Sanford Westbrook Medical Center</t>
  </si>
  <si>
    <t>WESTBROOK</t>
  </si>
  <si>
    <t>Sanford Medical Center Wheaton</t>
  </si>
  <si>
    <t>Community Adolescent Behavioral Health Services</t>
  </si>
  <si>
    <t>Rice Memorial Hospital</t>
  </si>
  <si>
    <t>Windom Area Hospital</t>
  </si>
  <si>
    <t>WINDOM</t>
  </si>
  <si>
    <t>Winona Health Services</t>
  </si>
  <si>
    <t>WINONA</t>
  </si>
  <si>
    <t>Woodwinds Health Campus</t>
  </si>
  <si>
    <t>Sanford Worthington Medical Center</t>
  </si>
  <si>
    <t>Fairview Lakes Regional Medical Center</t>
  </si>
  <si>
    <t>RS
MRI</t>
  </si>
  <si>
    <t>RS
MRI
Exp Date</t>
  </si>
  <si>
    <t>RS
PET</t>
  </si>
  <si>
    <t>RS
PET
Exp Date</t>
  </si>
  <si>
    <t>RS
CT</t>
  </si>
  <si>
    <t>RS
CT
Exp Date</t>
  </si>
  <si>
    <t>RS
SPECT</t>
  </si>
  <si>
    <t>RS
SPECT
Exp Date</t>
  </si>
  <si>
    <t>RadSite
(RS)</t>
  </si>
  <si>
    <t>RS</t>
  </si>
  <si>
    <t>RS-MRI</t>
  </si>
  <si>
    <t>RS-MRI Exp Date</t>
  </si>
  <si>
    <t>RS-PET</t>
  </si>
  <si>
    <t>RS-PET Exp Date</t>
  </si>
  <si>
    <t>RS-CT</t>
  </si>
  <si>
    <t>RS-CT Exp Date</t>
  </si>
  <si>
    <t>RS-SPECT</t>
  </si>
  <si>
    <t>RS-SPECT Exp Date</t>
  </si>
  <si>
    <t>na</t>
  </si>
  <si>
    <t>Nuc Cardiology</t>
  </si>
  <si>
    <t>MA/PMAP and MinnesotaCare Total</t>
  </si>
  <si>
    <t>This report must be certified by an officer of the Diagnostic Imaging center such as the Administrator, CEO, or CFO.</t>
  </si>
  <si>
    <t>Certification Statement: By adding my name below, I hereby certify that I have examined this Annual Report and to the best of my knowledge, the information contained in this report is accurate.</t>
  </si>
  <si>
    <r>
      <t xml:space="preserve">The Minnesota Department of Health (MDH) requires the use of an electronic workbook in completing this formset. This formset is a multiple tabbed Excel workbook. Tabs can be found along the bottom of the workbook. There are hyperlinks throughout to help with navigation through the report and to assist with definitions. Please be sure to complete all sections of the formset and </t>
    </r>
    <r>
      <rPr>
        <b/>
        <sz val="10"/>
        <rFont val="Calibri"/>
        <family val="2"/>
      </rPr>
      <t>e-mail the completed Microsoft Excel™ formset</t>
    </r>
    <r>
      <rPr>
        <sz val="10"/>
        <rFont val="Calibri"/>
        <family val="2"/>
      </rPr>
      <t xml:space="preserve"> back to health.hccis@state.mn.us.</t>
    </r>
  </si>
  <si>
    <t>KANDIYOHI</t>
  </si>
  <si>
    <t>www.acmc.com</t>
  </si>
  <si>
    <t>Affiliated Community Medical Centers</t>
  </si>
  <si>
    <t>Alexandria CDI @ Douglas County Hospital</t>
  </si>
  <si>
    <t>111 - 17th Avenue East</t>
  </si>
  <si>
    <t>Patrick Bakker</t>
  </si>
  <si>
    <t>Director RCM Credentialing &amp; Bus. Implementation</t>
  </si>
  <si>
    <t>CDI-MN, LLC, 610 Properties, LLC, 1527 Broadway, LLC,  Latoka Investments, LLC, Scott Swenson, M.D.</t>
  </si>
  <si>
    <t>Douglas County Hospital</t>
  </si>
  <si>
    <t>Suite 211</t>
  </si>
  <si>
    <t>www.mnallergy.com</t>
  </si>
  <si>
    <t>Molly</t>
  </si>
  <si>
    <t>Moede</t>
  </si>
  <si>
    <t>molly.moede@allina.com</t>
  </si>
  <si>
    <t>Richard Magnuson</t>
  </si>
  <si>
    <t>Marissa</t>
  </si>
  <si>
    <t>Hilario</t>
  </si>
  <si>
    <t>marissa.hilario@allina.com</t>
  </si>
  <si>
    <t>Kathleen</t>
  </si>
  <si>
    <t>Inveen</t>
  </si>
  <si>
    <t>Directory of Radiology - CI Op</t>
  </si>
  <si>
    <t>kathleen.inveen@allina.com</t>
  </si>
  <si>
    <t>Kathy</t>
  </si>
  <si>
    <t>Fouche-Dill</t>
  </si>
  <si>
    <t>kathy.dill@allina.com</t>
  </si>
  <si>
    <t>Barb</t>
  </si>
  <si>
    <t>Barlau</t>
  </si>
  <si>
    <t>barb.barlau@allina.com</t>
  </si>
  <si>
    <t>Rahman</t>
  </si>
  <si>
    <t>mary.rahman@allina.com</t>
  </si>
  <si>
    <t>Suite 225</t>
  </si>
  <si>
    <t>Inell C. Rosario MD</t>
  </si>
  <si>
    <t>Inell C.</t>
  </si>
  <si>
    <t>Rosario</t>
  </si>
  <si>
    <t>Physician Owner</t>
  </si>
  <si>
    <t>drrosario@androsent-sleep.com</t>
  </si>
  <si>
    <t>Luis</t>
  </si>
  <si>
    <t>www.androsent-sleep.com</t>
  </si>
  <si>
    <t>Julie</t>
  </si>
  <si>
    <t>Ganje</t>
  </si>
  <si>
    <t>julie.ganje@allina.com</t>
  </si>
  <si>
    <t>LuAnn</t>
  </si>
  <si>
    <t>Schwickerath</t>
  </si>
  <si>
    <t>Ryan Raschke</t>
  </si>
  <si>
    <t>Olson</t>
  </si>
  <si>
    <t>CHIPPEWA</t>
  </si>
  <si>
    <t>NICOLLET</t>
  </si>
  <si>
    <t>Lisa Nelson</t>
  </si>
  <si>
    <t>Kyle</t>
  </si>
  <si>
    <t>Bauer</t>
  </si>
  <si>
    <t>kyle.bauer@cuyunamed.org</t>
  </si>
  <si>
    <t>Dale</t>
  </si>
  <si>
    <t>dale.vanhorn@cuyunamed.org</t>
  </si>
  <si>
    <t>Jeff Keyes</t>
  </si>
  <si>
    <t>DMS Imaging - CT108</t>
  </si>
  <si>
    <t>DMS Imaging - MR113</t>
  </si>
  <si>
    <t>DMS Imaging - MR119</t>
  </si>
  <si>
    <t>DMS Imaging - MR143</t>
  </si>
  <si>
    <t>DMS Imaging - MR144</t>
  </si>
  <si>
    <t>DMS Imaging - MR159</t>
  </si>
  <si>
    <t>DMS Imaging - NM066</t>
  </si>
  <si>
    <t>DMS Imaging - NM075</t>
  </si>
  <si>
    <t>DMS Imaging - PC010</t>
  </si>
  <si>
    <t>Linda</t>
  </si>
  <si>
    <t>King</t>
  </si>
  <si>
    <t>admin@entsc.com</t>
  </si>
  <si>
    <t>Executive Admin Assistant</t>
  </si>
  <si>
    <t>Essentia Health International Falls Clinic</t>
  </si>
  <si>
    <t>2501 Keenan Drive</t>
  </si>
  <si>
    <t>Robyn</t>
  </si>
  <si>
    <t>Pelowski</t>
  </si>
  <si>
    <t>Scipioni</t>
  </si>
  <si>
    <t>linda.scipioni@essentiahealth.org</t>
  </si>
  <si>
    <t>901 North Ninth Street</t>
  </si>
  <si>
    <t>Attn: Lisa Martin</t>
  </si>
  <si>
    <t>5257 27th Street South</t>
  </si>
  <si>
    <t>Suite 101</t>
  </si>
  <si>
    <t>Clinic Director/CEO</t>
  </si>
  <si>
    <t>Starosta</t>
  </si>
  <si>
    <t>bstarosta@subrad.com</t>
  </si>
  <si>
    <t>Maplewood Imaging</t>
  </si>
  <si>
    <t>Hebl</t>
  </si>
  <si>
    <t>Regional VP - SWMN</t>
  </si>
  <si>
    <t>hebl.james@mayo.edu</t>
  </si>
  <si>
    <t>SWMN Regional Radiology Director</t>
  </si>
  <si>
    <t>Financial Analyst III</t>
  </si>
  <si>
    <t>Michele</t>
  </si>
  <si>
    <t>Reimers</t>
  </si>
  <si>
    <t>mreimers@midwestspine.net</t>
  </si>
  <si>
    <t>MI</t>
  </si>
  <si>
    <t>pbian@mylantu.com</t>
  </si>
  <si>
    <t>Close</t>
  </si>
  <si>
    <t>President and Chief Ambulatory Officer</t>
  </si>
  <si>
    <t>jennifer.close@northmemorial.com</t>
  </si>
  <si>
    <t>Aaron Bloomquist</t>
  </si>
  <si>
    <t>www.northmemorial.com</t>
  </si>
  <si>
    <t>Vanya</t>
  </si>
  <si>
    <t>Rickmeyer</t>
  </si>
  <si>
    <t>vrickmeyer@slhduluth.com</t>
  </si>
  <si>
    <t>Christensen</t>
  </si>
  <si>
    <t>ericcrhistensen@tcomn.com</t>
  </si>
  <si>
    <t>3460 Promenade Avenue</t>
  </si>
  <si>
    <t>Benusa</t>
  </si>
  <si>
    <t>abenusa@mwent.net</t>
  </si>
  <si>
    <t>Adams</t>
  </si>
  <si>
    <t>rob.adams@dseincorporated.com</t>
  </si>
  <si>
    <t>Tricia</t>
  </si>
  <si>
    <t>Schmitz</t>
  </si>
  <si>
    <t>tricia.schmitz@sanfordhealth.org</t>
  </si>
  <si>
    <t>Kristin</t>
  </si>
  <si>
    <t>Herrmann</t>
  </si>
  <si>
    <t>kristin.herrmann@sanfordhealth.org</t>
  </si>
  <si>
    <t>Financial Accountant</t>
  </si>
  <si>
    <t>Shared Medical Services - MMS 01 (MRI)</t>
  </si>
  <si>
    <t>Lyga</t>
  </si>
  <si>
    <t>CNMT, RSO, Nuclear Medicine Manager</t>
  </si>
  <si>
    <t>gregl@sharedmedtech.com</t>
  </si>
  <si>
    <t>Nuclear Medicine Manager</t>
  </si>
  <si>
    <t>Waldhausen</t>
  </si>
  <si>
    <t>MN Nuclear Medicine Lead Tech</t>
  </si>
  <si>
    <t>kevinw@sharedmedtech.com</t>
  </si>
  <si>
    <t>Smart Choice MRI, LLC</t>
  </si>
  <si>
    <t>737 North Michigan Avenue</t>
  </si>
  <si>
    <t>Suite 2200</t>
  </si>
  <si>
    <t>CHICAGO</t>
  </si>
  <si>
    <t>IL</t>
  </si>
  <si>
    <t>www.smartchoicemri.com</t>
  </si>
  <si>
    <t>Spine and Joint Imaging</t>
  </si>
  <si>
    <t>Mai</t>
  </si>
  <si>
    <t>drmichaelmai@yahoo.com</t>
  </si>
  <si>
    <t>zomi.bloom@slhduluth.com</t>
  </si>
  <si>
    <t>Tyren</t>
  </si>
  <si>
    <t>julie.tyren@usoncology.com</t>
  </si>
  <si>
    <t>155 Radio Drive</t>
  </si>
  <si>
    <t>ericchristensen@tcomn.com</t>
  </si>
  <si>
    <t>Twin Cities Orthopedics - Maple Grove</t>
  </si>
  <si>
    <t>mjohnson11@umphysicians.umn.edu</t>
  </si>
  <si>
    <t>jjohnson24@umphysicians.umn.edu</t>
  </si>
  <si>
    <t>www.mhealth.org</t>
  </si>
  <si>
    <t>Essentia Health Ada</t>
  </si>
  <si>
    <t>ALBERT LEA</t>
  </si>
  <si>
    <t>Community Behavioral Health Hospital-Alexandria</t>
  </si>
  <si>
    <t>Community Behavioral Health Hospital - Annandale</t>
  </si>
  <si>
    <t>ANNANDALE</t>
  </si>
  <si>
    <t>Anoka Metro Regional Treatment Center</t>
  </si>
  <si>
    <t xml:space="preserve">1095 Highway 15 South </t>
  </si>
  <si>
    <t>Complete this form and include a name in the Certification block on row 28.  Indicate any changes or corrections to data shown.</t>
  </si>
  <si>
    <t>Affiliated Community Medical Center - Willmar</t>
  </si>
  <si>
    <t>Katie Berg</t>
  </si>
  <si>
    <t>Senior VP &amp; GM, Operations</t>
  </si>
  <si>
    <t>Duluth Imaging, LLC</t>
  </si>
  <si>
    <t>910 East Second Street</t>
  </si>
  <si>
    <t>Center for Diagnostic Imaging - Eagan</t>
  </si>
  <si>
    <t>2700 Vikings Circle</t>
  </si>
  <si>
    <t>Suite 110</t>
  </si>
  <si>
    <t>Senior VP &amp; GM, Opertions</t>
  </si>
  <si>
    <t>Caity</t>
  </si>
  <si>
    <t>Eggen</t>
  </si>
  <si>
    <t>caity.eggen@cmdi.org</t>
  </si>
  <si>
    <t>621 South Fourth Street</t>
  </si>
  <si>
    <t>1900 N. Sunrise Drive</t>
  </si>
  <si>
    <t>DMS Imaging - CT088</t>
  </si>
  <si>
    <t>Matt</t>
  </si>
  <si>
    <t>Molchan</t>
  </si>
  <si>
    <t>matt.molchan@digirad.com</t>
  </si>
  <si>
    <t>larry.gabbert@dmshealth.com</t>
  </si>
  <si>
    <t>kristi.schreiber@dmshealth.com</t>
  </si>
  <si>
    <t>DMS Imaging - CT089</t>
  </si>
  <si>
    <t>DMS Imaging - CT109</t>
  </si>
  <si>
    <t>DMS Interim CT - (Catalina Imaging - CT)</t>
  </si>
  <si>
    <t>Belin</t>
  </si>
  <si>
    <t>rbelin@entsc.com</t>
  </si>
  <si>
    <t>Ear, Nose &amp; Throat Specialty Care - St. Paul</t>
  </si>
  <si>
    <t>robyn.pelowski@essentiahealth.org</t>
  </si>
  <si>
    <t>Government Reimbursement Director</t>
  </si>
  <si>
    <t>VP of Maple Grove Clinics and Surgery Center</t>
  </si>
  <si>
    <t>mjhofer@imagingsolutionsinc.com</t>
  </si>
  <si>
    <t>Dennis Dahlen</t>
  </si>
  <si>
    <t>Charlotte Nordrum</t>
  </si>
  <si>
    <t>501 East Nicollet Boulevard</t>
  </si>
  <si>
    <t>Leah</t>
  </si>
  <si>
    <t>Asplund</t>
  </si>
  <si>
    <t>lasplund@oakdaleent.com</t>
  </si>
  <si>
    <t>McElroy</t>
  </si>
  <si>
    <t>kmcelroy@oakdaleent.com</t>
  </si>
  <si>
    <t>TRIA Orthopaedic Center - Bloomington</t>
  </si>
  <si>
    <t>TRIA Orthopaedic - Woodbury</t>
  </si>
  <si>
    <t>Shared Medical Services - HML 03 (MRI)</t>
  </si>
  <si>
    <t>Shared Medical Services - HMS 01 (MRI)</t>
  </si>
  <si>
    <t>Shared Medical Services - SKY 02 (SPECT/CT)</t>
  </si>
  <si>
    <t>Shared Medical Services - SKY 03 (PET/CT)</t>
  </si>
  <si>
    <t>Shared Medical Services - VIT 01 (MRI)</t>
  </si>
  <si>
    <t>Shared Medical Technology, Inc. PET/CT - M1</t>
  </si>
  <si>
    <t>Smart Choice MRI, LLC - Eden Prairie</t>
  </si>
  <si>
    <t>13000 Technology Drive</t>
  </si>
  <si>
    <t>Rusty L. Taylor</t>
  </si>
  <si>
    <t>2945 Hazelwood Street North</t>
  </si>
  <si>
    <t>Suburban Imaging - Blaine South</t>
  </si>
  <si>
    <t>11225 Ulysses Street NE</t>
  </si>
  <si>
    <t>Suburban Imaging Fridley</t>
  </si>
  <si>
    <t>2620 Eagan Woods Drive</t>
  </si>
  <si>
    <t>Bien</t>
  </si>
  <si>
    <t>jbien@summitortho.com</t>
  </si>
  <si>
    <t>John Bien</t>
  </si>
  <si>
    <t>Director of Imaging</t>
  </si>
  <si>
    <t>Twin Cities Orthopedics - Eagan</t>
  </si>
  <si>
    <t>2700 Vikings Parkway</t>
  </si>
  <si>
    <t>Wilson</t>
  </si>
  <si>
    <t>ceo@tristatebrainspine.com</t>
  </si>
  <si>
    <t>Clinical Services Supervisor</t>
  </si>
  <si>
    <t>Laurie</t>
  </si>
  <si>
    <t>Patterson</t>
  </si>
  <si>
    <t>lpatterson@midwestspine.net</t>
  </si>
  <si>
    <t>Cameron Medical, LLC</t>
  </si>
  <si>
    <t>NC</t>
  </si>
  <si>
    <t>Scott</t>
  </si>
  <si>
    <t>Cameron</t>
  </si>
  <si>
    <t>Managing Member</t>
  </si>
  <si>
    <t>www.cameronmedicalllc.com</t>
  </si>
  <si>
    <t>Altru Clinic - Crookston</t>
  </si>
  <si>
    <t>400 South Minnesota Street</t>
  </si>
  <si>
    <t>Attn: Radiology</t>
  </si>
  <si>
    <t>Altru Health System</t>
  </si>
  <si>
    <t>Peter Goldschmidt, President</t>
  </si>
  <si>
    <t>Alliance Healthcare Services, Inc.</t>
  </si>
  <si>
    <t>IRVINE</t>
  </si>
  <si>
    <t>18201 Von Karmen Avenue</t>
  </si>
  <si>
    <t>CA</t>
  </si>
  <si>
    <t>www.alliancehealthcareservices-us.com</t>
  </si>
  <si>
    <t>Catalina Imaging, Inc.</t>
  </si>
  <si>
    <t>LOOMIS</t>
  </si>
  <si>
    <t>3311 Swetzer Road</t>
  </si>
  <si>
    <t>PLACER</t>
  </si>
  <si>
    <t>Jacquie</t>
  </si>
  <si>
    <t>Dean</t>
  </si>
  <si>
    <t>Operations Manager</t>
  </si>
  <si>
    <t>jacquie@catalinaimaging.com</t>
  </si>
  <si>
    <t>Julie Millan</t>
  </si>
  <si>
    <t>www.catalinaimaging.com</t>
  </si>
  <si>
    <t>malibu.leith@dseincorporated.com</t>
  </si>
  <si>
    <t>Children's Healthcare Services Inc. DBA Children's - Minnetonka</t>
  </si>
  <si>
    <t>6050 Clearwater Drive</t>
  </si>
  <si>
    <t>Trevor</t>
  </si>
  <si>
    <t>Sawallish</t>
  </si>
  <si>
    <t>Chief Operating Officer</t>
  </si>
  <si>
    <t>trevor.sawallish@childrensmn.org</t>
  </si>
  <si>
    <t>Becky Woitalwicz</t>
  </si>
  <si>
    <t>Keller</t>
  </si>
  <si>
    <t>erin.keller@childrensmn.org</t>
  </si>
  <si>
    <t>5901 Lincoln Drive</t>
  </si>
  <si>
    <t>www.childrensmn.org</t>
  </si>
  <si>
    <t>Children's Hospitals and Clinics</t>
  </si>
  <si>
    <t>Centracare Clinic St. Cloud Medical Group - Northwest</t>
  </si>
  <si>
    <t>Kristen</t>
  </si>
  <si>
    <t>Guthmiller</t>
  </si>
  <si>
    <t>kristen.guthmiller@centracare.com</t>
  </si>
  <si>
    <t>Tom Foldhege</t>
  </si>
  <si>
    <t>Joe</t>
  </si>
  <si>
    <t>Klaers</t>
  </si>
  <si>
    <t>Director, Imaging Services</t>
  </si>
  <si>
    <t>Centracare Health</t>
  </si>
  <si>
    <t>joseph.klaers@centracare.com</t>
  </si>
  <si>
    <t>1406 Sixth Avenue</t>
  </si>
  <si>
    <t>CentraCare Health System</t>
  </si>
  <si>
    <t>Pham</t>
  </si>
  <si>
    <t>angeldebello@yahoo.com</t>
  </si>
  <si>
    <t>Kim Pham</t>
  </si>
  <si>
    <t>spjoim@gmail.com</t>
  </si>
  <si>
    <t>Past Administrator</t>
  </si>
  <si>
    <t>7600 Parklawn Avenue</t>
  </si>
  <si>
    <t>Suite 358</t>
  </si>
  <si>
    <r>
      <t>(Reporting Entity)
HCCIS ID</t>
    </r>
    <r>
      <rPr>
        <b/>
        <sz val="9"/>
        <rFont val="Arial"/>
        <family val="2"/>
      </rPr>
      <t/>
    </r>
  </si>
  <si>
    <t>201 9th Street West</t>
  </si>
  <si>
    <t>Mayo Clinic Health System - Albert Lea and Austin</t>
  </si>
  <si>
    <t>404 W. Fountain Street</t>
  </si>
  <si>
    <t>1610 8th Ave. E.</t>
  </si>
  <si>
    <t>111 E. 17th Avenue</t>
  </si>
  <si>
    <t>400 Annandale Blvd</t>
  </si>
  <si>
    <t>3301 7th Avenue North</t>
  </si>
  <si>
    <t>600 Main Ave. South</t>
  </si>
  <si>
    <t>14241 Grand Oaks Drive</t>
  </si>
  <si>
    <t>800 Bemidji Avenue North, Suite 200</t>
  </si>
  <si>
    <t>1300 Anne Street NW</t>
  </si>
  <si>
    <t>515 S. Moore St.</t>
  </si>
  <si>
    <t>523 North Third Street</t>
  </si>
  <si>
    <t>9400 Zane Ave N</t>
  </si>
  <si>
    <t>303 Catlin Street</t>
  </si>
  <si>
    <t>201 East Nicollet Boulevard</t>
  </si>
  <si>
    <t>701 Dellwood Street South</t>
  </si>
  <si>
    <t>112 Saint Olaf Avenue South</t>
  </si>
  <si>
    <t>32021 County 24 Boulevard</t>
  </si>
  <si>
    <t>Rural Route3</t>
  </si>
  <si>
    <t>10 5th St SE</t>
  </si>
  <si>
    <t>4050 Coon Rapids Blvd. NW</t>
  </si>
  <si>
    <t>323 South Minnesota Street</t>
  </si>
  <si>
    <t>115 10th Ave NE</t>
  </si>
  <si>
    <t>ST. Mary's Regional Health Center</t>
  </si>
  <si>
    <t>915 East 1st Street</t>
  </si>
  <si>
    <t>407 East Third Street</t>
  </si>
  <si>
    <t>6401 France Avenue South</t>
  </si>
  <si>
    <t>1411 HIGHWAY 79 E</t>
  </si>
  <si>
    <t>800 Medical Center Drive</t>
  </si>
  <si>
    <t>1801 West Aicott Avenue</t>
  </si>
  <si>
    <t>712 South Cascade</t>
  </si>
  <si>
    <t>Essentia Health - Fosston</t>
  </si>
  <si>
    <t>900 Hilligoss Blvd SE</t>
  </si>
  <si>
    <t>1805 Hennepin Avenue N</t>
  </si>
  <si>
    <t>10 4th Ave. SE</t>
  </si>
  <si>
    <t>1300 Hidden Lakes Parkway</t>
  </si>
  <si>
    <t>115 West 2nd Street</t>
  </si>
  <si>
    <t>North Shore Health</t>
  </si>
  <si>
    <t>515 - 5TH AVENUE WEST</t>
  </si>
  <si>
    <t>1010 South Birch Avenue</t>
  </si>
  <si>
    <t>503 East Lincoln Street</t>
  </si>
  <si>
    <t>1095 Highway 15 South</t>
  </si>
  <si>
    <t>1430 North Highway</t>
  </si>
  <si>
    <t>500 West Grant Street</t>
  </si>
  <si>
    <t>815 2nd Street Southeast</t>
  </si>
  <si>
    <t>1600 North Kniss Avenue</t>
  </si>
  <si>
    <t>121 Drew Avenue Southeast</t>
  </si>
  <si>
    <t>9875 Hospital Drive</t>
  </si>
  <si>
    <t>1575 Beam Avenue</t>
  </si>
  <si>
    <t>300 South Bruce Street</t>
  </si>
  <si>
    <t>CentraCare Health - Melrose</t>
  </si>
  <si>
    <t>525 Main Street West</t>
  </si>
  <si>
    <t>2525 Chicago Avenue South</t>
  </si>
  <si>
    <t>701 Park Avenue</t>
  </si>
  <si>
    <t>2215 Park Avenue</t>
  </si>
  <si>
    <t>2450 Riverside Avenue</t>
  </si>
  <si>
    <t>One Veterans Drive</t>
  </si>
  <si>
    <t>824 N. 11th St.</t>
  </si>
  <si>
    <t>4572 County Road 61</t>
  </si>
  <si>
    <t>400 East First Street</t>
  </si>
  <si>
    <t>301 Second Street Northeast</t>
  </si>
  <si>
    <t>2000 North Avenue</t>
  </si>
  <si>
    <t>100 Healthy Way</t>
  </si>
  <si>
    <t>200 North Elm Street</t>
  </si>
  <si>
    <t>450 Eastvold Avenue</t>
  </si>
  <si>
    <t>2250 NW 26th Street</t>
  </si>
  <si>
    <t>1000 Coney Street West</t>
  </si>
  <si>
    <t>916 Fourth Ave S.W.</t>
  </si>
  <si>
    <t>Highway 1</t>
  </si>
  <si>
    <t>701 Hewitt Boulevard</t>
  </si>
  <si>
    <t>251 Wood Lake Drive SE</t>
  </si>
  <si>
    <t>1216 Second Street Southwest</t>
  </si>
  <si>
    <t>1650 Fourth Street Southeast</t>
  </si>
  <si>
    <t>705 Lundorff Drive</t>
  </si>
  <si>
    <t>1455 St. Francis Avenue</t>
  </si>
  <si>
    <t>2042 Juniper Avenue</t>
  </si>
  <si>
    <t>625 North Jackson Avenue</t>
  </si>
  <si>
    <t>1406 6th Avenue North</t>
  </si>
  <si>
    <t>4801 Veterans Drive</t>
  </si>
  <si>
    <t>927 West Churchill Street</t>
  </si>
  <si>
    <t>1101 Moulton &amp; Parsons Drive</t>
  </si>
  <si>
    <t>559 Capitol Blvd.</t>
  </si>
  <si>
    <t>200 East University Avenue</t>
  </si>
  <si>
    <t>640 Jackson Street</t>
  </si>
  <si>
    <t>69 West Exchange Street</t>
  </si>
  <si>
    <t>333 North Smith Avenue</t>
  </si>
  <si>
    <t xml:space="preserve">1900 North Sunrise Drive </t>
  </si>
  <si>
    <t>Sanford Behavioral Health Center</t>
  </si>
  <si>
    <t>120 Labree Ave South</t>
  </si>
  <si>
    <t>251 5th Street E.</t>
  </si>
  <si>
    <t>325 11th Avenue</t>
  </si>
  <si>
    <t>Avera Tyler</t>
  </si>
  <si>
    <t>240 Willow Street</t>
  </si>
  <si>
    <t>901 9th St. N.</t>
  </si>
  <si>
    <t>1200 Fifth Grant Boulevard West</t>
  </si>
  <si>
    <t>500 South Maple Street</t>
  </si>
  <si>
    <t>415 N. Jefferson Street</t>
  </si>
  <si>
    <t>300 West Good Samaritan Drive</t>
  </si>
  <si>
    <t>501 N State Street</t>
  </si>
  <si>
    <t>920 Bell Avenue</t>
  </si>
  <si>
    <t>301 Becker Avenue Southwest</t>
  </si>
  <si>
    <t>2150 Hospital Drive</t>
  </si>
  <si>
    <t>855 Mankato Ave.</t>
  </si>
  <si>
    <t>1925 Woodwinds Drive</t>
  </si>
  <si>
    <t>1018 Sixth Avenue</t>
  </si>
  <si>
    <t xml:space="preserve">Advancements in Allergy &amp; Asthma Care, LTD </t>
  </si>
  <si>
    <t>12450 Wayzata Boulevard</t>
  </si>
  <si>
    <t>Suite 215</t>
  </si>
  <si>
    <t>55305</t>
  </si>
  <si>
    <t/>
  </si>
  <si>
    <t>Wexler</t>
  </si>
  <si>
    <t>lkosloski@aulto.org</t>
  </si>
  <si>
    <t>www.advancementsinallergy.com</t>
  </si>
  <si>
    <t>56258</t>
  </si>
  <si>
    <t>301 Becker Avenue SW</t>
  </si>
  <si>
    <t>56201</t>
  </si>
  <si>
    <t>Mike</t>
  </si>
  <si>
    <t>Schramm</t>
  </si>
  <si>
    <t>mike.schramm@carrishealth.com</t>
  </si>
  <si>
    <t>Bill Fenske</t>
  </si>
  <si>
    <t>Bill</t>
  </si>
  <si>
    <t>Fenske</t>
  </si>
  <si>
    <t>Carris Health</t>
  </si>
  <si>
    <t>william.fenske@carrishealth.com</t>
  </si>
  <si>
    <t>Hennen</t>
  </si>
  <si>
    <t>jessica.hennen@carrishealth.com</t>
  </si>
  <si>
    <t>Carris Health, LLC</t>
  </si>
  <si>
    <t>06/30/2019</t>
  </si>
  <si>
    <t>07/15/2019</t>
  </si>
  <si>
    <t>06/06/2020</t>
  </si>
  <si>
    <t>10/12/2018</t>
  </si>
  <si>
    <t>3556</t>
  </si>
  <si>
    <t>05/31/2020</t>
  </si>
  <si>
    <t>12/31/2020</t>
  </si>
  <si>
    <t>08/10/2021</t>
  </si>
  <si>
    <t>56308</t>
  </si>
  <si>
    <t>3703</t>
  </si>
  <si>
    <t>55416</t>
  </si>
  <si>
    <t>12/31/2019</t>
  </si>
  <si>
    <t>12/17/2019</t>
  </si>
  <si>
    <t>06/27/2018</t>
  </si>
  <si>
    <t>04/07/2020</t>
  </si>
  <si>
    <t>06/20/2020</t>
  </si>
  <si>
    <t>55126</t>
  </si>
  <si>
    <t>3245</t>
  </si>
  <si>
    <t>Russ</t>
  </si>
  <si>
    <t>Rosckes</t>
  </si>
  <si>
    <t>rrosckes@aalto.org</t>
  </si>
  <si>
    <t>Doboszenski</t>
  </si>
  <si>
    <t>mdoboszenski@mnallergy.com</t>
  </si>
  <si>
    <t>Aalto, LLC</t>
  </si>
  <si>
    <t>rosckes@aulto.org</t>
  </si>
  <si>
    <t>Suite 317</t>
  </si>
  <si>
    <t>03/31/2021</t>
  </si>
  <si>
    <t>92612</t>
  </si>
  <si>
    <t>10/31/2019</t>
  </si>
  <si>
    <t>55110</t>
  </si>
  <si>
    <t>55407</t>
  </si>
  <si>
    <t>Jakob</t>
  </si>
  <si>
    <t>Dickinson</t>
  </si>
  <si>
    <t>jakob.dickinson@allina.com</t>
  </si>
  <si>
    <t>02/21/2020</t>
  </si>
  <si>
    <t>55025</t>
  </si>
  <si>
    <t>10/17/2020</t>
  </si>
  <si>
    <t>55057</t>
  </si>
  <si>
    <t>3081</t>
  </si>
  <si>
    <t>08/22/2020</t>
  </si>
  <si>
    <t>06/09/2020</t>
  </si>
  <si>
    <t>10/18/2020</t>
  </si>
  <si>
    <t>55125</t>
  </si>
  <si>
    <t>2337</t>
  </si>
  <si>
    <t>05/12/2020</t>
  </si>
  <si>
    <t>05/16/2020</t>
  </si>
  <si>
    <t>Alllina Health Imaging Center - Edina</t>
  </si>
  <si>
    <t>55435</t>
  </si>
  <si>
    <t>Marty</t>
  </si>
  <si>
    <t>Fonheiser</t>
  </si>
  <si>
    <t>Clinic Supervisor</t>
  </si>
  <si>
    <t>martha.fronheiser@allina.com</t>
  </si>
  <si>
    <t>11/15/2019</t>
  </si>
  <si>
    <t>12/04/2019</t>
  </si>
  <si>
    <t>56716</t>
  </si>
  <si>
    <t>Janice</t>
  </si>
  <si>
    <t>Hamscher</t>
  </si>
  <si>
    <t>Chief Nursing Officer</t>
  </si>
  <si>
    <t>jhamscher@altru.org</t>
  </si>
  <si>
    <t>Shayla</t>
  </si>
  <si>
    <t>Solberg</t>
  </si>
  <si>
    <t>ssolberg@altru.org</t>
  </si>
  <si>
    <t>Joseph</t>
  </si>
  <si>
    <t>Gemmill</t>
  </si>
  <si>
    <t>Manager of CT, MRI, and Nuc Med</t>
  </si>
  <si>
    <t>jgemmill@altru.org</t>
  </si>
  <si>
    <t>1200 South Columbia Road</t>
  </si>
  <si>
    <t>GRAND FORKS</t>
  </si>
  <si>
    <t>58201</t>
  </si>
  <si>
    <t>Derek</t>
  </si>
  <si>
    <t>Goebel</t>
  </si>
  <si>
    <t>Manager of Decision Support and Budget</t>
  </si>
  <si>
    <t>dgoebel@altru.org</t>
  </si>
  <si>
    <t>www.altru.org</t>
  </si>
  <si>
    <t>09/06/2020</t>
  </si>
  <si>
    <t>55076</t>
  </si>
  <si>
    <t>Adam</t>
  </si>
  <si>
    <t>Dunham</t>
  </si>
  <si>
    <t>adam@androsent-sleep.com</t>
  </si>
  <si>
    <t>11/30/2019</t>
  </si>
  <si>
    <t>55108</t>
  </si>
  <si>
    <t>07/12/2022</t>
  </si>
  <si>
    <t>55109</t>
  </si>
  <si>
    <t>1162</t>
  </si>
  <si>
    <t>WAKE FOREST</t>
  </si>
  <si>
    <t>7024 Shady Glen Lane</t>
  </si>
  <si>
    <t>27587</t>
  </si>
  <si>
    <t>14460 Falls of Neuse Road</t>
  </si>
  <si>
    <t>Suite 149-172</t>
  </si>
  <si>
    <t>RALEIGH</t>
  </si>
  <si>
    <t>27614</t>
  </si>
  <si>
    <t>scameron@cameronmedical.com</t>
  </si>
  <si>
    <t>Catalina Imaging, Inc. CT28</t>
  </si>
  <si>
    <t>95650</t>
  </si>
  <si>
    <t>Catalina Imaging, Inc. CT35</t>
  </si>
  <si>
    <t>Catalina Imaging, Inc. CT42</t>
  </si>
  <si>
    <t>Catalina Imaging, Inc. CT45</t>
  </si>
  <si>
    <t>56636</t>
  </si>
  <si>
    <t>03/13/2022</t>
  </si>
  <si>
    <t>55744</t>
  </si>
  <si>
    <t>55455</t>
  </si>
  <si>
    <t>Megan</t>
  </si>
  <si>
    <t>Leland</t>
  </si>
  <si>
    <t>mleland10@umphysicians.umn.edu</t>
  </si>
  <si>
    <t>M Health Fairview</t>
  </si>
  <si>
    <t>07/13/2021</t>
  </si>
  <si>
    <t>03/15/2021</t>
  </si>
  <si>
    <t>06/24/2020</t>
  </si>
  <si>
    <t>55449</t>
  </si>
  <si>
    <t>5222</t>
  </si>
  <si>
    <t>01/10/2020</t>
  </si>
  <si>
    <t>10/13/2021</t>
  </si>
  <si>
    <t>55337</t>
  </si>
  <si>
    <t>08/21/2021</t>
  </si>
  <si>
    <t>55433</t>
  </si>
  <si>
    <t>01/29/2022</t>
  </si>
  <si>
    <t>12/11/2021</t>
  </si>
  <si>
    <t>55121</t>
  </si>
  <si>
    <t>Pat Bakker</t>
  </si>
  <si>
    <t>Amber</t>
  </si>
  <si>
    <t>Hazledine</t>
  </si>
  <si>
    <t>amber.hazledine@cdirad.com</t>
  </si>
  <si>
    <t>02/18/2022</t>
  </si>
  <si>
    <t>01/31/2022</t>
  </si>
  <si>
    <t>55344</t>
  </si>
  <si>
    <t>08/21/2019</t>
  </si>
  <si>
    <t>10/24/2021</t>
  </si>
  <si>
    <t>55044</t>
  </si>
  <si>
    <t>5307</t>
  </si>
  <si>
    <t>10/22/2021</t>
  </si>
  <si>
    <t>55369</t>
  </si>
  <si>
    <t>01/11/2022</t>
  </si>
  <si>
    <t>12/26/201821</t>
  </si>
  <si>
    <t>09/30/2019</t>
  </si>
  <si>
    <t>55118</t>
  </si>
  <si>
    <t>11/27/2019</t>
  </si>
  <si>
    <t>01/12/2021</t>
  </si>
  <si>
    <t>11/09/2021</t>
  </si>
  <si>
    <t>55113</t>
  </si>
  <si>
    <t>1352</t>
  </si>
  <si>
    <t>05/24/2022</t>
  </si>
  <si>
    <t>04/01/2022</t>
  </si>
  <si>
    <t>56377</t>
  </si>
  <si>
    <t>11/17/2020</t>
  </si>
  <si>
    <t>56303</t>
  </si>
  <si>
    <t>06/22/2021</t>
  </si>
  <si>
    <t>06/05/2022</t>
  </si>
  <si>
    <t>01/23/2021</t>
  </si>
  <si>
    <t>3365</t>
  </si>
  <si>
    <t>03/04/2020</t>
  </si>
  <si>
    <t>02/17/2021</t>
  </si>
  <si>
    <t>02/04/2021</t>
  </si>
  <si>
    <t>01/24/2021</t>
  </si>
  <si>
    <t>56031</t>
  </si>
  <si>
    <t>Monica</t>
  </si>
  <si>
    <t>Shelgren</t>
  </si>
  <si>
    <t>monicas@centerforspecialtycare.com</t>
  </si>
  <si>
    <t>06/22/2018</t>
  </si>
  <si>
    <t>Central Minnesota Diagnostic, Inc - Mobile Interim CT</t>
  </si>
  <si>
    <t>525 Tenth Street NE</t>
  </si>
  <si>
    <t>56353</t>
  </si>
  <si>
    <t>Cooper</t>
  </si>
  <si>
    <t>chad.cooper@cmdi.org</t>
  </si>
  <si>
    <t>Vice President of Operations</t>
  </si>
  <si>
    <t>525 10th Street NE</t>
  </si>
  <si>
    <t>12/31/2018</t>
  </si>
  <si>
    <t>Central Minnesota Diagnostic, Inc - Mobile MRI Route A</t>
  </si>
  <si>
    <t>Central Minnesota Diagnostic, Inc - Mobile MRI Route B</t>
  </si>
  <si>
    <t>Central Minnesota Diagnostic, Inc - Mobile SPECT Route A</t>
  </si>
  <si>
    <t>56208</t>
  </si>
  <si>
    <t>56628</t>
  </si>
  <si>
    <t>56347</t>
  </si>
  <si>
    <t>56352</t>
  </si>
  <si>
    <t>55362</t>
  </si>
  <si>
    <t>56362</t>
  </si>
  <si>
    <t>56378</t>
  </si>
  <si>
    <t>56265</t>
  </si>
  <si>
    <t>55720</t>
  </si>
  <si>
    <t>55723</t>
  </si>
  <si>
    <t>56441</t>
  </si>
  <si>
    <t>55731</t>
  </si>
  <si>
    <t>55705</t>
  </si>
  <si>
    <t>56501</t>
  </si>
  <si>
    <t>55092</t>
  </si>
  <si>
    <t>55371</t>
  </si>
  <si>
    <t>55746</t>
  </si>
  <si>
    <t>55051</t>
  </si>
  <si>
    <t>56334</t>
  </si>
  <si>
    <t>56241</t>
  </si>
  <si>
    <t>1442</t>
  </si>
  <si>
    <t>55350</t>
  </si>
  <si>
    <t>56479</t>
  </si>
  <si>
    <t>3201</t>
  </si>
  <si>
    <t>56751</t>
  </si>
  <si>
    <t>56256</t>
  </si>
  <si>
    <t>56557</t>
  </si>
  <si>
    <t>55355</t>
  </si>
  <si>
    <t>55767</t>
  </si>
  <si>
    <t>56359</t>
  </si>
  <si>
    <t>56573</t>
  </si>
  <si>
    <t>56164</t>
  </si>
  <si>
    <t>1445</t>
  </si>
  <si>
    <t>56649</t>
  </si>
  <si>
    <t>56283</t>
  </si>
  <si>
    <t>56277</t>
  </si>
  <si>
    <t>55307</t>
  </si>
  <si>
    <t>56082</t>
  </si>
  <si>
    <t>56431</t>
  </si>
  <si>
    <t>56621</t>
  </si>
  <si>
    <t>56296</t>
  </si>
  <si>
    <t>0370</t>
  </si>
  <si>
    <t>56085</t>
  </si>
  <si>
    <t>56520</t>
  </si>
  <si>
    <t>56345</t>
  </si>
  <si>
    <t>56470</t>
  </si>
  <si>
    <t>56215</t>
  </si>
  <si>
    <t>56482</t>
  </si>
  <si>
    <t>56013</t>
  </si>
  <si>
    <t>55343</t>
  </si>
  <si>
    <t>55436</t>
  </si>
  <si>
    <t>Gloria</t>
  </si>
  <si>
    <t>Drake</t>
  </si>
  <si>
    <t>Sr. Director of Periop Services</t>
  </si>
  <si>
    <t>03/23/2021</t>
  </si>
  <si>
    <t>58103</t>
  </si>
  <si>
    <t>6050</t>
  </si>
  <si>
    <t>Callier</t>
  </si>
  <si>
    <t>ccallier@imagingsolutionsinc.com</t>
  </si>
  <si>
    <t>06/16/2020</t>
  </si>
  <si>
    <t>55446</t>
  </si>
  <si>
    <t>55403</t>
  </si>
  <si>
    <t>12/27/2019</t>
  </si>
  <si>
    <t>04/01/2020</t>
  </si>
  <si>
    <t>56425</t>
  </si>
  <si>
    <t>55441</t>
  </si>
  <si>
    <t>08/13/2020</t>
  </si>
  <si>
    <t>Diagnostic Imaging Rental Services - PC01</t>
  </si>
  <si>
    <t>SEYMOUR</t>
  </si>
  <si>
    <t>564 North Knob Creek Road</t>
  </si>
  <si>
    <t>TN</t>
  </si>
  <si>
    <t>37865</t>
  </si>
  <si>
    <t>Patrick</t>
  </si>
  <si>
    <t>Doyle</t>
  </si>
  <si>
    <t>pjdoyle@dirs2u.com</t>
  </si>
  <si>
    <t>Patrick Doyle</t>
  </si>
  <si>
    <t>Diagnostic Imaging Rental Services</t>
  </si>
  <si>
    <t>Diagnostic Imaging Rental Services - PC02</t>
  </si>
  <si>
    <t>58102</t>
  </si>
  <si>
    <t>Director of Operations-Finance</t>
  </si>
  <si>
    <t>DMS Imaging - CT107</t>
  </si>
  <si>
    <t>DMS Imaging - MR153</t>
  </si>
  <si>
    <t>DMS Imaging - NM071</t>
  </si>
  <si>
    <t>DMS Imaging - NM082</t>
  </si>
  <si>
    <t>DMS Interim CT - (MobileScan - CT)</t>
  </si>
  <si>
    <t>DMS Interim CT - (Scanworks - CT)</t>
  </si>
  <si>
    <t>DMS Interim MRI - (Oxford - MRI)</t>
  </si>
  <si>
    <t>DMS Interim PC - (DIRS - PC)</t>
  </si>
  <si>
    <t>55805</t>
  </si>
  <si>
    <t>12/20/2018</t>
  </si>
  <si>
    <t>Dawn</t>
  </si>
  <si>
    <t>Oden</t>
  </si>
  <si>
    <t>Senior Financial Accountant</t>
  </si>
  <si>
    <t>Summit Health ASO, Corp.</t>
  </si>
  <si>
    <t>doden@summitortho.com</t>
  </si>
  <si>
    <t>09/22/2020</t>
  </si>
  <si>
    <t>Ear, Nose &amp; Throat Specialty Care - Minneapolis</t>
  </si>
  <si>
    <t>55404</t>
  </si>
  <si>
    <t>3711</t>
  </si>
  <si>
    <t>Robert D. Silver, MD</t>
  </si>
  <si>
    <t>Ear, Nose &amp; Throat Speciality Care</t>
  </si>
  <si>
    <t>Jade</t>
  </si>
  <si>
    <t>Murray</t>
  </si>
  <si>
    <t>Radiation Safety Officer Delegate</t>
  </si>
  <si>
    <t>jmurray@entsc.com</t>
  </si>
  <si>
    <t>55102</t>
  </si>
  <si>
    <t>Patterson Friedmeyer</t>
  </si>
  <si>
    <t>mary.pattersonfriedmeyer@essentiahealth.org</t>
  </si>
  <si>
    <t>09/13/2021</t>
  </si>
  <si>
    <t>07/23/2021</t>
  </si>
  <si>
    <t>08/12/2021</t>
  </si>
  <si>
    <t>55792</t>
  </si>
  <si>
    <t>10/04/2020</t>
  </si>
  <si>
    <t>01/16/2021</t>
  </si>
  <si>
    <t>08/12/2018</t>
  </si>
  <si>
    <t>Drummond</t>
  </si>
  <si>
    <t>Sr. Government Reimbursement Analyst I</t>
  </si>
  <si>
    <t>jdrummo1@fairview.org</t>
  </si>
  <si>
    <t>55413</t>
  </si>
  <si>
    <t>Kielty</t>
  </si>
  <si>
    <t>Manager of Financial Planning &amp; Analysis</t>
  </si>
  <si>
    <t>ckielty2@fairview.org</t>
  </si>
  <si>
    <t>12/09/2020</t>
  </si>
  <si>
    <t>08/14/2021</t>
  </si>
  <si>
    <t>4478</t>
  </si>
  <si>
    <t>Diane</t>
  </si>
  <si>
    <t>Del Santro</t>
  </si>
  <si>
    <t>Government Reimbursement Manager</t>
  </si>
  <si>
    <t>ddelsan1@fairview.org</t>
  </si>
  <si>
    <t>06/26/2020</t>
  </si>
  <si>
    <t>01/14/2021</t>
  </si>
  <si>
    <t>12/30/2021</t>
  </si>
  <si>
    <t>04/17/2020</t>
  </si>
  <si>
    <t>06/30/2020</t>
  </si>
  <si>
    <t>55430</t>
  </si>
  <si>
    <t>1765</t>
  </si>
  <si>
    <t>08/13/2019</t>
  </si>
  <si>
    <t>03/24/2019</t>
  </si>
  <si>
    <t>02/14/2021</t>
  </si>
  <si>
    <t>02/23/2021</t>
  </si>
  <si>
    <t>58104</t>
  </si>
  <si>
    <t>6278</t>
  </si>
  <si>
    <t>Caillier</t>
  </si>
  <si>
    <t>ccaillier@imagingsolutionsinc.com</t>
  </si>
  <si>
    <t>75284</t>
  </si>
  <si>
    <t>7689</t>
  </si>
  <si>
    <t>VP Sales - Mobile Div Insight Imaging</t>
  </si>
  <si>
    <t>08/31/2020</t>
  </si>
  <si>
    <t>Lakes Imaging Center, LLC</t>
  </si>
  <si>
    <t>56401</t>
  </si>
  <si>
    <t>09/01/2020</t>
  </si>
  <si>
    <t>55387</t>
  </si>
  <si>
    <t>11/02/2019</t>
  </si>
  <si>
    <t>55437</t>
  </si>
  <si>
    <t>03/20/2021</t>
  </si>
  <si>
    <t>05/10/2021</t>
  </si>
  <si>
    <t>56002</t>
  </si>
  <si>
    <t>8674</t>
  </si>
  <si>
    <t>randyf@mankatoclinic.com</t>
  </si>
  <si>
    <t>03/22/2021</t>
  </si>
  <si>
    <t>12/03/2019</t>
  </si>
  <si>
    <t>12/08/2020</t>
  </si>
  <si>
    <t>Mankato Clinic - Wickersham Health Campus</t>
  </si>
  <si>
    <t>1421 Premier Drive</t>
  </si>
  <si>
    <t>56001</t>
  </si>
  <si>
    <t>05/17/2020</t>
  </si>
  <si>
    <t>55101</t>
  </si>
  <si>
    <t>1421</t>
  </si>
  <si>
    <t>08/10/2020</t>
  </si>
  <si>
    <t>12/13/2019</t>
  </si>
  <si>
    <t>55905</t>
  </si>
  <si>
    <t>55901</t>
  </si>
  <si>
    <t>3004</t>
  </si>
  <si>
    <t>05/02/2019</t>
  </si>
  <si>
    <t>09/20/2019</t>
  </si>
  <si>
    <t>07/07/2020</t>
  </si>
  <si>
    <t>03/19/2019</t>
  </si>
  <si>
    <t>55095</t>
  </si>
  <si>
    <t>55402</t>
  </si>
  <si>
    <t>03/07/2019</t>
  </si>
  <si>
    <t>09/16/2020</t>
  </si>
  <si>
    <t>08/17/2020</t>
  </si>
  <si>
    <t>03/16/2020</t>
  </si>
  <si>
    <t>55060</t>
  </si>
  <si>
    <t>06/21/2020</t>
  </si>
  <si>
    <t>02/25/2020</t>
  </si>
  <si>
    <t>55082</t>
  </si>
  <si>
    <t>55422</t>
  </si>
  <si>
    <t>10/31/2020</t>
  </si>
  <si>
    <t>Minnesota Ear &amp; Sinus Center</t>
  </si>
  <si>
    <t>4365 Pheasant Ridge Drive NE</t>
  </si>
  <si>
    <t>Suite 106</t>
  </si>
  <si>
    <t>Josh</t>
  </si>
  <si>
    <t>Yorgason</t>
  </si>
  <si>
    <t>www.mnearsinus.com</t>
  </si>
  <si>
    <t>55114</t>
  </si>
  <si>
    <t>03/17/2021</t>
  </si>
  <si>
    <t>Minnesota Urology, P.A.</t>
  </si>
  <si>
    <t>7500 France Avenue South</t>
  </si>
  <si>
    <t>2148</t>
  </si>
  <si>
    <t>03/30/2018</t>
  </si>
  <si>
    <t>4610 Oak Grove Parkway North</t>
  </si>
  <si>
    <t>55443</t>
  </si>
  <si>
    <t>Bania</t>
  </si>
  <si>
    <t>tom.bania@crlmed.com</t>
  </si>
  <si>
    <t>55439</t>
  </si>
  <si>
    <t>55021</t>
  </si>
  <si>
    <t>55336</t>
  </si>
  <si>
    <t>1416</t>
  </si>
  <si>
    <t>56073</t>
  </si>
  <si>
    <t>0577</t>
  </si>
  <si>
    <t>MobileScan Imaging</t>
  </si>
  <si>
    <t>BUFFALO GROVE</t>
  </si>
  <si>
    <t>318 Half Day Road</t>
  </si>
  <si>
    <t>Suite 162</t>
  </si>
  <si>
    <t>LAKE</t>
  </si>
  <si>
    <t>60089</t>
  </si>
  <si>
    <t>George</t>
  </si>
  <si>
    <t>Web</t>
  </si>
  <si>
    <t>gweb49@aol.com</t>
  </si>
  <si>
    <t>www.mobilescanimaging.com</t>
  </si>
  <si>
    <t>07/31/2020</t>
  </si>
  <si>
    <t>55434</t>
  </si>
  <si>
    <t>02/03/2019</t>
  </si>
  <si>
    <t>55042</t>
  </si>
  <si>
    <t>10/02/2021</t>
  </si>
  <si>
    <t>04/07/2019</t>
  </si>
  <si>
    <t>03/18/2019</t>
  </si>
  <si>
    <t>55345</t>
  </si>
  <si>
    <t>Richter</t>
  </si>
  <si>
    <t>Regulatory Reimbursement Manager</t>
  </si>
  <si>
    <t>jeff.richter@northmemorial.com</t>
  </si>
  <si>
    <t>Dave</t>
  </si>
  <si>
    <t>Albright</t>
  </si>
  <si>
    <t>VP of Finance</t>
  </si>
  <si>
    <t>dave.albright@northmemorial.com</t>
  </si>
  <si>
    <t>10/28/2019</t>
  </si>
  <si>
    <t>01/31/2021</t>
  </si>
  <si>
    <t>2265</t>
  </si>
  <si>
    <t>Sarah</t>
  </si>
  <si>
    <t>Warwick</t>
  </si>
  <si>
    <t>MRI Technical Supervisor</t>
  </si>
  <si>
    <t>sarah.warwick@slhduluth.com</t>
  </si>
  <si>
    <t>Otolaryngology Head &amp; Neck Surgery, PA DBA Midwest Ear, Nose, and Throat - Eagan</t>
  </si>
  <si>
    <t>55123</t>
  </si>
  <si>
    <t>3590 Arcade Street</t>
  </si>
  <si>
    <t>55127</t>
  </si>
  <si>
    <t>03/31/2020</t>
  </si>
  <si>
    <t>Otolaryngology Head &amp; Neck Surgery, PA DBA Midwest Ear, Nose, and Throat - Vadnais Heights</t>
  </si>
  <si>
    <t>Oxford Instruments</t>
  </si>
  <si>
    <t>ANN ARBOR</t>
  </si>
  <si>
    <t>120 Enterprise Drive</t>
  </si>
  <si>
    <t>48103</t>
  </si>
  <si>
    <t>Judy</t>
  </si>
  <si>
    <t>Serrano</t>
  </si>
  <si>
    <t>judy.serrano@oxinst.com</t>
  </si>
  <si>
    <t>www.healthcare.oxinst.com</t>
  </si>
  <si>
    <t>55426</t>
  </si>
  <si>
    <t>03/14/2020</t>
  </si>
  <si>
    <t>05/10/2020</t>
  </si>
  <si>
    <t>07/19/2019</t>
  </si>
  <si>
    <t>02/15/2020</t>
  </si>
  <si>
    <t>02/16/2021</t>
  </si>
  <si>
    <t>55391</t>
  </si>
  <si>
    <t>12/11/2020</t>
  </si>
  <si>
    <t>11/15/2020</t>
  </si>
  <si>
    <t>55414</t>
  </si>
  <si>
    <t>34233</t>
  </si>
  <si>
    <t>55104</t>
  </si>
  <si>
    <t>05/09/2021</t>
  </si>
  <si>
    <t>3905</t>
  </si>
  <si>
    <t>Wibstad</t>
  </si>
  <si>
    <t xml:space="preserve">amber.wibstad@sanfordhealth.org
</t>
  </si>
  <si>
    <t>12/05/2020</t>
  </si>
  <si>
    <t>56721</t>
  </si>
  <si>
    <t>02/11/2019</t>
  </si>
  <si>
    <t>57117</t>
  </si>
  <si>
    <t>5039</t>
  </si>
  <si>
    <t>Scanworks Medical, Inc.</t>
  </si>
  <si>
    <t>CENTENNIAL</t>
  </si>
  <si>
    <t>14104 East Davies Avenue</t>
  </si>
  <si>
    <t>Suite A</t>
  </si>
  <si>
    <t>CO</t>
  </si>
  <si>
    <t>80112</t>
  </si>
  <si>
    <t>Christpher</t>
  </si>
  <si>
    <t>Ash</t>
  </si>
  <si>
    <t>chris@scanworksmedical.com</t>
  </si>
  <si>
    <t>Christopher</t>
  </si>
  <si>
    <t>www.scanworksmedical.com</t>
  </si>
  <si>
    <t>53527</t>
  </si>
  <si>
    <t>11/01/2020</t>
  </si>
  <si>
    <t>Shared Medical Services - AIL 01 (MRI)</t>
  </si>
  <si>
    <t>Shared Medical Services - HML 04 (MRI)</t>
  </si>
  <si>
    <t>Shared Medical Services - OSL 01 (MRI)</t>
  </si>
  <si>
    <t>Shared Medical Services - OSL 02 (MRI)</t>
  </si>
  <si>
    <t>11/01/20209</t>
  </si>
  <si>
    <t>Shared Medical Services - SMG 19 (CT)</t>
  </si>
  <si>
    <t>10/01/2017</t>
  </si>
  <si>
    <t>Shared Medical Services - SMG 29 (MRI)</t>
  </si>
  <si>
    <t>Shared Medical Services - VIT 02 (MRI)</t>
  </si>
  <si>
    <t>56601</t>
  </si>
  <si>
    <t>54868</t>
  </si>
  <si>
    <t>56542</t>
  </si>
  <si>
    <t>56726</t>
  </si>
  <si>
    <t>56701</t>
  </si>
  <si>
    <t>Petkiewicz</t>
  </si>
  <si>
    <t>Billing adn Credentialing Specialist</t>
  </si>
  <si>
    <t>gpetkiewicz@smartchoicemri.com</t>
  </si>
  <si>
    <t>60611</t>
  </si>
  <si>
    <t>12/22/2020</t>
  </si>
  <si>
    <t>55423</t>
  </si>
  <si>
    <t>04/19/2020</t>
  </si>
  <si>
    <t>04/27/2020</t>
  </si>
  <si>
    <t>56172</t>
  </si>
  <si>
    <t>55103</t>
  </si>
  <si>
    <t>St. Cloud Ear, Nose &amp; Throat-Head and Neck Clinic</t>
  </si>
  <si>
    <t>Emily</t>
  </si>
  <si>
    <t>Stewart</t>
  </si>
  <si>
    <t>Business Office Manager</t>
  </si>
  <si>
    <t>estewart@stcloudent.com</t>
  </si>
  <si>
    <t>4005</t>
  </si>
  <si>
    <t>2107</t>
  </si>
  <si>
    <t>Lohn</t>
  </si>
  <si>
    <t>Interim CEO &amp; CFO</t>
  </si>
  <si>
    <t>eric.lohn@slhduluth.com</t>
  </si>
  <si>
    <t>Zomi</t>
  </si>
  <si>
    <t>Manager, Accounting and Decision Support</t>
  </si>
  <si>
    <t>Director, Clinic Operations</t>
  </si>
  <si>
    <t>Patronas</t>
  </si>
  <si>
    <t>george.patronas@slhduluth.com</t>
  </si>
  <si>
    <t>Amy</t>
  </si>
  <si>
    <t>Buse</t>
  </si>
  <si>
    <t>amy.buse@slhduluth.com</t>
  </si>
  <si>
    <t>08/31/2021</t>
  </si>
  <si>
    <t>10/23/2019</t>
  </si>
  <si>
    <t>12/02/2019</t>
  </si>
  <si>
    <t>07/30/2019</t>
  </si>
  <si>
    <t>07/13/2020</t>
  </si>
  <si>
    <t>02/20/2020</t>
  </si>
  <si>
    <t>03/10/2020</t>
  </si>
  <si>
    <t>Travis</t>
  </si>
  <si>
    <t>Forgey</t>
  </si>
  <si>
    <t>travis@hmr.net</t>
  </si>
  <si>
    <t>1447</t>
  </si>
  <si>
    <t>01/28/2021</t>
  </si>
  <si>
    <t>09/24/2021</t>
  </si>
  <si>
    <t>3945</t>
  </si>
  <si>
    <t>03/31/2019</t>
  </si>
  <si>
    <t>11/07/2019</t>
  </si>
  <si>
    <t>08/11/2020</t>
  </si>
  <si>
    <t>01/03/2022</t>
  </si>
  <si>
    <t>09/21/2019</t>
  </si>
  <si>
    <t>02/07/2020</t>
  </si>
  <si>
    <t>09/04/2020</t>
  </si>
  <si>
    <t>07/23/2019</t>
  </si>
  <si>
    <t>10/23/2021</t>
  </si>
  <si>
    <t>12/22/2021</t>
  </si>
  <si>
    <t>10/14/2021</t>
  </si>
  <si>
    <t>55432</t>
  </si>
  <si>
    <t>09/30/2021</t>
  </si>
  <si>
    <t>08/04/2020</t>
  </si>
  <si>
    <t>07/30/2020</t>
  </si>
  <si>
    <t>07/29/2019</t>
  </si>
  <si>
    <t>55431</t>
  </si>
  <si>
    <t>www.tri.com</t>
  </si>
  <si>
    <t>01/26/2021</t>
  </si>
  <si>
    <t>4800</t>
  </si>
  <si>
    <t>Deb</t>
  </si>
  <si>
    <t>Stevens</t>
  </si>
  <si>
    <t>Ohrmundt</t>
  </si>
  <si>
    <t>clinicmanager@tristatebrainspine.com</t>
  </si>
  <si>
    <t>01/02/2020</t>
  </si>
  <si>
    <t>11/08/2019</t>
  </si>
  <si>
    <t>tcdiagnosticcenter@gmail.com</t>
  </si>
  <si>
    <t>Deprimo</t>
  </si>
  <si>
    <t>Talat</t>
  </si>
  <si>
    <t>Qureshl</t>
  </si>
  <si>
    <t>0232</t>
  </si>
  <si>
    <t>11/15/2018</t>
  </si>
  <si>
    <t>08/20/2021</t>
  </si>
  <si>
    <t>02/28/2022</t>
  </si>
  <si>
    <t>01/15/2020</t>
  </si>
  <si>
    <t>06/30/2021</t>
  </si>
  <si>
    <t>Twin Cities Orthopedics - Woodbury</t>
  </si>
  <si>
    <t>4040 Radio Drive</t>
  </si>
  <si>
    <t>55129</t>
  </si>
  <si>
    <t>12/31/2021</t>
  </si>
  <si>
    <t>55318</t>
  </si>
  <si>
    <t>11/30/2020</t>
  </si>
  <si>
    <t>Sr Clinic Manager Imaging</t>
  </si>
  <si>
    <t>07/05/2019</t>
  </si>
  <si>
    <t>Suzanne</t>
  </si>
  <si>
    <t>Tenney</t>
  </si>
  <si>
    <t>stenney@eppahealth.com</t>
  </si>
  <si>
    <t>4300 Marketpointe Drive</t>
  </si>
  <si>
    <t>03/11/2019</t>
  </si>
  <si>
    <t>08/03/2020</t>
  </si>
  <si>
    <t>12/23/2019</t>
  </si>
  <si>
    <t xml:space="preserve">200 Bunker Hill Drive </t>
  </si>
  <si>
    <t>Riverwood Healthcare Center</t>
  </si>
  <si>
    <t xml:space="preserve">111 - 17th Avenue East </t>
  </si>
  <si>
    <t>Alomere Health</t>
  </si>
  <si>
    <t xml:space="preserve">6600 State Hwy 29 South </t>
  </si>
  <si>
    <t xml:space="preserve">120 Enterprise Drive </t>
  </si>
  <si>
    <t xml:space="preserve">30 South Behl Street </t>
  </si>
  <si>
    <t xml:space="preserve">601 West Chandler Street </t>
  </si>
  <si>
    <t xml:space="preserve">5211 Highway 110 </t>
  </si>
  <si>
    <t xml:space="preserve">203 Fourth Street NW </t>
  </si>
  <si>
    <t xml:space="preserve">13205 Isle Drive </t>
  </si>
  <si>
    <t>13359 Isle Drive Suite 1</t>
  </si>
  <si>
    <t xml:space="preserve">1422 Naylor Drive SE </t>
  </si>
  <si>
    <t xml:space="preserve">1815 Wisconsin Avenue </t>
  </si>
  <si>
    <t xml:space="preserve">258 Pinetree Drive </t>
  </si>
  <si>
    <t xml:space="preserve">2305 108th Lane NE </t>
  </si>
  <si>
    <t xml:space="preserve">10961 Club West Parkway </t>
  </si>
  <si>
    <t>4365 Pheasant Ridge Drive NE Suite 106</t>
  </si>
  <si>
    <t xml:space="preserve">11091 Ulysses Street NE </t>
  </si>
  <si>
    <t xml:space="preserve">11855 Ulysses Street NE </t>
  </si>
  <si>
    <t>11225 Ulysses Street NE Suite 110</t>
  </si>
  <si>
    <t xml:space="preserve">8100 Northland Drive </t>
  </si>
  <si>
    <t xml:space="preserve">515 South Moore Street </t>
  </si>
  <si>
    <t xml:space="preserve">2019 South Sixth Street </t>
  </si>
  <si>
    <t xml:space="preserve">2400 St. Francis Drive </t>
  </si>
  <si>
    <t>2781 Freeway Boulevard Suite 160</t>
  </si>
  <si>
    <t xml:space="preserve">4610 Oak Grove Parkway North </t>
  </si>
  <si>
    <t>318 Half Day Road Suite 162</t>
  </si>
  <si>
    <t>675 Nicollet Boulevard East Suite 150</t>
  </si>
  <si>
    <t xml:space="preserve">675 Nicollet Avenue East </t>
  </si>
  <si>
    <t>501 East Nicollet Boulevard Suite 100</t>
  </si>
  <si>
    <t xml:space="preserve">14000 Fairview Drive </t>
  </si>
  <si>
    <t>14000 Nicollet Avenue Suite 204</t>
  </si>
  <si>
    <t xml:space="preserve">1000 West 140th Street </t>
  </si>
  <si>
    <t>14104 East Davies Avenue Suite A</t>
  </si>
  <si>
    <t>111 Hundertmark Road Suite 130</t>
  </si>
  <si>
    <t xml:space="preserve">512 Skyline Boulevard </t>
  </si>
  <si>
    <t xml:space="preserve">10 Fifth Street SE </t>
  </si>
  <si>
    <t>3450  124th Avenue NW Suite 100</t>
  </si>
  <si>
    <t>3111 - 124th Avenue NW Suite 200</t>
  </si>
  <si>
    <t>8990 Springbrook Drive Suite 140</t>
  </si>
  <si>
    <t>11850 Blackfoot Street Suite 180</t>
  </si>
  <si>
    <t xml:space="preserve">209 Limestone Pass </t>
  </si>
  <si>
    <t>400 South Minnesota Street Attn: Radiology</t>
  </si>
  <si>
    <t xml:space="preserve">323 South Minnesota </t>
  </si>
  <si>
    <t xml:space="preserve">320 East Main Street </t>
  </si>
  <si>
    <t xml:space="preserve">PO Box 847689 </t>
  </si>
  <si>
    <t xml:space="preserve">115 Tenth Avenue NE </t>
  </si>
  <si>
    <t xml:space="preserve">1002 Comstock Drive </t>
  </si>
  <si>
    <t xml:space="preserve">1027 Washington Avenue </t>
  </si>
  <si>
    <t xml:space="preserve">1252 Washington Avenue </t>
  </si>
  <si>
    <t xml:space="preserve">1245 Washington Avenue </t>
  </si>
  <si>
    <t xml:space="preserve">910 East Second Street </t>
  </si>
  <si>
    <t>502 East Second Street</t>
  </si>
  <si>
    <t>1000 East First Street Suite 400</t>
  </si>
  <si>
    <t>2700 Vikings Circle Suite 110</t>
  </si>
  <si>
    <t xml:space="preserve">2620 Eagan Woods Drive </t>
  </si>
  <si>
    <t xml:space="preserve">3460 Promenade Avenue </t>
  </si>
  <si>
    <t>1185 Town Centre Drive Suite 125</t>
  </si>
  <si>
    <t xml:space="preserve">2854 Highway 55 </t>
  </si>
  <si>
    <t xml:space="preserve">2700 Vikings Parkway </t>
  </si>
  <si>
    <t xml:space="preserve">3010 Denmark Avenue </t>
  </si>
  <si>
    <t xml:space="preserve">929 Central Avenue </t>
  </si>
  <si>
    <t>775 Prarie Center Drive Suite 260</t>
  </si>
  <si>
    <t xml:space="preserve">13000 Technology Drive </t>
  </si>
  <si>
    <t>3955 Parklawn Avenue Suite 100</t>
  </si>
  <si>
    <t>6600 France Avenue South Suite 615</t>
  </si>
  <si>
    <t>6545 France Avenue South Suite 115</t>
  </si>
  <si>
    <t xml:space="preserve">7500 France Avenue South </t>
  </si>
  <si>
    <t>6545 France Avenue South Suite 125</t>
  </si>
  <si>
    <t xml:space="preserve">4010 West 65th Street </t>
  </si>
  <si>
    <t xml:space="preserve">328 West Conan Street </t>
  </si>
  <si>
    <t>717 South State Street Suite 900</t>
  </si>
  <si>
    <t xml:space="preserve">2101 North University Drive </t>
  </si>
  <si>
    <t>5257 27th Street South Suite 101</t>
  </si>
  <si>
    <t xml:space="preserve">200 State Avenue </t>
  </si>
  <si>
    <t xml:space="preserve">1540 South Lake Street </t>
  </si>
  <si>
    <t xml:space="preserve">900 Hillgoss Boulevard </t>
  </si>
  <si>
    <t>8290 University Avenue NE Suite 101</t>
  </si>
  <si>
    <t xml:space="preserve">1805 Hennepin Avenue North </t>
  </si>
  <si>
    <t xml:space="preserve">10 Fourth Avenue SE </t>
  </si>
  <si>
    <t xml:space="preserve">4225 Golden Valley Road </t>
  </si>
  <si>
    <t>604 North Lilac Drive Suite 100</t>
  </si>
  <si>
    <t>604 North Lilac Drive Suite 200</t>
  </si>
  <si>
    <t xml:space="preserve">7570 Wayzata Boulevard </t>
  </si>
  <si>
    <t xml:space="preserve">604 North Lilac Drive </t>
  </si>
  <si>
    <t xml:space="preserve">1601 Golf Course Road </t>
  </si>
  <si>
    <t xml:space="preserve">345 Tenth Avenue </t>
  </si>
  <si>
    <t xml:space="preserve">750 East 34th Street </t>
  </si>
  <si>
    <t xml:space="preserve">730 East 34th Street </t>
  </si>
  <si>
    <t xml:space="preserve">1095 Highway 15 South  </t>
  </si>
  <si>
    <t xml:space="preserve">1400 Highway 71 </t>
  </si>
  <si>
    <t xml:space="preserve">2501 Keenan Drive </t>
  </si>
  <si>
    <t>5565 Blaine Avenue Suite 225</t>
  </si>
  <si>
    <t xml:space="preserve">18201 Von Karmen Avenue </t>
  </si>
  <si>
    <t xml:space="preserve">8515 Eagle Point Boulevard </t>
  </si>
  <si>
    <t>8650 Hudson Boulevard Suite 100</t>
  </si>
  <si>
    <t>10438 185th Street West Suite 100</t>
  </si>
  <si>
    <t xml:space="preserve">612 South Sibley Avenue </t>
  </si>
  <si>
    <t xml:space="preserve">815 Second Street Southeast </t>
  </si>
  <si>
    <t>50 CentraCare Drive</t>
  </si>
  <si>
    <t xml:space="preserve">20 Ninth Street Southeast </t>
  </si>
  <si>
    <t xml:space="preserve">3311 Swetzer Road </t>
  </si>
  <si>
    <t xml:space="preserve">900 Second Avenue </t>
  </si>
  <si>
    <t xml:space="preserve">414 West Jefferson </t>
  </si>
  <si>
    <t xml:space="preserve">1230 East Main Street </t>
  </si>
  <si>
    <t xml:space="preserve">1421 Premier Drive </t>
  </si>
  <si>
    <t xml:space="preserve">101 Martin Luther King Jr. Drive </t>
  </si>
  <si>
    <t>Mayo Clinic Health System - Southwest Minnesota Region</t>
  </si>
  <si>
    <t xml:space="preserve">1431 Premier Drive </t>
  </si>
  <si>
    <t>9630 Grove Circle North Suite 100</t>
  </si>
  <si>
    <t xml:space="preserve">14500 - 99th Avenue North </t>
  </si>
  <si>
    <t>9855 Hospital Drive Suite 150</t>
  </si>
  <si>
    <t>9825 Hospital Drive Suite 203</t>
  </si>
  <si>
    <t xml:space="preserve">9555 Upland Lane North </t>
  </si>
  <si>
    <t>12000 Elm Creek Boulevard Suite 310</t>
  </si>
  <si>
    <t xml:space="preserve">1850 Beam Avenue </t>
  </si>
  <si>
    <t xml:space="preserve">1860 Beam Avenue </t>
  </si>
  <si>
    <t>2945 Hazelwood Street North Suite 110</t>
  </si>
  <si>
    <t xml:space="preserve">1580 Beam Avenue </t>
  </si>
  <si>
    <t xml:space="preserve">1521 Carlson Street </t>
  </si>
  <si>
    <t xml:space="preserve">1401 Nwakama Street </t>
  </si>
  <si>
    <t xml:space="preserve">11 North Fifth Avenue West </t>
  </si>
  <si>
    <t xml:space="preserve">525 Tenth Street NE </t>
  </si>
  <si>
    <t xml:space="preserve">2021 Sixth Street SE </t>
  </si>
  <si>
    <t xml:space="preserve">2211 Park Avenue South </t>
  </si>
  <si>
    <t>600 Hennepin Avenue Suite 310</t>
  </si>
  <si>
    <t>825 South Eighth Street Suite 550</t>
  </si>
  <si>
    <t>800 East 28th Street Suite 500</t>
  </si>
  <si>
    <t>2828 Chicago Avenue South Midtown Medical Building</t>
  </si>
  <si>
    <t xml:space="preserve">735 Kasota Avenue </t>
  </si>
  <si>
    <t>2025 East River Parkway</t>
  </si>
  <si>
    <t xml:space="preserve">909 Fulton Street SE </t>
  </si>
  <si>
    <t>12450 Wayzata Boulevard Suite 215</t>
  </si>
  <si>
    <t xml:space="preserve">6050 Clearwater Drive </t>
  </si>
  <si>
    <t xml:space="preserve">15450 Highway 7 </t>
  </si>
  <si>
    <t xml:space="preserve">824 11th Street North </t>
  </si>
  <si>
    <t xml:space="preserve">1013 Hart Boulevard </t>
  </si>
  <si>
    <t xml:space="preserve">710 South Kenwood Avenue </t>
  </si>
  <si>
    <t xml:space="preserve">301 South Hwy 65 </t>
  </si>
  <si>
    <t xml:space="preserve">1324 Fifth Street North </t>
  </si>
  <si>
    <t>1324 Fifth Street N</t>
  </si>
  <si>
    <t xml:space="preserve">1400 Jefferson Road </t>
  </si>
  <si>
    <t xml:space="preserve">611 East Fairview </t>
  </si>
  <si>
    <t xml:space="preserve">200 North Elm Street, Box A </t>
  </si>
  <si>
    <t xml:space="preserve">2200 26th Street NW </t>
  </si>
  <si>
    <t xml:space="preserve">600 Pleasant Avenue </t>
  </si>
  <si>
    <t xml:space="preserve">200 West First Street </t>
  </si>
  <si>
    <t xml:space="preserve">665 Third Street SW </t>
  </si>
  <si>
    <t xml:space="preserve">916 Fourth Avenue SW </t>
  </si>
  <si>
    <t xml:space="preserve">15700 37th Avenue North </t>
  </si>
  <si>
    <t>2800 Campus Drive Suite 30</t>
  </si>
  <si>
    <t xml:space="preserve">4960 Yuma Court North </t>
  </si>
  <si>
    <t xml:space="preserve">36 Nathan Lane North </t>
  </si>
  <si>
    <t xml:space="preserve">911 Northland Drive </t>
  </si>
  <si>
    <t xml:space="preserve">100 Fallwood Road </t>
  </si>
  <si>
    <t xml:space="preserve">1704 East 66th Street </t>
  </si>
  <si>
    <t>3366 Oakdale Avenue North Suite 150</t>
  </si>
  <si>
    <t xml:space="preserve">10 Third Avenue NW  </t>
  </si>
  <si>
    <t xml:space="preserve">100 Third Avenue SW  </t>
  </si>
  <si>
    <t xml:space="preserve">190 Second Street NW </t>
  </si>
  <si>
    <t xml:space="preserve">200 First Street SW </t>
  </si>
  <si>
    <t xml:space="preserve">715 Delmore Drive </t>
  </si>
  <si>
    <t>1835 County Road C West Suite 180</t>
  </si>
  <si>
    <t>166 - 19th Street South Suite 100</t>
  </si>
  <si>
    <t xml:space="preserve">2301 Connecticut Avenue South </t>
  </si>
  <si>
    <t xml:space="preserve">1901 Connecticut Avenue South </t>
  </si>
  <si>
    <t xml:space="preserve">425 North Elm Street </t>
  </si>
  <si>
    <t xml:space="preserve">564 North Knob Creek Road </t>
  </si>
  <si>
    <t>4625 Churchill Street Suite 211</t>
  </si>
  <si>
    <t xml:space="preserve">1305 West 18th Street </t>
  </si>
  <si>
    <t xml:space="preserve">400 Fourth Avenue Northwest </t>
  </si>
  <si>
    <t xml:space="preserve">251 County Road 120 </t>
  </si>
  <si>
    <t xml:space="preserve">1528 Northway Drive </t>
  </si>
  <si>
    <t>5775 Wayzata Boulevard Suite 190</t>
  </si>
  <si>
    <t xml:space="preserve">4951 Excelsior Boulevard </t>
  </si>
  <si>
    <t xml:space="preserve">1020 Bandana Boulevard West </t>
  </si>
  <si>
    <t xml:space="preserve">910 Sibley Memorial Highway </t>
  </si>
  <si>
    <t>347 Smith Avenue North Suite 602</t>
  </si>
  <si>
    <t>485 Arundel Street Suite 102</t>
  </si>
  <si>
    <t xml:space="preserve">345 Sherman Street </t>
  </si>
  <si>
    <t xml:space="preserve">250 Thompson Street </t>
  </si>
  <si>
    <t xml:space="preserve">1661 St. Anthony Avenue </t>
  </si>
  <si>
    <t>393 Dunlap Street Suite LL40</t>
  </si>
  <si>
    <t xml:space="preserve">1900 North Sunrise Drive  </t>
  </si>
  <si>
    <t xml:space="preserve">49725 County Road 83 </t>
  </si>
  <si>
    <t xml:space="preserve">1701 Curve Crest Boulevard </t>
  </si>
  <si>
    <t>(null)</t>
  </si>
  <si>
    <t xml:space="preserve">3001 Sanford Parkway </t>
  </si>
  <si>
    <t>1155 East County Road E Suite 100</t>
  </si>
  <si>
    <t xml:space="preserve">3590 Arcade Street </t>
  </si>
  <si>
    <t xml:space="preserve">1159 East County Road E </t>
  </si>
  <si>
    <t xml:space="preserve">3580 Arcade Street </t>
  </si>
  <si>
    <t xml:space="preserve">8373 Unity Drive </t>
  </si>
  <si>
    <t xml:space="preserve">424 State Highway 5 West </t>
  </si>
  <si>
    <t xml:space="preserve">500 Maple Street </t>
  </si>
  <si>
    <t xml:space="preserve">415 North Jefferson Street </t>
  </si>
  <si>
    <t xml:space="preserve">7024 Shady Glen Lane </t>
  </si>
  <si>
    <t>250 Central Avenue Suite 220</t>
  </si>
  <si>
    <t xml:space="preserve">401 12th Street North </t>
  </si>
  <si>
    <t xml:space="preserve">101 Willmar Avenue Southwest </t>
  </si>
  <si>
    <t>502 Second Street SW Suite 6</t>
  </si>
  <si>
    <t>1701 Technology Drive NE</t>
  </si>
  <si>
    <t xml:space="preserve">8675 Valley Creek Road </t>
  </si>
  <si>
    <t>6025 Lake Road Suite 130</t>
  </si>
  <si>
    <t>1605 Queens Drive Suite 130</t>
  </si>
  <si>
    <t xml:space="preserve">2090 Woodwinds Drive </t>
  </si>
  <si>
    <t xml:space="preserve">155 Radio Drive </t>
  </si>
  <si>
    <t xml:space="preserve">4040 Radio Drive </t>
  </si>
  <si>
    <t xml:space="preserve">7030 Valley Creek Plaza </t>
  </si>
  <si>
    <t xml:space="preserve">5200 Fairview Boulevard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</si>
</sst>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00"/>
    <numFmt numFmtId="165" formatCode="mm/dd/yy"/>
    <numFmt numFmtId="166" formatCode="_(* #,##0_);_(* \(#,##0\);_(* &quot;-&quot;??_);_(@_)"/>
    <numFmt numFmtId="167" formatCode="_(&quot;$&quot;* #,##0_);_(&quot;$&quot;* \(#,##0\);_(&quot;$&quot;* &quot;-&quot;??_);_(@_)"/>
    <numFmt numFmtId="168" formatCode="&quot;$&quot;#,##0"/>
    <numFmt numFmtId="169" formatCode="[&lt;=9999999]###\-####;###\-###\-####"/>
    <numFmt numFmtId="170" formatCode="m/d/yyyy;@"/>
    <numFmt numFmtId="171" formatCode="m/dd/yy;@"/>
    <numFmt numFmtId="172" formatCode="m/d/yy;@"/>
    <numFmt numFmtId="173" formatCode="#,##0.0"/>
    <numFmt numFmtId="174" formatCode="mm/dd/yyyy"/>
    <numFmt numFmtId="175" formatCode="mm/dd/yyyy;@"/>
  </numFmts>
  <fonts count="83" x14ac:knownFonts="1">
    <font>
      <sz val="10"/>
      <name val="Arial"/>
    </font>
    <font>
      <u/>
      <sz val="10"/>
      <color indexed="12"/>
      <name val="Arial"/>
      <family val="2"/>
    </font>
    <font>
      <b/>
      <sz val="10"/>
      <name val="Arial"/>
      <family val="2"/>
    </font>
    <font>
      <sz val="10"/>
      <name val="Arial"/>
      <family val="2"/>
    </font>
    <font>
      <u/>
      <sz val="10"/>
      <color indexed="12"/>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10"/>
      <name val="Calibri"/>
      <family val="2"/>
    </font>
    <font>
      <u/>
      <sz val="10"/>
      <color indexed="12"/>
      <name val="Calibri"/>
      <family val="2"/>
    </font>
    <font>
      <b/>
      <i/>
      <sz val="10"/>
      <name val="Calibri"/>
      <family val="2"/>
    </font>
    <font>
      <b/>
      <sz val="10"/>
      <color indexed="16"/>
      <name val="Calibri"/>
      <family val="2"/>
    </font>
    <font>
      <b/>
      <u/>
      <sz val="10"/>
      <color indexed="12"/>
      <name val="Calibri"/>
      <family val="2"/>
    </font>
    <font>
      <sz val="10"/>
      <color indexed="10"/>
      <name val="Calibri"/>
      <family val="2"/>
    </font>
    <font>
      <sz val="10"/>
      <color indexed="16"/>
      <name val="Calibri"/>
      <family val="2"/>
    </font>
    <font>
      <b/>
      <u/>
      <sz val="14"/>
      <color indexed="12"/>
      <name val="Calibri"/>
      <family val="2"/>
    </font>
    <font>
      <b/>
      <i/>
      <sz val="10"/>
      <color indexed="16"/>
      <name val="Calibri"/>
      <family val="2"/>
    </font>
    <font>
      <b/>
      <u/>
      <sz val="8"/>
      <color indexed="12"/>
      <name val="Calibri"/>
      <family val="2"/>
    </font>
    <font>
      <sz val="11"/>
      <color theme="1"/>
      <name val="Arial"/>
      <family val="2"/>
    </font>
    <font>
      <sz val="11"/>
      <color theme="1"/>
      <name val="Calibri"/>
      <family val="2"/>
      <scheme val="minor"/>
    </font>
    <font>
      <b/>
      <sz val="10"/>
      <color rgb="FFFF0000"/>
      <name val="Arial"/>
      <family val="2"/>
    </font>
    <font>
      <sz val="11"/>
      <name val="Calibri"/>
      <family val="2"/>
      <scheme val="minor"/>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0"/>
      <color theme="5" tint="-0.249977111117893"/>
      <name val="Calibri"/>
      <family val="2"/>
      <scheme val="minor"/>
    </font>
    <font>
      <sz val="10"/>
      <color theme="1"/>
      <name val="Calibri"/>
      <family val="2"/>
      <scheme val="minor"/>
    </font>
    <font>
      <b/>
      <sz val="10"/>
      <color theme="1"/>
      <name val="Calibri"/>
      <family val="2"/>
      <scheme val="minor"/>
    </font>
    <font>
      <sz val="12"/>
      <name val="Calibri"/>
      <family val="2"/>
      <scheme val="minor"/>
    </font>
    <font>
      <u/>
      <sz val="10"/>
      <color indexed="12"/>
      <name val="Calibri"/>
      <family val="2"/>
      <scheme val="minor"/>
    </font>
    <font>
      <sz val="10"/>
      <color theme="0"/>
      <name val="Calibri"/>
      <family val="2"/>
      <scheme val="minor"/>
    </font>
    <font>
      <sz val="10"/>
      <color indexed="10"/>
      <name val="Calibri"/>
      <family val="2"/>
      <scheme val="minor"/>
    </font>
    <font>
      <b/>
      <sz val="10"/>
      <color indexed="16"/>
      <name val="Calibri"/>
      <family val="2"/>
      <scheme val="minor"/>
    </font>
    <font>
      <sz val="10"/>
      <color rgb="FF7030A0"/>
      <name val="Calibri"/>
      <family val="2"/>
      <scheme val="minor"/>
    </font>
    <font>
      <u/>
      <sz val="10"/>
      <name val="Calibri"/>
      <family val="2"/>
      <scheme val="minor"/>
    </font>
    <font>
      <sz val="20"/>
      <name val="Calibri"/>
      <family val="2"/>
      <scheme val="minor"/>
    </font>
    <font>
      <b/>
      <sz val="12"/>
      <color rgb="FFFF0000"/>
      <name val="Calibri"/>
      <family val="2"/>
      <scheme val="minor"/>
    </font>
    <font>
      <b/>
      <sz val="10"/>
      <color rgb="FF800000"/>
      <name val="Calibri"/>
      <family val="2"/>
      <scheme val="minor"/>
    </font>
    <font>
      <b/>
      <sz val="10"/>
      <color theme="0"/>
      <name val="Calibri"/>
      <family val="2"/>
      <scheme val="minor"/>
    </font>
    <font>
      <b/>
      <i/>
      <sz val="10"/>
      <color indexed="16"/>
      <name val="Calibri"/>
      <family val="2"/>
      <scheme val="minor"/>
    </font>
    <font>
      <b/>
      <u/>
      <sz val="10"/>
      <color indexed="12"/>
      <name val="Calibri"/>
      <family val="2"/>
      <scheme val="minor"/>
    </font>
    <font>
      <sz val="10"/>
      <color indexed="16"/>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b/>
      <sz val="10"/>
      <color rgb="FFFFFF00"/>
      <name val="Calibri"/>
      <family val="2"/>
      <scheme val="minor"/>
    </font>
    <font>
      <b/>
      <sz val="14"/>
      <name val="Calibri"/>
      <family val="2"/>
      <scheme val="minor"/>
    </font>
    <font>
      <b/>
      <sz val="18"/>
      <name val="Calibri"/>
      <family val="2"/>
      <scheme val="minor"/>
    </font>
    <font>
      <sz val="18"/>
      <name val="Calibri"/>
      <family val="2"/>
      <scheme val="minor"/>
    </font>
    <font>
      <b/>
      <sz val="20"/>
      <name val="Calibri"/>
      <family val="2"/>
      <scheme val="minor"/>
    </font>
    <font>
      <sz val="16"/>
      <name val="Calibri"/>
      <family val="2"/>
      <scheme val="minor"/>
    </font>
    <font>
      <b/>
      <sz val="8"/>
      <color indexed="10"/>
      <name val="Calibri"/>
      <family val="2"/>
      <scheme val="minor"/>
    </font>
    <font>
      <b/>
      <sz val="8"/>
      <name val="Calibri"/>
      <family val="2"/>
      <scheme val="minor"/>
    </font>
    <font>
      <sz val="10"/>
      <color indexed="8"/>
      <name val="Calibri"/>
      <family val="2"/>
      <scheme val="minor"/>
    </font>
    <font>
      <b/>
      <sz val="12"/>
      <color indexed="16"/>
      <name val="Calibri"/>
      <family val="2"/>
      <scheme val="minor"/>
    </font>
    <font>
      <b/>
      <sz val="14"/>
      <color indexed="16"/>
      <name val="Calibri"/>
      <family val="2"/>
      <scheme val="minor"/>
    </font>
    <font>
      <sz val="14"/>
      <name val="Calibri"/>
      <family val="2"/>
      <scheme val="minor"/>
    </font>
    <font>
      <b/>
      <u/>
      <sz val="14"/>
      <color indexed="12"/>
      <name val="Calibri"/>
      <family val="2"/>
      <scheme val="minor"/>
    </font>
    <font>
      <sz val="10"/>
      <color rgb="FF800000"/>
      <name val="Calibri"/>
      <family val="2"/>
      <scheme val="minor"/>
    </font>
    <font>
      <b/>
      <u/>
      <sz val="11"/>
      <color indexed="12"/>
      <name val="Calibri"/>
      <family val="2"/>
      <scheme val="minor"/>
    </font>
    <font>
      <b/>
      <sz val="11"/>
      <name val="Calibri"/>
      <family val="2"/>
      <scheme val="minor"/>
    </font>
    <font>
      <sz val="10"/>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61"/>
        <bgColor indexed="64"/>
      </patternFill>
    </fill>
    <fill>
      <patternFill patternType="solid">
        <fgColor indexed="45"/>
        <bgColor indexed="64"/>
      </patternFill>
    </fill>
    <fill>
      <patternFill patternType="solid">
        <fgColor indexed="14"/>
        <bgColor indexed="64"/>
      </patternFill>
    </fill>
    <fill>
      <patternFill patternType="gray0625"/>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rgb="FFDDDDDD"/>
        <bgColor indexed="64"/>
      </patternFill>
    </fill>
    <fill>
      <patternFill patternType="gray0625">
        <bgColor theme="0"/>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3" tint="0.79998168889431442"/>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bottom/>
      <diagonal/>
    </border>
  </borders>
  <cellStyleXfs count="180">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4" fontId="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82" fillId="0" borderId="0" applyFont="0" applyFill="0" applyBorder="0" applyAlignment="0" applyProtection="0"/>
  </cellStyleXfs>
  <cellXfs count="1332">
    <xf numFmtId="0" fontId="0" fillId="0" borderId="0" xfId="0"/>
    <xf numFmtId="0" fontId="0" fillId="0" borderId="0" xfId="0" applyProtection="1"/>
    <xf numFmtId="0" fontId="0" fillId="0" borderId="0" xfId="0" applyBorder="1" applyProtection="1"/>
    <xf numFmtId="0" fontId="38" fillId="0" borderId="0" xfId="0" applyFont="1" applyProtection="1"/>
    <xf numFmtId="0" fontId="2" fillId="0" borderId="10" xfId="0" applyFont="1"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2" fillId="0" borderId="11" xfId="0" applyFont="1" applyBorder="1" applyProtection="1"/>
    <xf numFmtId="0" fontId="0" fillId="0" borderId="19" xfId="0" applyBorder="1" applyProtection="1"/>
    <xf numFmtId="0" fontId="0" fillId="0" borderId="20" xfId="0" applyBorder="1" applyProtection="1"/>
    <xf numFmtId="0" fontId="39" fillId="0" borderId="0" xfId="134" applyFont="1" applyAlignment="1" applyProtection="1"/>
    <xf numFmtId="0" fontId="40" fillId="0" borderId="0" xfId="0" applyFont="1" applyAlignment="1">
      <alignment horizontal="center"/>
    </xf>
    <xf numFmtId="0" fontId="41" fillId="0" borderId="0" xfId="0" applyFont="1" applyAlignment="1">
      <alignment horizontal="center" vertical="center" wrapText="1"/>
    </xf>
    <xf numFmtId="0" fontId="40" fillId="0" borderId="0" xfId="0" applyFont="1"/>
    <xf numFmtId="0" fontId="42" fillId="0" borderId="0" xfId="0" applyFont="1"/>
    <xf numFmtId="0" fontId="43" fillId="0" borderId="0" xfId="0" applyFont="1"/>
    <xf numFmtId="0" fontId="42" fillId="24" borderId="21" xfId="0" applyFont="1" applyFill="1" applyBorder="1" applyAlignment="1">
      <alignment horizontal="center"/>
    </xf>
    <xf numFmtId="0" fontId="40" fillId="0" borderId="0" xfId="0" applyFont="1" applyFill="1" applyBorder="1" applyAlignment="1">
      <alignment horizontal="center"/>
    </xf>
    <xf numFmtId="0" fontId="40" fillId="24" borderId="22" xfId="0" applyFont="1" applyFill="1" applyBorder="1" applyAlignment="1">
      <alignment horizontal="right"/>
    </xf>
    <xf numFmtId="0" fontId="40" fillId="0" borderId="0" xfId="0" applyFont="1" applyBorder="1" applyAlignment="1">
      <alignment horizontal="left"/>
    </xf>
    <xf numFmtId="0" fontId="40" fillId="0" borderId="0" xfId="0" applyFont="1" applyFill="1" applyBorder="1" applyAlignment="1">
      <alignment horizontal="left"/>
    </xf>
    <xf numFmtId="0" fontId="40" fillId="0" borderId="23" xfId="0" applyFont="1" applyBorder="1" applyAlignment="1">
      <alignment horizontal="left" vertical="center" indent="1"/>
    </xf>
    <xf numFmtId="0" fontId="40" fillId="0" borderId="0" xfId="0" applyFont="1" applyBorder="1" applyAlignment="1">
      <alignment horizontal="left" vertical="center" indent="1"/>
    </xf>
    <xf numFmtId="0" fontId="40" fillId="0" borderId="0" xfId="0" applyFont="1" applyBorder="1" applyAlignment="1">
      <alignment horizontal="center"/>
    </xf>
    <xf numFmtId="0" fontId="40" fillId="24" borderId="24" xfId="0" applyFont="1" applyFill="1" applyBorder="1" applyAlignment="1">
      <alignment horizontal="right"/>
    </xf>
    <xf numFmtId="0" fontId="40" fillId="0" borderId="13" xfId="0" applyFont="1" applyBorder="1" applyAlignment="1">
      <alignment horizontal="left"/>
    </xf>
    <xf numFmtId="0" fontId="40" fillId="0" borderId="25" xfId="0" applyFont="1" applyBorder="1" applyAlignment="1">
      <alignment horizontal="left" indent="1"/>
    </xf>
    <xf numFmtId="0" fontId="40" fillId="0" borderId="23" xfId="0" applyFont="1" applyBorder="1" applyAlignment="1">
      <alignment horizontal="center"/>
    </xf>
    <xf numFmtId="0" fontId="40" fillId="24" borderId="26" xfId="0" applyFont="1" applyFill="1" applyBorder="1" applyAlignment="1">
      <alignment horizontal="right"/>
    </xf>
    <xf numFmtId="0" fontId="40" fillId="0" borderId="27" xfId="0" applyFont="1" applyBorder="1" applyAlignment="1">
      <alignment horizontal="left"/>
    </xf>
    <xf numFmtId="0" fontId="40" fillId="0" borderId="28" xfId="0" applyFont="1" applyBorder="1" applyAlignment="1">
      <alignment horizontal="left" indent="1"/>
    </xf>
    <xf numFmtId="0" fontId="40" fillId="0" borderId="0" xfId="0" applyFont="1" applyAlignment="1">
      <alignment horizontal="left"/>
    </xf>
    <xf numFmtId="0" fontId="40" fillId="0" borderId="0" xfId="0" applyFont="1" applyAlignment="1">
      <alignment horizontal="left" indent="1"/>
    </xf>
    <xf numFmtId="0" fontId="40" fillId="24" borderId="29" xfId="0" applyFont="1" applyFill="1" applyBorder="1" applyAlignment="1">
      <alignment horizontal="right"/>
    </xf>
    <xf numFmtId="14" fontId="40" fillId="0" borderId="30" xfId="0" applyNumberFormat="1" applyFont="1" applyBorder="1" applyAlignment="1">
      <alignment horizontal="left"/>
    </xf>
    <xf numFmtId="171" fontId="40" fillId="0" borderId="31" xfId="0" applyNumberFormat="1" applyFont="1" applyBorder="1" applyAlignment="1">
      <alignment horizontal="left" indent="1"/>
    </xf>
    <xf numFmtId="0" fontId="40" fillId="0" borderId="0" xfId="0" applyFont="1" applyBorder="1" applyAlignment="1">
      <alignment horizontal="left" vertical="center" wrapText="1" indent="1"/>
    </xf>
    <xf numFmtId="0" fontId="40" fillId="0" borderId="30" xfId="0" applyFont="1" applyBorder="1" applyAlignment="1">
      <alignment horizontal="left"/>
    </xf>
    <xf numFmtId="0" fontId="40" fillId="0" borderId="31" xfId="0" applyFont="1" applyBorder="1" applyAlignment="1">
      <alignment horizontal="left" indent="1"/>
    </xf>
    <xf numFmtId="169" fontId="40" fillId="0" borderId="23" xfId="0" applyNumberFormat="1" applyFont="1" applyBorder="1" applyAlignment="1">
      <alignment horizontal="left" vertical="center" indent="1"/>
    </xf>
    <xf numFmtId="0" fontId="40" fillId="0" borderId="0" xfId="0" applyNumberFormat="1" applyFont="1" applyFill="1" applyBorder="1" applyAlignment="1">
      <alignment horizontal="left"/>
    </xf>
    <xf numFmtId="0" fontId="40" fillId="0" borderId="23" xfId="0" applyFont="1" applyBorder="1" applyAlignment="1">
      <alignment horizontal="left" indent="1"/>
    </xf>
    <xf numFmtId="0" fontId="40" fillId="0" borderId="32" xfId="0" applyFont="1" applyBorder="1" applyAlignment="1">
      <alignment horizontal="left" vertical="center" indent="1"/>
    </xf>
    <xf numFmtId="0" fontId="40" fillId="0" borderId="32" xfId="0" applyFont="1" applyFill="1" applyBorder="1" applyAlignment="1">
      <alignment horizontal="left" vertical="center" wrapText="1" indent="1"/>
    </xf>
    <xf numFmtId="0" fontId="40" fillId="0" borderId="32" xfId="0" applyFont="1" applyBorder="1" applyAlignment="1">
      <alignment horizontal="left" vertical="center" wrapText="1" indent="1"/>
    </xf>
    <xf numFmtId="0" fontId="40" fillId="0" borderId="27" xfId="0" applyFont="1" applyFill="1" applyBorder="1" applyAlignment="1">
      <alignment horizontal="left"/>
    </xf>
    <xf numFmtId="0" fontId="44" fillId="0" borderId="0" xfId="0" applyFont="1"/>
    <xf numFmtId="0" fontId="40" fillId="0" borderId="28" xfId="0" applyFont="1" applyBorder="1" applyAlignment="1">
      <alignment horizontal="left" vertical="center" indent="1"/>
    </xf>
    <xf numFmtId="0" fontId="42" fillId="0" borderId="0" xfId="0" applyFont="1" applyAlignment="1">
      <alignment horizontal="right"/>
    </xf>
    <xf numFmtId="0" fontId="40" fillId="25" borderId="0" xfId="0" applyFont="1" applyFill="1" applyAlignment="1">
      <alignment horizontal="center"/>
    </xf>
    <xf numFmtId="0" fontId="40" fillId="0" borderId="0" xfId="0" applyFont="1" applyAlignment="1">
      <alignment horizontal="right"/>
    </xf>
    <xf numFmtId="0" fontId="40" fillId="0" borderId="0" xfId="0" applyFont="1" applyBorder="1"/>
    <xf numFmtId="0" fontId="42" fillId="26" borderId="21" xfId="0" applyFont="1" applyFill="1" applyBorder="1" applyAlignment="1">
      <alignment horizontal="center"/>
    </xf>
    <xf numFmtId="0" fontId="40" fillId="0" borderId="0" xfId="0" applyFont="1" applyBorder="1" applyAlignment="1"/>
    <xf numFmtId="0" fontId="42" fillId="27" borderId="21" xfId="0" applyFont="1" applyFill="1" applyBorder="1" applyAlignment="1">
      <alignment horizontal="center"/>
    </xf>
    <xf numFmtId="0" fontId="40" fillId="26" borderId="22" xfId="0" applyFont="1" applyFill="1" applyBorder="1" applyAlignment="1">
      <alignment horizontal="right"/>
    </xf>
    <xf numFmtId="0" fontId="40" fillId="27" borderId="22" xfId="0" applyFont="1" applyFill="1" applyBorder="1" applyAlignment="1">
      <alignment horizontal="right"/>
    </xf>
    <xf numFmtId="0" fontId="40" fillId="0" borderId="15" xfId="0" applyFont="1" applyBorder="1" applyAlignment="1">
      <alignment horizontal="left" vertical="center" wrapText="1"/>
    </xf>
    <xf numFmtId="0" fontId="40" fillId="0" borderId="33" xfId="0" applyFont="1" applyBorder="1" applyAlignment="1">
      <alignment horizontal="left" vertical="center" wrapText="1"/>
    </xf>
    <xf numFmtId="0" fontId="42" fillId="0" borderId="0" xfId="0" applyFont="1" applyFill="1" applyAlignment="1">
      <alignment horizontal="right"/>
    </xf>
    <xf numFmtId="169" fontId="40" fillId="0" borderId="23" xfId="0" applyNumberFormat="1" applyFont="1" applyBorder="1" applyAlignment="1">
      <alignment horizontal="left" indent="1"/>
    </xf>
    <xf numFmtId="0" fontId="40" fillId="26" borderId="26" xfId="0" applyFont="1" applyFill="1" applyBorder="1" applyAlignment="1">
      <alignment horizontal="right"/>
    </xf>
    <xf numFmtId="169" fontId="40" fillId="0" borderId="28" xfId="0" applyNumberFormat="1" applyFont="1" applyBorder="1" applyAlignment="1">
      <alignment horizontal="left" indent="1"/>
    </xf>
    <xf numFmtId="0" fontId="40" fillId="25" borderId="23" xfId="0" applyFont="1" applyFill="1" applyBorder="1" applyAlignment="1">
      <alignment horizontal="center"/>
    </xf>
    <xf numFmtId="0" fontId="40" fillId="0" borderId="27" xfId="0" applyFont="1" applyBorder="1"/>
    <xf numFmtId="0" fontId="42" fillId="28" borderId="21" xfId="0" applyFont="1" applyFill="1" applyBorder="1" applyAlignment="1">
      <alignment horizontal="center" vertical="center"/>
    </xf>
    <xf numFmtId="0" fontId="42" fillId="29" borderId="21" xfId="0" applyFont="1" applyFill="1" applyBorder="1" applyAlignment="1">
      <alignment horizontal="center"/>
    </xf>
    <xf numFmtId="0" fontId="40" fillId="28" borderId="22" xfId="0" applyFont="1" applyFill="1" applyBorder="1" applyAlignment="1">
      <alignment horizontal="right"/>
    </xf>
    <xf numFmtId="0" fontId="40" fillId="0" borderId="32" xfId="0" applyFont="1" applyBorder="1"/>
    <xf numFmtId="0" fontId="40" fillId="29" borderId="22" xfId="0" applyFont="1" applyFill="1" applyBorder="1" applyAlignment="1">
      <alignment horizontal="right"/>
    </xf>
    <xf numFmtId="0" fontId="40" fillId="0" borderId="0" xfId="0" applyFont="1" applyBorder="1" applyAlignment="1">
      <alignment vertical="center"/>
    </xf>
    <xf numFmtId="0" fontId="40" fillId="28" borderId="22" xfId="0" applyFont="1" applyFill="1" applyBorder="1" applyAlignment="1">
      <alignment horizontal="right" wrapText="1"/>
    </xf>
    <xf numFmtId="0" fontId="40" fillId="0" borderId="0" xfId="0" applyFont="1" applyAlignment="1">
      <alignment horizontal="left" vertical="center" wrapText="1"/>
    </xf>
    <xf numFmtId="0" fontId="40" fillId="0" borderId="0" xfId="0" applyFont="1" applyBorder="1" applyAlignment="1">
      <alignment horizontal="left" vertical="center" wrapText="1"/>
    </xf>
    <xf numFmtId="169" fontId="40" fillId="0" borderId="23" xfId="0" applyNumberFormat="1" applyFont="1" applyFill="1" applyBorder="1" applyAlignment="1">
      <alignment horizontal="left" vertical="center" wrapText="1" indent="1"/>
    </xf>
    <xf numFmtId="0" fontId="40" fillId="0" borderId="23" xfId="0" applyFont="1" applyFill="1" applyBorder="1" applyAlignment="1">
      <alignment horizontal="left" vertical="center" wrapText="1" indent="1"/>
    </xf>
    <xf numFmtId="0" fontId="40" fillId="28" borderId="26" xfId="0" applyFont="1" applyFill="1" applyBorder="1" applyAlignment="1">
      <alignment horizontal="right"/>
    </xf>
    <xf numFmtId="169" fontId="40" fillId="0" borderId="28" xfId="0" applyNumberFormat="1" applyFont="1" applyBorder="1" applyAlignment="1">
      <alignment horizontal="left" vertical="center" indent="1"/>
    </xf>
    <xf numFmtId="0" fontId="40" fillId="29" borderId="26" xfId="0" applyFont="1" applyFill="1" applyBorder="1" applyAlignment="1">
      <alignment horizontal="right"/>
    </xf>
    <xf numFmtId="0" fontId="40" fillId="0" borderId="0" xfId="0" applyFont="1" applyBorder="1" applyAlignment="1">
      <alignment horizontal="right" wrapText="1"/>
    </xf>
    <xf numFmtId="0" fontId="40" fillId="0" borderId="0" xfId="0" applyFont="1" applyBorder="1" applyAlignment="1">
      <alignment vertical="center" wrapText="1"/>
    </xf>
    <xf numFmtId="0" fontId="40" fillId="0" borderId="0" xfId="0" applyFont="1" applyFill="1" applyAlignment="1">
      <alignment horizontal="center"/>
    </xf>
    <xf numFmtId="0" fontId="42" fillId="30" borderId="21" xfId="0" applyFont="1" applyFill="1" applyBorder="1" applyAlignment="1">
      <alignment horizontal="center" vertical="center"/>
    </xf>
    <xf numFmtId="0" fontId="45" fillId="0" borderId="0" xfId="0" applyFont="1"/>
    <xf numFmtId="0" fontId="40" fillId="30" borderId="22" xfId="0" applyFont="1" applyFill="1" applyBorder="1" applyAlignment="1">
      <alignment horizontal="right"/>
    </xf>
    <xf numFmtId="0" fontId="40" fillId="30" borderId="26" xfId="0" applyFont="1" applyFill="1" applyBorder="1" applyAlignment="1">
      <alignment horizontal="right"/>
    </xf>
    <xf numFmtId="0" fontId="40" fillId="0" borderId="0" xfId="0" applyFont="1" applyAlignment="1" applyProtection="1">
      <alignment horizontal="center"/>
    </xf>
    <xf numFmtId="0" fontId="40" fillId="0" borderId="0" xfId="0" applyFont="1" applyProtection="1"/>
    <xf numFmtId="0" fontId="42" fillId="0" borderId="0" xfId="0" applyFont="1" applyAlignment="1" applyProtection="1">
      <alignment horizontal="center" vertical="center"/>
    </xf>
    <xf numFmtId="0" fontId="40" fillId="0" borderId="27" xfId="0" applyFont="1" applyBorder="1" applyAlignment="1" applyProtection="1">
      <alignment horizontal="center" vertical="center"/>
    </xf>
    <xf numFmtId="0" fontId="43" fillId="0" borderId="0" xfId="0" applyFont="1" applyProtection="1"/>
    <xf numFmtId="0" fontId="40" fillId="39" borderId="32" xfId="0" applyFont="1" applyFill="1" applyBorder="1" applyAlignment="1" applyProtection="1">
      <alignment horizontal="center"/>
    </xf>
    <xf numFmtId="0" fontId="40" fillId="39" borderId="16" xfId="0" applyFont="1" applyFill="1" applyBorder="1" applyProtection="1"/>
    <xf numFmtId="0" fontId="40" fillId="0" borderId="0" xfId="0" applyFont="1" applyBorder="1" applyProtection="1"/>
    <xf numFmtId="0" fontId="40" fillId="0" borderId="0" xfId="0" applyNumberFormat="1" applyFont="1" applyBorder="1" applyProtection="1"/>
    <xf numFmtId="0" fontId="40" fillId="0" borderId="23" xfId="0" applyFont="1" applyBorder="1" applyProtection="1"/>
    <xf numFmtId="170" fontId="40" fillId="0" borderId="0" xfId="0" applyNumberFormat="1" applyFont="1" applyBorder="1" applyProtection="1"/>
    <xf numFmtId="0" fontId="40" fillId="0" borderId="0" xfId="0" applyNumberFormat="1" applyFont="1" applyFill="1" applyBorder="1" applyProtection="1"/>
    <xf numFmtId="14" fontId="40" fillId="0" borderId="0" xfId="0" applyNumberFormat="1" applyFont="1" applyBorder="1" applyProtection="1"/>
    <xf numFmtId="0" fontId="40" fillId="39" borderId="34" xfId="0" applyFont="1" applyFill="1" applyBorder="1" applyAlignment="1" applyProtection="1">
      <alignment horizontal="center"/>
    </xf>
    <xf numFmtId="0" fontId="40" fillId="39" borderId="35" xfId="0" applyFont="1" applyFill="1" applyBorder="1" applyProtection="1"/>
    <xf numFmtId="170" fontId="40" fillId="0" borderId="27" xfId="0" applyNumberFormat="1" applyFont="1" applyBorder="1" applyProtection="1"/>
    <xf numFmtId="0" fontId="40" fillId="0" borderId="27" xfId="0" applyNumberFormat="1" applyFont="1" applyBorder="1" applyProtection="1"/>
    <xf numFmtId="0" fontId="40" fillId="0" borderId="28" xfId="0" applyFont="1" applyBorder="1" applyProtection="1"/>
    <xf numFmtId="0" fontId="42" fillId="31" borderId="0" xfId="0" applyFont="1" applyFill="1" applyAlignment="1">
      <alignment wrapText="1"/>
    </xf>
    <xf numFmtId="0" fontId="42" fillId="0" borderId="0" xfId="0" applyFont="1" applyFill="1"/>
    <xf numFmtId="0" fontId="40" fillId="0" borderId="0" xfId="0" applyNumberFormat="1" applyFont="1"/>
    <xf numFmtId="0" fontId="40" fillId="0" borderId="0" xfId="0" applyFont="1" applyFill="1"/>
    <xf numFmtId="0" fontId="46" fillId="0" borderId="0" xfId="0" applyFont="1" applyFill="1" applyAlignment="1">
      <alignment horizontal="center"/>
    </xf>
    <xf numFmtId="0" fontId="44" fillId="0" borderId="0" xfId="0" applyFont="1" applyFill="1" applyAlignment="1">
      <alignment horizontal="center"/>
    </xf>
    <xf numFmtId="0" fontId="44" fillId="0" borderId="0" xfId="0" applyFont="1" applyFill="1"/>
    <xf numFmtId="0" fontId="47" fillId="0" borderId="0" xfId="0" applyFont="1" applyFill="1" applyAlignment="1">
      <alignment horizontal="center"/>
    </xf>
    <xf numFmtId="0" fontId="42" fillId="0" borderId="0" xfId="0" applyFont="1" applyFill="1" applyAlignment="1"/>
    <xf numFmtId="0" fontId="40" fillId="31" borderId="0" xfId="0" applyFont="1" applyFill="1"/>
    <xf numFmtId="0" fontId="40" fillId="32" borderId="0" xfId="0" applyFont="1" applyFill="1"/>
    <xf numFmtId="0" fontId="40" fillId="33" borderId="0" xfId="0" applyFont="1" applyFill="1"/>
    <xf numFmtId="0" fontId="42" fillId="33" borderId="0" xfId="0" applyFont="1" applyFill="1" applyAlignment="1" applyProtection="1">
      <alignment horizontal="center" vertical="top"/>
    </xf>
    <xf numFmtId="0" fontId="39" fillId="33" borderId="0" xfId="0" applyFont="1" applyFill="1" applyAlignment="1" applyProtection="1">
      <alignment horizontal="center" vertical="top"/>
    </xf>
    <xf numFmtId="0" fontId="39" fillId="33" borderId="0" xfId="134" applyFont="1" applyFill="1" applyAlignment="1" applyProtection="1">
      <alignment vertical="top" wrapText="1"/>
    </xf>
    <xf numFmtId="0" fontId="48" fillId="33" borderId="0" xfId="0" applyFont="1" applyFill="1" applyAlignment="1">
      <alignment vertical="top" wrapText="1"/>
    </xf>
    <xf numFmtId="0" fontId="48" fillId="33" borderId="0" xfId="0" applyFont="1" applyFill="1" applyAlignment="1" applyProtection="1">
      <alignment horizontal="center" vertical="top"/>
    </xf>
    <xf numFmtId="0" fontId="40" fillId="33" borderId="0" xfId="0" applyFont="1" applyFill="1" applyProtection="1"/>
    <xf numFmtId="0" fontId="48" fillId="33" borderId="0" xfId="134" applyFont="1" applyFill="1" applyAlignment="1" applyProtection="1">
      <alignment horizontal="left" vertical="top" wrapText="1"/>
    </xf>
    <xf numFmtId="0" fontId="40" fillId="33" borderId="0" xfId="0" applyFont="1" applyFill="1" applyAlignment="1">
      <alignment horizontal="left" vertical="top" wrapText="1"/>
    </xf>
    <xf numFmtId="0" fontId="42" fillId="40" borderId="0" xfId="0" applyFont="1" applyFill="1" applyAlignment="1" applyProtection="1">
      <alignment horizontal="center" vertical="top"/>
    </xf>
    <xf numFmtId="0" fontId="49" fillId="40" borderId="0" xfId="134" applyFont="1" applyFill="1" applyAlignment="1" applyProtection="1">
      <alignment vertical="top"/>
    </xf>
    <xf numFmtId="0" fontId="48" fillId="40" borderId="0" xfId="134" applyFont="1" applyFill="1" applyAlignment="1" applyProtection="1">
      <alignment horizontal="left" vertical="top" wrapText="1"/>
    </xf>
    <xf numFmtId="0" fontId="48" fillId="40" borderId="0" xfId="0" applyFont="1" applyFill="1" applyAlignment="1" applyProtection="1">
      <alignment horizontal="center" vertical="top"/>
    </xf>
    <xf numFmtId="0" fontId="40" fillId="40" borderId="0" xfId="0" applyFont="1" applyFill="1" applyProtection="1"/>
    <xf numFmtId="0" fontId="48" fillId="33" borderId="0" xfId="134" applyFont="1" applyFill="1" applyAlignment="1" applyProtection="1">
      <alignment vertical="top" wrapText="1"/>
    </xf>
    <xf numFmtId="0" fontId="48" fillId="33" borderId="0" xfId="0" applyFont="1" applyFill="1" applyAlignment="1">
      <alignment horizontal="center" vertical="top"/>
    </xf>
    <xf numFmtId="0" fontId="40" fillId="33" borderId="0" xfId="0" applyFont="1" applyFill="1" applyAlignment="1">
      <alignment wrapText="1"/>
    </xf>
    <xf numFmtId="0" fontId="50" fillId="33" borderId="0" xfId="0" applyFont="1" applyFill="1" applyAlignment="1">
      <alignment horizontal="center" vertical="center" wrapText="1"/>
    </xf>
    <xf numFmtId="0" fontId="40" fillId="34" borderId="36" xfId="0" applyFont="1" applyFill="1" applyBorder="1" applyAlignment="1"/>
    <xf numFmtId="0" fontId="40" fillId="34" borderId="36" xfId="0" applyFont="1" applyFill="1" applyBorder="1" applyAlignment="1">
      <alignment vertical="center"/>
    </xf>
    <xf numFmtId="0" fontId="40" fillId="34" borderId="36" xfId="0" applyFont="1" applyFill="1" applyBorder="1" applyAlignment="1">
      <alignment horizontal="center" vertical="center"/>
    </xf>
    <xf numFmtId="0" fontId="42" fillId="0" borderId="37" xfId="0" applyFont="1" applyBorder="1" applyAlignment="1" applyProtection="1">
      <alignment horizontal="center" vertical="center" wrapText="1"/>
      <protection locked="0"/>
    </xf>
    <xf numFmtId="0" fontId="49" fillId="0" borderId="36" xfId="134" applyFont="1" applyBorder="1" applyAlignment="1" applyProtection="1">
      <alignment horizontal="center" vertical="center"/>
    </xf>
    <xf numFmtId="0" fontId="40" fillId="34" borderId="36" xfId="0" applyFont="1" applyFill="1" applyBorder="1" applyAlignment="1">
      <alignment horizontal="center" vertical="center" wrapText="1"/>
    </xf>
    <xf numFmtId="0" fontId="40" fillId="34" borderId="36" xfId="0" applyFont="1" applyFill="1" applyBorder="1" applyAlignment="1">
      <alignment horizontal="center"/>
    </xf>
    <xf numFmtId="165" fontId="40" fillId="0" borderId="36" xfId="0" applyNumberFormat="1" applyFont="1" applyFill="1" applyBorder="1" applyAlignment="1">
      <alignment horizontal="center" vertical="center" wrapText="1"/>
    </xf>
    <xf numFmtId="0" fontId="40" fillId="0" borderId="0" xfId="0" applyFont="1" applyFill="1" applyAlignment="1">
      <alignment vertical="center"/>
    </xf>
    <xf numFmtId="0" fontId="40" fillId="34" borderId="36" xfId="0" applyFont="1" applyFill="1" applyBorder="1" applyAlignment="1">
      <alignment horizontal="left"/>
    </xf>
    <xf numFmtId="0" fontId="40" fillId="34" borderId="36" xfId="0" applyNumberFormat="1" applyFont="1" applyFill="1" applyBorder="1" applyAlignment="1">
      <alignment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Alignment="1">
      <alignment vertical="center"/>
    </xf>
    <xf numFmtId="0" fontId="40" fillId="34" borderId="36" xfId="0" applyFont="1" applyFill="1" applyBorder="1" applyAlignment="1">
      <alignment horizontal="left" vertical="center"/>
    </xf>
    <xf numFmtId="0" fontId="40" fillId="33" borderId="0" xfId="0" applyFont="1" applyFill="1" applyBorder="1" applyAlignment="1" applyProtection="1">
      <alignment vertical="center"/>
    </xf>
    <xf numFmtId="0" fontId="49" fillId="33" borderId="0" xfId="134" applyFont="1" applyFill="1" applyBorder="1" applyAlignment="1" applyProtection="1">
      <alignment horizontal="center" vertical="center"/>
    </xf>
    <xf numFmtId="0" fontId="42" fillId="33" borderId="23" xfId="0" applyFont="1" applyFill="1" applyBorder="1" applyAlignment="1" applyProtection="1">
      <alignment horizontal="center" vertical="center"/>
    </xf>
    <xf numFmtId="5" fontId="43" fillId="33" borderId="0" xfId="0" applyNumberFormat="1" applyFont="1" applyFill="1" applyBorder="1" applyAlignment="1" applyProtection="1">
      <alignment horizontal="left" vertical="center"/>
    </xf>
    <xf numFmtId="0" fontId="42" fillId="33" borderId="0" xfId="0" applyFont="1" applyFill="1" applyBorder="1" applyAlignment="1" applyProtection="1">
      <alignment horizontal="center" vertical="center"/>
    </xf>
    <xf numFmtId="0" fontId="42" fillId="33" borderId="0" xfId="134" applyFont="1" applyFill="1" applyBorder="1" applyAlignment="1" applyProtection="1">
      <alignment horizontal="center" vertical="center"/>
    </xf>
    <xf numFmtId="0" fontId="43" fillId="33" borderId="23" xfId="0" applyFont="1" applyFill="1" applyBorder="1" applyAlignment="1" applyProtection="1">
      <alignment horizontal="left" vertical="center"/>
    </xf>
    <xf numFmtId="0" fontId="51" fillId="33" borderId="0" xfId="0" applyFont="1" applyFill="1" applyBorder="1" applyAlignment="1" applyProtection="1">
      <alignment horizontal="left" vertical="center"/>
    </xf>
    <xf numFmtId="0" fontId="40" fillId="33" borderId="0" xfId="0" applyFont="1" applyFill="1" applyBorder="1" applyAlignment="1" applyProtection="1">
      <alignment horizontal="left" vertical="center"/>
    </xf>
    <xf numFmtId="0" fontId="42" fillId="33" borderId="23" xfId="0" applyFont="1" applyFill="1" applyBorder="1" applyAlignment="1" applyProtection="1">
      <alignment horizontal="left" vertical="center"/>
    </xf>
    <xf numFmtId="5" fontId="43" fillId="0" borderId="0" xfId="0" applyNumberFormat="1" applyFont="1" applyFill="1" applyBorder="1" applyAlignment="1" applyProtection="1">
      <alignment horizontal="left" vertical="center"/>
    </xf>
    <xf numFmtId="0" fontId="40" fillId="0" borderId="0" xfId="0" applyFont="1" applyAlignment="1" applyProtection="1">
      <alignment vertical="center"/>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34" borderId="36" xfId="0" applyFont="1" applyFill="1" applyBorder="1" applyAlignment="1">
      <alignment horizontal="center" vertical="center" wrapText="1"/>
    </xf>
    <xf numFmtId="0" fontId="42" fillId="34" borderId="36" xfId="0" applyFont="1" applyFill="1" applyBorder="1" applyAlignment="1">
      <alignment horizontal="center" vertical="center"/>
    </xf>
    <xf numFmtId="0" fontId="52" fillId="25" borderId="36" xfId="0" applyFont="1" applyFill="1" applyBorder="1" applyAlignment="1">
      <alignment horizontal="center" vertical="center"/>
    </xf>
    <xf numFmtId="0" fontId="52" fillId="25" borderId="38" xfId="0" applyFont="1" applyFill="1" applyBorder="1" applyAlignment="1">
      <alignment horizontal="center" vertical="center"/>
    </xf>
    <xf numFmtId="0" fontId="43" fillId="0" borderId="0" xfId="0" applyFont="1" applyFill="1" applyBorder="1" applyAlignment="1">
      <alignment vertical="center" wrapText="1"/>
    </xf>
    <xf numFmtId="0" fontId="40" fillId="0" borderId="0" xfId="0" applyFont="1" applyFill="1" applyAlignment="1">
      <alignment vertical="center" wrapText="1"/>
    </xf>
    <xf numFmtId="0" fontId="42" fillId="0" borderId="37" xfId="0" applyFont="1" applyBorder="1" applyAlignment="1" applyProtection="1">
      <alignment horizontal="center" vertical="center"/>
      <protection locked="0"/>
    </xf>
    <xf numFmtId="0" fontId="42" fillId="0" borderId="39" xfId="0" applyFont="1" applyFill="1" applyBorder="1" applyAlignment="1" applyProtection="1">
      <alignment vertical="center"/>
      <protection locked="0"/>
    </xf>
    <xf numFmtId="0" fontId="40" fillId="0" borderId="0" xfId="0" applyFont="1" applyFill="1" applyBorder="1" applyAlignment="1">
      <alignment vertical="center"/>
    </xf>
    <xf numFmtId="0" fontId="40" fillId="0" borderId="36" xfId="0" applyFont="1" applyFill="1" applyBorder="1" applyAlignment="1">
      <alignment horizontal="center" vertical="center" wrapText="1"/>
    </xf>
    <xf numFmtId="0" fontId="40" fillId="0" borderId="36" xfId="0" applyFont="1" applyFill="1" applyBorder="1" applyAlignment="1">
      <alignment vertical="center"/>
    </xf>
    <xf numFmtId="0" fontId="42" fillId="0" borderId="38" xfId="0" applyFont="1" applyFill="1" applyBorder="1" applyAlignment="1" applyProtection="1">
      <alignment vertical="center"/>
      <protection locked="0"/>
    </xf>
    <xf numFmtId="0" fontId="42" fillId="0" borderId="40" xfId="0" applyFont="1" applyBorder="1" applyAlignment="1" applyProtection="1">
      <alignment horizontal="center" vertical="center"/>
      <protection locked="0"/>
    </xf>
    <xf numFmtId="0" fontId="42" fillId="0" borderId="41" xfId="0" applyFont="1" applyFill="1" applyBorder="1" applyAlignment="1" applyProtection="1">
      <alignment vertical="center"/>
      <protection locked="0"/>
    </xf>
    <xf numFmtId="0" fontId="40" fillId="33" borderId="0" xfId="0" applyFont="1" applyFill="1" applyBorder="1" applyAlignment="1">
      <alignment horizontal="left" vertical="center" wrapText="1"/>
    </xf>
    <xf numFmtId="0" fontId="40" fillId="33" borderId="0" xfId="0" applyFont="1" applyFill="1" applyBorder="1" applyAlignment="1">
      <alignment vertical="center" wrapText="1"/>
    </xf>
    <xf numFmtId="0" fontId="40" fillId="33" borderId="0" xfId="0" applyFont="1" applyFill="1" applyBorder="1" applyAlignment="1">
      <alignment wrapText="1"/>
    </xf>
    <xf numFmtId="0" fontId="40" fillId="33" borderId="36" xfId="0" applyFont="1" applyFill="1" applyBorder="1" applyAlignment="1">
      <alignment horizontal="right" vertical="center" wrapText="1"/>
    </xf>
    <xf numFmtId="0" fontId="53" fillId="33" borderId="0" xfId="0" applyFont="1" applyFill="1" applyAlignment="1"/>
    <xf numFmtId="0" fontId="42" fillId="33" borderId="27" xfId="0" applyFont="1" applyFill="1" applyBorder="1" applyAlignment="1">
      <alignment vertical="center"/>
    </xf>
    <xf numFmtId="0" fontId="40" fillId="33" borderId="27" xfId="0" applyFont="1" applyFill="1" applyBorder="1" applyAlignment="1">
      <alignment vertical="center"/>
    </xf>
    <xf numFmtId="0" fontId="40" fillId="33" borderId="27" xfId="0" applyFont="1" applyFill="1" applyBorder="1" applyAlignment="1" applyProtection="1">
      <alignment horizontal="left" vertical="center" wrapText="1"/>
    </xf>
    <xf numFmtId="0" fontId="49" fillId="0" borderId="0" xfId="134" applyFont="1" applyFill="1" applyBorder="1" applyAlignment="1" applyProtection="1">
      <alignment horizontal="left" vertical="center"/>
    </xf>
    <xf numFmtId="0" fontId="49" fillId="0" borderId="0" xfId="134" applyFont="1" applyFill="1" applyBorder="1" applyAlignment="1" applyProtection="1">
      <alignment vertical="center"/>
    </xf>
    <xf numFmtId="0" fontId="40" fillId="33" borderId="0" xfId="0" applyFont="1" applyFill="1" applyAlignment="1"/>
    <xf numFmtId="0" fontId="40" fillId="0" borderId="36" xfId="0" applyFont="1" applyFill="1" applyBorder="1" applyAlignment="1"/>
    <xf numFmtId="0" fontId="40" fillId="33" borderId="37" xfId="0" applyFont="1" applyFill="1" applyBorder="1" applyAlignment="1">
      <alignment horizontal="left" vertical="center" wrapText="1"/>
    </xf>
    <xf numFmtId="0" fontId="40" fillId="33" borderId="0" xfId="0" applyFont="1" applyFill="1" applyBorder="1" applyAlignment="1" applyProtection="1">
      <alignment horizontal="left" vertical="center" wrapText="1"/>
    </xf>
    <xf numFmtId="0" fontId="42" fillId="33" borderId="0" xfId="0" applyFont="1" applyFill="1" applyBorder="1" applyAlignment="1" applyProtection="1">
      <alignment horizontal="left" vertical="center" wrapText="1"/>
    </xf>
    <xf numFmtId="0" fontId="42" fillId="33" borderId="0" xfId="0" applyFont="1" applyFill="1" applyBorder="1" applyAlignment="1" applyProtection="1">
      <alignment vertical="center" wrapText="1"/>
    </xf>
    <xf numFmtId="0" fontId="42" fillId="33" borderId="23" xfId="0" applyFont="1" applyFill="1" applyBorder="1" applyAlignment="1" applyProtection="1">
      <alignment vertical="center" wrapText="1"/>
    </xf>
    <xf numFmtId="0" fontId="40" fillId="33" borderId="36" xfId="0" applyFont="1" applyFill="1" applyBorder="1" applyAlignment="1">
      <alignment vertical="center" wrapText="1"/>
    </xf>
    <xf numFmtId="0" fontId="40" fillId="33" borderId="36" xfId="0" applyFont="1" applyFill="1" applyBorder="1" applyAlignment="1">
      <alignment horizontal="left" vertical="center" wrapText="1"/>
    </xf>
    <xf numFmtId="0" fontId="52" fillId="33" borderId="0" xfId="0" applyFont="1" applyFill="1" applyBorder="1" applyAlignment="1">
      <alignment horizontal="center" vertical="center"/>
    </xf>
    <xf numFmtId="0" fontId="52" fillId="33" borderId="23" xfId="0" applyFont="1" applyFill="1" applyBorder="1" applyAlignment="1">
      <alignment horizontal="center" vertical="center"/>
    </xf>
    <xf numFmtId="0" fontId="49" fillId="33" borderId="0" xfId="134" applyFont="1" applyFill="1" applyAlignment="1" applyProtection="1">
      <alignment vertical="center"/>
    </xf>
    <xf numFmtId="0" fontId="52" fillId="33" borderId="27" xfId="0" applyFont="1" applyFill="1" applyBorder="1" applyAlignment="1">
      <alignment horizontal="center" vertical="center"/>
    </xf>
    <xf numFmtId="0" fontId="52" fillId="33" borderId="28" xfId="0" applyFont="1" applyFill="1" applyBorder="1" applyAlignment="1">
      <alignment horizontal="center" vertical="center"/>
    </xf>
    <xf numFmtId="0" fontId="54" fillId="33" borderId="0" xfId="0" applyFont="1" applyFill="1" applyAlignment="1"/>
    <xf numFmtId="0" fontId="42" fillId="40" borderId="0" xfId="0" applyFont="1" applyFill="1" applyAlignment="1" applyProtection="1">
      <alignment vertical="center"/>
    </xf>
    <xf numFmtId="0" fontId="55" fillId="40" borderId="0" xfId="0" applyFont="1" applyFill="1" applyAlignment="1" applyProtection="1">
      <alignment wrapText="1"/>
    </xf>
    <xf numFmtId="0" fontId="50" fillId="40" borderId="0" xfId="0" applyFont="1" applyFill="1" applyAlignment="1" applyProtection="1">
      <alignment wrapText="1"/>
    </xf>
    <xf numFmtId="0" fontId="40" fillId="40" borderId="0" xfId="0" applyFont="1" applyFill="1" applyBorder="1" applyProtection="1"/>
    <xf numFmtId="0" fontId="56" fillId="40" borderId="0" xfId="0" applyFont="1" applyFill="1" applyBorder="1" applyAlignment="1" applyProtection="1">
      <alignment horizontal="center" vertical="center"/>
    </xf>
    <xf numFmtId="0" fontId="40" fillId="40" borderId="32" xfId="0" applyFont="1" applyFill="1" applyBorder="1" applyAlignment="1" applyProtection="1"/>
    <xf numFmtId="0" fontId="40" fillId="40" borderId="0" xfId="0" applyFont="1" applyFill="1" applyAlignment="1" applyProtection="1"/>
    <xf numFmtId="0" fontId="40" fillId="40" borderId="42" xfId="0" applyFont="1" applyFill="1" applyBorder="1" applyAlignment="1" applyProtection="1"/>
    <xf numFmtId="0" fontId="40" fillId="40" borderId="18" xfId="0" applyFont="1" applyFill="1" applyBorder="1" applyAlignment="1" applyProtection="1"/>
    <xf numFmtId="0" fontId="40" fillId="41" borderId="36" xfId="0" applyFont="1" applyFill="1" applyBorder="1" applyProtection="1"/>
    <xf numFmtId="0" fontId="40" fillId="40" borderId="18" xfId="0" applyFont="1" applyFill="1" applyBorder="1" applyProtection="1"/>
    <xf numFmtId="0" fontId="52" fillId="42" borderId="36" xfId="0" applyFont="1" applyFill="1" applyBorder="1" applyAlignment="1" applyProtection="1">
      <alignment horizontal="center" vertical="center" wrapText="1"/>
    </xf>
    <xf numFmtId="0" fontId="52" fillId="43" borderId="13" xfId="0" applyFont="1" applyFill="1" applyBorder="1" applyAlignment="1" applyProtection="1">
      <alignment vertical="center" wrapText="1"/>
    </xf>
    <xf numFmtId="0" fontId="52" fillId="43" borderId="13" xfId="0" applyFont="1" applyFill="1" applyBorder="1" applyAlignment="1" applyProtection="1">
      <alignment vertical="center"/>
    </xf>
    <xf numFmtId="0" fontId="52" fillId="43" borderId="25" xfId="0" applyFont="1" applyFill="1" applyBorder="1" applyAlignment="1" applyProtection="1">
      <alignment vertical="center"/>
    </xf>
    <xf numFmtId="0" fontId="40" fillId="44" borderId="37" xfId="0" applyFont="1" applyFill="1" applyBorder="1" applyProtection="1"/>
    <xf numFmtId="0" fontId="42" fillId="0" borderId="36" xfId="0" applyFont="1" applyBorder="1" applyAlignment="1" applyProtection="1">
      <alignment horizontal="center" vertical="center"/>
      <protection locked="0"/>
    </xf>
    <xf numFmtId="0" fontId="42" fillId="0" borderId="39" xfId="0" applyFont="1" applyFill="1" applyBorder="1" applyAlignment="1" applyProtection="1">
      <alignment horizontal="center" vertical="center"/>
      <protection locked="0"/>
    </xf>
    <xf numFmtId="0" fontId="40" fillId="44" borderId="36" xfId="0" applyFont="1" applyFill="1" applyBorder="1" applyProtection="1"/>
    <xf numFmtId="170" fontId="42" fillId="0" borderId="36" xfId="0" applyNumberFormat="1" applyFont="1" applyBorder="1" applyAlignment="1" applyProtection="1">
      <alignment horizontal="center" vertical="center" wrapText="1"/>
      <protection locked="0"/>
    </xf>
    <xf numFmtId="0" fontId="40" fillId="44" borderId="36" xfId="0" applyNumberFormat="1" applyFont="1" applyFill="1" applyBorder="1" applyProtection="1"/>
    <xf numFmtId="0" fontId="40" fillId="44" borderId="43" xfId="0" applyNumberFormat="1" applyFont="1" applyFill="1" applyBorder="1" applyProtection="1"/>
    <xf numFmtId="0" fontId="57" fillId="45" borderId="36" xfId="0" applyFont="1" applyFill="1" applyBorder="1" applyAlignment="1" applyProtection="1">
      <alignment horizontal="center" vertical="center" wrapText="1"/>
    </xf>
    <xf numFmtId="0" fontId="40" fillId="46" borderId="36" xfId="0" applyFont="1" applyFill="1" applyBorder="1" applyProtection="1"/>
    <xf numFmtId="0" fontId="40" fillId="46" borderId="10" xfId="0" applyFont="1" applyFill="1" applyBorder="1" applyProtection="1"/>
    <xf numFmtId="0" fontId="40" fillId="46" borderId="43" xfId="0" applyFont="1" applyFill="1" applyBorder="1" applyProtection="1"/>
    <xf numFmtId="0" fontId="42" fillId="40" borderId="36" xfId="0" applyFont="1" applyFill="1" applyBorder="1" applyAlignment="1" applyProtection="1">
      <alignment horizontal="center" vertical="center" wrapText="1"/>
      <protection locked="0"/>
    </xf>
    <xf numFmtId="0" fontId="40" fillId="41" borderId="11" xfId="0" applyFont="1" applyFill="1" applyBorder="1" applyProtection="1"/>
    <xf numFmtId="0" fontId="40" fillId="46" borderId="43" xfId="0" applyNumberFormat="1" applyFont="1" applyFill="1" applyBorder="1" applyProtection="1"/>
    <xf numFmtId="0" fontId="40" fillId="46" borderId="12" xfId="0" applyNumberFormat="1" applyFont="1" applyFill="1" applyBorder="1" applyProtection="1"/>
    <xf numFmtId="0" fontId="40" fillId="46" borderId="37" xfId="0" applyFont="1" applyFill="1" applyBorder="1" applyProtection="1"/>
    <xf numFmtId="0" fontId="52" fillId="42" borderId="36" xfId="0" applyFont="1" applyFill="1" applyBorder="1" applyAlignment="1" applyProtection="1">
      <alignment horizontal="center" vertical="center"/>
    </xf>
    <xf numFmtId="0" fontId="52" fillId="42" borderId="10" xfId="0" applyFont="1" applyFill="1" applyBorder="1" applyAlignment="1" applyProtection="1">
      <alignment horizontal="center" vertical="center" wrapText="1"/>
    </xf>
    <xf numFmtId="0" fontId="52" fillId="42" borderId="38" xfId="0" applyFont="1" applyFill="1" applyBorder="1" applyAlignment="1" applyProtection="1">
      <alignment horizontal="center" vertical="center" wrapText="1"/>
    </xf>
    <xf numFmtId="0" fontId="40" fillId="47" borderId="36" xfId="0" applyFont="1" applyFill="1" applyBorder="1" applyProtection="1"/>
    <xf numFmtId="0" fontId="42" fillId="0" borderId="38"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170" fontId="42" fillId="0" borderId="44" xfId="0" applyNumberFormat="1" applyFont="1" applyBorder="1" applyAlignment="1" applyProtection="1">
      <alignment horizontal="center" vertical="center" wrapText="1"/>
      <protection locked="0"/>
    </xf>
    <xf numFmtId="170" fontId="42" fillId="0" borderId="44" xfId="0" applyNumberFormat="1" applyFont="1" applyBorder="1" applyAlignment="1" applyProtection="1">
      <alignment horizontal="center" vertical="center"/>
      <protection locked="0"/>
    </xf>
    <xf numFmtId="170" fontId="42" fillId="0" borderId="45" xfId="0" applyNumberFormat="1" applyFont="1" applyFill="1" applyBorder="1" applyAlignment="1" applyProtection="1">
      <alignment horizontal="center" vertical="center"/>
      <protection locked="0"/>
    </xf>
    <xf numFmtId="170" fontId="42" fillId="0" borderId="41" xfId="0" applyNumberFormat="1" applyFont="1" applyFill="1" applyBorder="1" applyAlignment="1" applyProtection="1">
      <alignment horizontal="center" vertical="center"/>
      <protection locked="0"/>
    </xf>
    <xf numFmtId="0" fontId="40" fillId="47" borderId="36" xfId="0" applyNumberFormat="1" applyFont="1" applyFill="1" applyBorder="1" applyProtection="1"/>
    <xf numFmtId="0" fontId="40" fillId="40" borderId="34" xfId="0" applyFont="1" applyFill="1" applyBorder="1" applyProtection="1"/>
    <xf numFmtId="0" fontId="40" fillId="40" borderId="27" xfId="0" applyFont="1" applyFill="1" applyBorder="1" applyProtection="1"/>
    <xf numFmtId="0" fontId="40" fillId="33" borderId="0" xfId="0" applyFont="1" applyFill="1" applyAlignment="1" applyProtection="1">
      <alignment vertical="center"/>
    </xf>
    <xf numFmtId="0" fontId="40" fillId="25" borderId="30" xfId="0" applyFont="1" applyFill="1" applyBorder="1" applyAlignment="1" applyProtection="1">
      <alignment vertical="center" wrapText="1"/>
    </xf>
    <xf numFmtId="0" fontId="52" fillId="25" borderId="30" xfId="0" applyFont="1" applyFill="1" applyBorder="1" applyAlignment="1" applyProtection="1">
      <alignment horizontal="center" vertical="center"/>
    </xf>
    <xf numFmtId="0" fontId="40" fillId="25" borderId="46" xfId="0" applyFont="1" applyFill="1" applyBorder="1" applyAlignment="1" applyProtection="1">
      <alignment vertical="center"/>
    </xf>
    <xf numFmtId="0" fontId="40" fillId="33" borderId="46" xfId="0" applyFont="1" applyFill="1" applyBorder="1" applyAlignment="1" applyProtection="1">
      <alignment vertical="center"/>
    </xf>
    <xf numFmtId="0" fontId="40" fillId="35" borderId="11" xfId="0" applyFont="1" applyFill="1" applyBorder="1" applyAlignment="1" applyProtection="1">
      <alignment horizontal="center" vertical="center"/>
    </xf>
    <xf numFmtId="0" fontId="40" fillId="35" borderId="19" xfId="0" applyFont="1" applyFill="1" applyBorder="1" applyAlignment="1" applyProtection="1">
      <alignment horizontal="center" vertical="center"/>
    </xf>
    <xf numFmtId="0" fontId="40" fillId="33" borderId="46" xfId="0" applyFont="1" applyFill="1" applyBorder="1" applyAlignment="1" applyProtection="1">
      <alignment vertical="center" wrapText="1"/>
    </xf>
    <xf numFmtId="3" fontId="40" fillId="33" borderId="36" xfId="0" applyNumberFormat="1" applyFont="1" applyFill="1" applyBorder="1" applyAlignment="1" applyProtection="1">
      <alignment horizontal="right" vertical="center"/>
      <protection locked="0"/>
    </xf>
    <xf numFmtId="0" fontId="42" fillId="33" borderId="47" xfId="0" applyFont="1" applyFill="1" applyBorder="1" applyAlignment="1" applyProtection="1">
      <alignment vertical="center" wrapText="1"/>
    </xf>
    <xf numFmtId="0" fontId="40" fillId="35" borderId="14" xfId="0" applyFont="1" applyFill="1" applyBorder="1" applyAlignment="1" applyProtection="1">
      <alignment horizontal="center" vertical="center"/>
    </xf>
    <xf numFmtId="0" fontId="40" fillId="35" borderId="13" xfId="0" applyFont="1" applyFill="1" applyBorder="1" applyAlignment="1" applyProtection="1">
      <alignment horizontal="center" vertical="center"/>
    </xf>
    <xf numFmtId="0" fontId="40" fillId="33" borderId="0" xfId="0" applyFont="1" applyFill="1" applyAlignment="1" applyProtection="1">
      <alignment vertical="center" wrapText="1"/>
    </xf>
    <xf numFmtId="0" fontId="58" fillId="40" borderId="48" xfId="0" applyFont="1" applyFill="1" applyBorder="1" applyAlignment="1" applyProtection="1">
      <alignment vertical="center" wrapText="1"/>
    </xf>
    <xf numFmtId="0" fontId="40" fillId="33" borderId="49" xfId="0" applyFont="1" applyFill="1" applyBorder="1" applyAlignment="1" applyProtection="1">
      <alignment horizontal="center" vertical="center"/>
    </xf>
    <xf numFmtId="0" fontId="42" fillId="33" borderId="49" xfId="0" applyFont="1" applyFill="1" applyBorder="1" applyAlignment="1" applyProtection="1">
      <alignment vertical="center" wrapText="1"/>
    </xf>
    <xf numFmtId="0" fontId="40" fillId="33" borderId="49" xfId="0" applyFont="1" applyFill="1" applyBorder="1" applyAlignment="1" applyProtection="1">
      <alignment vertical="center" wrapText="1"/>
    </xf>
    <xf numFmtId="0" fontId="40" fillId="33" borderId="0" xfId="0" applyFont="1" applyFill="1" applyBorder="1" applyAlignment="1" applyProtection="1">
      <alignment vertical="center" wrapText="1"/>
    </xf>
    <xf numFmtId="0" fontId="52" fillId="25" borderId="50" xfId="0" applyFont="1" applyFill="1" applyBorder="1" applyAlignment="1" applyProtection="1">
      <alignment vertical="center" wrapText="1"/>
    </xf>
    <xf numFmtId="0" fontId="40" fillId="0" borderId="51" xfId="0" applyFont="1" applyFill="1" applyBorder="1" applyAlignment="1" applyProtection="1">
      <alignment vertical="center" wrapText="1"/>
    </xf>
    <xf numFmtId="0" fontId="40" fillId="35" borderId="52" xfId="0" applyFont="1" applyFill="1" applyBorder="1" applyAlignment="1" applyProtection="1">
      <alignment horizontal="center" vertical="center" wrapText="1"/>
    </xf>
    <xf numFmtId="0" fontId="40" fillId="35" borderId="53" xfId="0" applyFont="1" applyFill="1" applyBorder="1" applyAlignment="1" applyProtection="1">
      <alignment horizontal="center" vertical="center" wrapText="1"/>
    </xf>
    <xf numFmtId="0" fontId="42" fillId="33" borderId="48" xfId="0" applyFont="1" applyFill="1" applyBorder="1" applyAlignment="1" applyProtection="1">
      <alignment vertical="center" wrapText="1"/>
    </xf>
    <xf numFmtId="0" fontId="59" fillId="25" borderId="46" xfId="0" applyFont="1" applyFill="1" applyBorder="1" applyAlignment="1" applyProtection="1">
      <alignment vertical="center" wrapText="1"/>
    </xf>
    <xf numFmtId="0" fontId="52" fillId="35" borderId="54" xfId="0" applyFont="1" applyFill="1" applyBorder="1" applyAlignment="1" applyProtection="1">
      <alignment horizontal="center" vertical="center"/>
    </xf>
    <xf numFmtId="0" fontId="52" fillId="35" borderId="38" xfId="0" applyFont="1" applyFill="1" applyBorder="1" applyAlignment="1" applyProtection="1">
      <alignment horizontal="center" vertical="center"/>
    </xf>
    <xf numFmtId="0" fontId="40" fillId="0" borderId="38" xfId="0" applyFont="1" applyBorder="1" applyAlignment="1" applyProtection="1">
      <alignment horizontal="center" vertical="center"/>
      <protection locked="0"/>
    </xf>
    <xf numFmtId="0" fontId="40" fillId="33" borderId="32" xfId="0" applyFont="1" applyFill="1" applyBorder="1" applyAlignment="1" applyProtection="1">
      <alignment horizontal="right" vertical="center"/>
    </xf>
    <xf numFmtId="0" fontId="52" fillId="35" borderId="11" xfId="0" applyFont="1" applyFill="1" applyBorder="1" applyAlignment="1" applyProtection="1">
      <alignment horizontal="center" vertical="center"/>
    </xf>
    <xf numFmtId="0" fontId="52" fillId="35" borderId="19" xfId="0" applyFont="1" applyFill="1" applyBorder="1" applyAlignment="1" applyProtection="1">
      <alignment horizontal="center" vertical="center"/>
    </xf>
    <xf numFmtId="0" fontId="40" fillId="33" borderId="44" xfId="0" applyFont="1" applyFill="1" applyBorder="1" applyAlignment="1" applyProtection="1">
      <alignment horizontal="center" vertical="center"/>
      <protection locked="0"/>
    </xf>
    <xf numFmtId="0" fontId="40" fillId="33" borderId="41" xfId="0" applyFont="1" applyFill="1" applyBorder="1" applyAlignment="1" applyProtection="1">
      <alignment horizontal="center" vertical="center"/>
      <protection locked="0"/>
    </xf>
    <xf numFmtId="0" fontId="40" fillId="33" borderId="45" xfId="0" applyFont="1" applyFill="1" applyBorder="1" applyAlignment="1" applyProtection="1">
      <alignment horizontal="center" vertical="center"/>
      <protection locked="0"/>
    </xf>
    <xf numFmtId="0" fontId="40" fillId="33" borderId="0" xfId="0" applyFont="1" applyFill="1" applyBorder="1" applyAlignment="1" applyProtection="1">
      <alignment horizontal="right" vertical="center"/>
    </xf>
    <xf numFmtId="0" fontId="40" fillId="25" borderId="55" xfId="0" applyFont="1" applyFill="1" applyBorder="1" applyAlignment="1" applyProtection="1">
      <alignment vertical="center" wrapText="1"/>
    </xf>
    <xf numFmtId="0" fontId="52" fillId="25" borderId="55" xfId="0" applyFont="1" applyFill="1" applyBorder="1" applyAlignment="1" applyProtection="1">
      <alignment horizontal="center" vertical="center"/>
    </xf>
    <xf numFmtId="0" fontId="40" fillId="25" borderId="47" xfId="0" applyFont="1" applyFill="1" applyBorder="1" applyAlignment="1" applyProtection="1">
      <alignment vertical="center"/>
    </xf>
    <xf numFmtId="0" fontId="42" fillId="33" borderId="51" xfId="0" applyFont="1" applyFill="1" applyBorder="1" applyAlignment="1" applyProtection="1">
      <alignment vertical="center" wrapText="1"/>
    </xf>
    <xf numFmtId="0" fontId="40" fillId="35" borderId="53" xfId="0" applyFont="1" applyFill="1" applyBorder="1" applyAlignment="1" applyProtection="1">
      <alignment horizontal="center" vertical="center"/>
    </xf>
    <xf numFmtId="0" fontId="40" fillId="33" borderId="0" xfId="0" applyFont="1" applyFill="1" applyAlignment="1" applyProtection="1">
      <alignment wrapText="1"/>
    </xf>
    <xf numFmtId="0" fontId="40" fillId="33" borderId="0" xfId="0" applyFont="1" applyFill="1" applyAlignment="1" applyProtection="1"/>
    <xf numFmtId="0" fontId="58" fillId="33" borderId="0" xfId="0" applyFont="1" applyFill="1" applyBorder="1" applyAlignment="1" applyProtection="1">
      <alignment vertical="center" wrapText="1"/>
    </xf>
    <xf numFmtId="0" fontId="40" fillId="33" borderId="0" xfId="0" applyFont="1" applyFill="1" applyBorder="1" applyAlignment="1" applyProtection="1">
      <alignment horizontal="center" vertical="center"/>
    </xf>
    <xf numFmtId="0" fontId="52" fillId="25" borderId="47" xfId="0" applyFont="1" applyFill="1" applyBorder="1" applyAlignment="1" applyProtection="1">
      <alignment vertical="center" wrapText="1"/>
    </xf>
    <xf numFmtId="0" fontId="40" fillId="33" borderId="19" xfId="0" applyFont="1" applyFill="1" applyBorder="1" applyAlignment="1" applyProtection="1">
      <alignment horizontal="right" vertical="center"/>
    </xf>
    <xf numFmtId="0" fontId="52" fillId="35" borderId="56" xfId="0" applyFont="1" applyFill="1" applyBorder="1" applyAlignment="1" applyProtection="1">
      <alignment horizontal="center" vertical="center"/>
    </xf>
    <xf numFmtId="0" fontId="40" fillId="48" borderId="11" xfId="0" applyFont="1" applyFill="1" applyBorder="1" applyAlignment="1" applyProtection="1">
      <alignment horizontal="center" vertical="center"/>
    </xf>
    <xf numFmtId="0" fontId="40" fillId="48" borderId="53" xfId="0" applyFont="1" applyFill="1" applyBorder="1" applyAlignment="1" applyProtection="1">
      <alignment horizontal="center" vertical="center"/>
    </xf>
    <xf numFmtId="0" fontId="40" fillId="48" borderId="44" xfId="0" applyFont="1" applyFill="1" applyBorder="1" applyAlignment="1" applyProtection="1">
      <alignment horizontal="center" vertical="center"/>
    </xf>
    <xf numFmtId="0" fontId="58" fillId="33" borderId="48" xfId="0" applyFont="1" applyFill="1" applyBorder="1" applyAlignment="1" applyProtection="1">
      <alignment vertical="center" wrapText="1"/>
    </xf>
    <xf numFmtId="0" fontId="52" fillId="25" borderId="57" xfId="0" applyFont="1" applyFill="1" applyBorder="1" applyAlignment="1" applyProtection="1">
      <alignment vertical="center" wrapText="1"/>
    </xf>
    <xf numFmtId="0" fontId="40" fillId="48" borderId="53" xfId="0" applyFont="1" applyFill="1" applyBorder="1" applyAlignment="1" applyProtection="1">
      <alignment horizontal="center" vertical="center" wrapText="1"/>
    </xf>
    <xf numFmtId="0" fontId="42" fillId="33" borderId="34" xfId="0" applyFont="1" applyFill="1" applyBorder="1" applyAlignment="1" applyProtection="1">
      <alignment vertical="center" wrapText="1"/>
    </xf>
    <xf numFmtId="0" fontId="59" fillId="25" borderId="32" xfId="0" applyFont="1" applyFill="1" applyBorder="1" applyAlignment="1" applyProtection="1">
      <alignment vertical="center" wrapText="1"/>
    </xf>
    <xf numFmtId="0" fontId="40" fillId="33" borderId="12" xfId="0" applyFont="1" applyFill="1" applyBorder="1" applyAlignment="1" applyProtection="1">
      <alignment horizontal="right" vertical="center"/>
    </xf>
    <xf numFmtId="0" fontId="40" fillId="33" borderId="17" xfId="0" applyFont="1" applyFill="1" applyBorder="1" applyAlignment="1" applyProtection="1">
      <alignment horizontal="right" vertical="center"/>
    </xf>
    <xf numFmtId="0" fontId="52" fillId="25" borderId="0" xfId="0" applyFont="1" applyFill="1" applyBorder="1" applyAlignment="1" applyProtection="1">
      <alignment horizontal="left" vertical="center" wrapText="1"/>
    </xf>
    <xf numFmtId="0" fontId="40" fillId="25" borderId="0" xfId="0" applyFont="1" applyFill="1" applyBorder="1" applyAlignment="1" applyProtection="1">
      <alignment horizontal="left" vertical="center"/>
    </xf>
    <xf numFmtId="0" fontId="40" fillId="25" borderId="23" xfId="0" applyFont="1" applyFill="1" applyBorder="1" applyAlignment="1" applyProtection="1">
      <alignment horizontal="left" vertical="center"/>
    </xf>
    <xf numFmtId="0" fontId="52" fillId="25" borderId="52" xfId="0" applyFont="1" applyFill="1" applyBorder="1" applyAlignment="1" applyProtection="1">
      <alignment horizontal="center" textRotation="180"/>
    </xf>
    <xf numFmtId="0" fontId="52" fillId="25" borderId="44" xfId="0" applyFont="1" applyFill="1" applyBorder="1" applyAlignment="1" applyProtection="1">
      <alignment horizontal="center" textRotation="180"/>
    </xf>
    <xf numFmtId="0" fontId="52" fillId="25" borderId="41" xfId="0" applyFont="1" applyFill="1" applyBorder="1" applyAlignment="1" applyProtection="1">
      <alignment horizontal="center" textRotation="180"/>
    </xf>
    <xf numFmtId="0" fontId="52" fillId="26" borderId="52" xfId="0" applyFont="1" applyFill="1" applyBorder="1" applyAlignment="1" applyProtection="1">
      <alignment horizontal="center" textRotation="180"/>
    </xf>
    <xf numFmtId="0" fontId="52" fillId="26" borderId="44" xfId="0" applyFont="1" applyFill="1" applyBorder="1" applyAlignment="1" applyProtection="1">
      <alignment horizontal="center" textRotation="180"/>
    </xf>
    <xf numFmtId="0" fontId="52" fillId="26" borderId="44" xfId="0" applyFont="1" applyFill="1" applyBorder="1" applyAlignment="1" applyProtection="1">
      <alignment horizontal="center" textRotation="180" wrapText="1"/>
    </xf>
    <xf numFmtId="0" fontId="52" fillId="26" borderId="45" xfId="0" applyFont="1" applyFill="1" applyBorder="1" applyAlignment="1" applyProtection="1">
      <alignment horizontal="center" textRotation="180"/>
    </xf>
    <xf numFmtId="0" fontId="52" fillId="27" borderId="36" xfId="134" applyFont="1" applyFill="1" applyBorder="1" applyAlignment="1" applyProtection="1">
      <alignment horizontal="center" wrapText="1"/>
    </xf>
    <xf numFmtId="0" fontId="52" fillId="25" borderId="18" xfId="0" applyFont="1" applyFill="1" applyBorder="1" applyAlignment="1" applyProtection="1">
      <alignment horizontal="center" wrapText="1"/>
    </xf>
    <xf numFmtId="0" fontId="52" fillId="25" borderId="0" xfId="0" applyFont="1" applyFill="1" applyBorder="1" applyAlignment="1" applyProtection="1">
      <alignment horizontal="center" wrapText="1"/>
    </xf>
    <xf numFmtId="0" fontId="60" fillId="25" borderId="0" xfId="134" applyFont="1" applyFill="1" applyBorder="1" applyAlignment="1" applyProtection="1">
      <alignment horizontal="center" wrapText="1"/>
    </xf>
    <xf numFmtId="0" fontId="52" fillId="25" borderId="0" xfId="0" applyFont="1" applyFill="1" applyBorder="1" applyAlignment="1" applyProtection="1">
      <alignment horizontal="center"/>
    </xf>
    <xf numFmtId="0" fontId="52" fillId="25" borderId="23" xfId="0" applyFont="1" applyFill="1" applyBorder="1" applyAlignment="1" applyProtection="1">
      <alignment horizontal="center" wrapText="1"/>
    </xf>
    <xf numFmtId="0" fontId="40" fillId="33" borderId="0" xfId="0" applyFont="1" applyFill="1" applyBorder="1" applyAlignment="1" applyProtection="1"/>
    <xf numFmtId="0" fontId="40" fillId="33" borderId="0" xfId="0" applyFont="1" applyFill="1" applyBorder="1" applyAlignment="1" applyProtection="1">
      <alignment horizontal="center"/>
    </xf>
    <xf numFmtId="0" fontId="40" fillId="33" borderId="0" xfId="0" applyFont="1" applyFill="1" applyBorder="1" applyProtection="1"/>
    <xf numFmtId="0" fontId="40" fillId="33" borderId="58" xfId="0" applyFont="1" applyFill="1" applyBorder="1" applyProtection="1">
      <protection locked="0"/>
    </xf>
    <xf numFmtId="0" fontId="40" fillId="33" borderId="37" xfId="0" applyFont="1" applyFill="1" applyBorder="1" applyProtection="1">
      <protection locked="0"/>
    </xf>
    <xf numFmtId="0" fontId="40" fillId="33" borderId="36" xfId="0" applyFont="1" applyFill="1" applyBorder="1" applyProtection="1">
      <protection locked="0"/>
    </xf>
    <xf numFmtId="0" fontId="40" fillId="33" borderId="36" xfId="0" applyFont="1" applyFill="1" applyBorder="1" applyAlignment="1" applyProtection="1">
      <alignment horizontal="left"/>
      <protection locked="0"/>
    </xf>
    <xf numFmtId="0" fontId="40" fillId="33" borderId="38" xfId="0" applyFont="1" applyFill="1" applyBorder="1" applyProtection="1">
      <protection locked="0"/>
    </xf>
    <xf numFmtId="0" fontId="40" fillId="33" borderId="59" xfId="0" applyFont="1" applyFill="1" applyBorder="1" applyProtection="1">
      <protection locked="0"/>
    </xf>
    <xf numFmtId="0" fontId="40" fillId="33" borderId="52" xfId="0" applyFont="1" applyFill="1" applyBorder="1" applyProtection="1">
      <protection locked="0"/>
    </xf>
    <xf numFmtId="0" fontId="40" fillId="33" borderId="44" xfId="0" applyFont="1" applyFill="1" applyBorder="1" applyProtection="1">
      <protection locked="0"/>
    </xf>
    <xf numFmtId="0" fontId="40" fillId="33" borderId="44" xfId="0" applyFont="1" applyFill="1" applyBorder="1" applyAlignment="1" applyProtection="1">
      <alignment horizontal="left"/>
      <protection locked="0"/>
    </xf>
    <xf numFmtId="0" fontId="40" fillId="33" borderId="41" xfId="0" applyFont="1" applyFill="1" applyBorder="1" applyProtection="1">
      <protection locked="0"/>
    </xf>
    <xf numFmtId="0" fontId="40" fillId="33" borderId="0" xfId="0" applyFont="1" applyFill="1" applyAlignment="1" applyProtection="1">
      <alignment horizontal="center"/>
    </xf>
    <xf numFmtId="0" fontId="40" fillId="31" borderId="0" xfId="0" applyFont="1" applyFill="1" applyProtection="1"/>
    <xf numFmtId="0" fontId="42" fillId="31" borderId="0" xfId="0" applyFont="1" applyFill="1" applyProtection="1"/>
    <xf numFmtId="0" fontId="52" fillId="25" borderId="24" xfId="0" applyFont="1" applyFill="1" applyBorder="1" applyAlignment="1" applyProtection="1">
      <alignment horizontal="center" textRotation="180"/>
    </xf>
    <xf numFmtId="0" fontId="52" fillId="25" borderId="43" xfId="0" applyFont="1" applyFill="1" applyBorder="1" applyAlignment="1" applyProtection="1">
      <alignment horizontal="center" textRotation="180"/>
    </xf>
    <xf numFmtId="0" fontId="52" fillId="25" borderId="43" xfId="0" applyFont="1" applyFill="1" applyBorder="1" applyAlignment="1" applyProtection="1">
      <alignment horizontal="center" textRotation="180" wrapText="1"/>
    </xf>
    <xf numFmtId="0" fontId="40" fillId="33" borderId="59" xfId="0" applyFont="1" applyFill="1" applyBorder="1" applyAlignment="1" applyProtection="1">
      <alignment horizontal="center"/>
      <protection locked="0"/>
    </xf>
    <xf numFmtId="0" fontId="40" fillId="33" borderId="36" xfId="0" applyFont="1" applyFill="1" applyBorder="1" applyAlignment="1" applyProtection="1">
      <alignment horizontal="center"/>
      <protection locked="0"/>
    </xf>
    <xf numFmtId="0" fontId="40" fillId="33" borderId="36" xfId="0" applyFont="1" applyFill="1" applyBorder="1" applyAlignment="1" applyProtection="1">
      <alignment horizontal="right"/>
      <protection locked="0"/>
    </xf>
    <xf numFmtId="0" fontId="40" fillId="33" borderId="38" xfId="0" applyFont="1" applyFill="1" applyBorder="1" applyAlignment="1" applyProtection="1">
      <alignment horizontal="right"/>
      <protection locked="0"/>
    </xf>
    <xf numFmtId="0" fontId="40" fillId="33" borderId="52" xfId="0" applyFont="1" applyFill="1" applyBorder="1" applyAlignment="1" applyProtection="1">
      <alignment horizontal="center"/>
      <protection locked="0"/>
    </xf>
    <xf numFmtId="0" fontId="40" fillId="33" borderId="44" xfId="0" applyFont="1" applyFill="1" applyBorder="1" applyAlignment="1" applyProtection="1">
      <alignment horizontal="center"/>
      <protection locked="0"/>
    </xf>
    <xf numFmtId="0" fontId="40" fillId="33" borderId="44" xfId="0" applyFont="1" applyFill="1" applyBorder="1" applyAlignment="1" applyProtection="1">
      <alignment horizontal="right"/>
      <protection locked="0"/>
    </xf>
    <xf numFmtId="0" fontId="40" fillId="33" borderId="41" xfId="0" applyFont="1" applyFill="1" applyBorder="1" applyAlignment="1" applyProtection="1">
      <alignment horizontal="right"/>
      <protection locked="0"/>
    </xf>
    <xf numFmtId="0" fontId="50" fillId="33" borderId="0" xfId="0" applyFont="1" applyFill="1" applyProtection="1"/>
    <xf numFmtId="0" fontId="40" fillId="33" borderId="0" xfId="0" applyFont="1" applyFill="1" applyAlignment="1" applyProtection="1">
      <alignment horizontal="left" wrapText="1"/>
    </xf>
    <xf numFmtId="0" fontId="52" fillId="25" borderId="21" xfId="0" applyFont="1" applyFill="1" applyBorder="1" applyAlignment="1" applyProtection="1">
      <alignment horizontal="center" vertical="center" wrapText="1"/>
    </xf>
    <xf numFmtId="0" fontId="61" fillId="33" borderId="0" xfId="0" applyFont="1" applyFill="1" applyBorder="1" applyAlignment="1" applyProtection="1"/>
    <xf numFmtId="0" fontId="52" fillId="25" borderId="42" xfId="0" applyFont="1" applyFill="1" applyBorder="1" applyProtection="1"/>
    <xf numFmtId="0" fontId="52" fillId="25" borderId="18" xfId="0" applyFont="1" applyFill="1" applyBorder="1" applyAlignment="1" applyProtection="1">
      <alignment horizontal="center"/>
    </xf>
    <xf numFmtId="0" fontId="52" fillId="25" borderId="18" xfId="0" applyFont="1" applyFill="1" applyBorder="1" applyProtection="1"/>
    <xf numFmtId="0" fontId="60" fillId="25" borderId="56" xfId="134" applyFont="1" applyFill="1" applyBorder="1" applyAlignment="1" applyProtection="1">
      <alignment horizontal="center" wrapText="1"/>
    </xf>
    <xf numFmtId="0" fontId="40" fillId="31" borderId="0" xfId="134" applyFont="1" applyFill="1" applyBorder="1" applyAlignment="1" applyProtection="1"/>
    <xf numFmtId="0" fontId="40" fillId="31" borderId="0" xfId="0" applyFont="1" applyFill="1" applyBorder="1" applyProtection="1"/>
    <xf numFmtId="0" fontId="40" fillId="33" borderId="59" xfId="0" applyFont="1" applyFill="1" applyBorder="1" applyAlignment="1" applyProtection="1">
      <alignment horizontal="left"/>
      <protection locked="0"/>
    </xf>
    <xf numFmtId="0" fontId="40" fillId="33" borderId="0" xfId="0" applyFont="1" applyFill="1" applyProtection="1">
      <protection locked="0"/>
    </xf>
    <xf numFmtId="0" fontId="40" fillId="33" borderId="0" xfId="0" applyFont="1" applyFill="1" applyAlignment="1" applyProtection="1">
      <alignment horizontal="center"/>
      <protection locked="0"/>
    </xf>
    <xf numFmtId="0" fontId="40" fillId="33" borderId="0" xfId="0" applyFont="1" applyFill="1" applyBorder="1" applyAlignment="1"/>
    <xf numFmtId="0" fontId="40" fillId="34" borderId="36" xfId="0" applyFont="1" applyFill="1" applyBorder="1"/>
    <xf numFmtId="0" fontId="40" fillId="33" borderId="0" xfId="0" applyFont="1" applyFill="1" applyBorder="1"/>
    <xf numFmtId="0" fontId="40" fillId="34" borderId="36" xfId="0" applyFont="1" applyFill="1" applyBorder="1" applyAlignment="1">
      <alignment wrapText="1"/>
    </xf>
    <xf numFmtId="0" fontId="52" fillId="35" borderId="36" xfId="0" applyFont="1" applyFill="1" applyBorder="1" applyAlignment="1" applyProtection="1">
      <alignment horizontal="center" vertical="center"/>
    </xf>
    <xf numFmtId="0" fontId="40" fillId="33" borderId="36" xfId="0" applyFont="1" applyFill="1" applyBorder="1" applyAlignment="1" applyProtection="1">
      <alignment horizontal="center" vertical="center"/>
      <protection locked="0"/>
    </xf>
    <xf numFmtId="0" fontId="40" fillId="33" borderId="38" xfId="0" applyFont="1" applyFill="1" applyBorder="1" applyAlignment="1" applyProtection="1">
      <alignment horizontal="center" vertical="center"/>
      <protection locked="0"/>
    </xf>
    <xf numFmtId="0" fontId="40" fillId="40" borderId="36" xfId="0" applyFont="1" applyFill="1" applyBorder="1" applyAlignment="1">
      <alignment horizontal="center" vertical="center"/>
    </xf>
    <xf numFmtId="0" fontId="40" fillId="33" borderId="59" xfId="0" applyFont="1" applyFill="1" applyBorder="1" applyAlignment="1" applyProtection="1">
      <alignment horizontal="center" vertical="center"/>
    </xf>
    <xf numFmtId="0" fontId="40" fillId="33" borderId="32" xfId="0" applyFont="1" applyFill="1" applyBorder="1" applyAlignment="1">
      <alignment wrapText="1"/>
    </xf>
    <xf numFmtId="0" fontId="40" fillId="36" borderId="36" xfId="0" applyFont="1" applyFill="1" applyBorder="1" applyAlignment="1">
      <alignment horizontal="center" vertical="center" wrapText="1"/>
    </xf>
    <xf numFmtId="0" fontId="40" fillId="33" borderId="52" xfId="0" applyFont="1" applyFill="1" applyBorder="1" applyAlignment="1" applyProtection="1">
      <alignment horizontal="center" vertical="center"/>
    </xf>
    <xf numFmtId="167" fontId="40" fillId="37" borderId="36" xfId="0" applyNumberFormat="1" applyFont="1" applyFill="1" applyBorder="1" applyAlignment="1">
      <alignment horizontal="center" vertical="center"/>
    </xf>
    <xf numFmtId="0" fontId="52" fillId="25" borderId="34" xfId="0" applyFont="1" applyFill="1" applyBorder="1" applyAlignment="1" applyProtection="1">
      <alignment horizontal="left" vertical="center" wrapText="1"/>
    </xf>
    <xf numFmtId="0" fontId="52" fillId="25" borderId="27" xfId="0" applyFont="1" applyFill="1" applyBorder="1" applyAlignment="1" applyProtection="1">
      <alignment horizontal="left" vertical="center" wrapText="1"/>
    </xf>
    <xf numFmtId="0" fontId="42" fillId="35" borderId="37" xfId="0" applyFont="1" applyFill="1" applyBorder="1" applyAlignment="1" applyProtection="1">
      <alignment horizontal="center" vertical="center" wrapText="1"/>
    </xf>
    <xf numFmtId="0" fontId="42" fillId="33" borderId="60" xfId="0" applyFont="1" applyFill="1" applyBorder="1" applyAlignment="1" applyProtection="1">
      <alignment wrapText="1"/>
    </xf>
    <xf numFmtId="0" fontId="42" fillId="35" borderId="36" xfId="0" applyFont="1" applyFill="1" applyBorder="1" applyAlignment="1" applyProtection="1">
      <alignment horizontal="center" vertical="center" wrapText="1"/>
    </xf>
    <xf numFmtId="0" fontId="40" fillId="33" borderId="60" xfId="0" applyFont="1" applyFill="1" applyBorder="1" applyAlignment="1" applyProtection="1">
      <alignment wrapText="1"/>
    </xf>
    <xf numFmtId="0" fontId="40" fillId="33" borderId="19" xfId="0" applyFont="1" applyFill="1" applyBorder="1" applyAlignment="1" applyProtection="1">
      <alignment wrapText="1"/>
    </xf>
    <xf numFmtId="0" fontId="40" fillId="35" borderId="36" xfId="0" applyFont="1" applyFill="1" applyBorder="1" applyAlignment="1" applyProtection="1">
      <alignment horizontal="center" vertical="center" wrapText="1"/>
    </xf>
    <xf numFmtId="0" fontId="40" fillId="33" borderId="13" xfId="0" applyFont="1" applyFill="1" applyBorder="1" applyAlignment="1" applyProtection="1">
      <alignment wrapText="1"/>
    </xf>
    <xf numFmtId="0" fontId="42" fillId="35" borderId="44" xfId="0" applyFont="1" applyFill="1" applyBorder="1" applyAlignment="1" applyProtection="1">
      <alignment horizontal="center" vertical="center" wrapText="1"/>
    </xf>
    <xf numFmtId="0" fontId="53" fillId="33" borderId="0" xfId="0" applyFont="1" applyFill="1"/>
    <xf numFmtId="0" fontId="43" fillId="33" borderId="0" xfId="0" applyFont="1" applyFill="1" applyBorder="1" applyAlignment="1">
      <alignment horizontal="left" vertical="top" wrapText="1" indent="1"/>
    </xf>
    <xf numFmtId="0" fontId="40" fillId="33" borderId="0" xfId="0" applyFont="1" applyFill="1" applyBorder="1" applyAlignment="1">
      <alignment vertical="center"/>
    </xf>
    <xf numFmtId="0" fontId="40" fillId="33" borderId="36" xfId="0" applyFont="1" applyFill="1" applyBorder="1" applyAlignment="1">
      <alignment horizontal="center"/>
    </xf>
    <xf numFmtId="0" fontId="43" fillId="33" borderId="0" xfId="0" applyFont="1" applyFill="1" applyBorder="1" applyAlignment="1">
      <alignment horizontal="left" vertical="top" wrapText="1"/>
    </xf>
    <xf numFmtId="0" fontId="40" fillId="33" borderId="0" xfId="0" applyFont="1" applyFill="1" applyBorder="1" applyAlignment="1">
      <alignment horizontal="left"/>
    </xf>
    <xf numFmtId="0" fontId="43" fillId="33" borderId="0" xfId="0" applyFont="1" applyFill="1" applyBorder="1" applyAlignment="1" applyProtection="1">
      <alignment horizontal="left" vertical="center" wrapText="1"/>
    </xf>
    <xf numFmtId="0" fontId="43" fillId="33" borderId="0" xfId="0" applyFont="1" applyFill="1" applyAlignment="1">
      <alignment horizontal="left" vertical="top" wrapText="1"/>
    </xf>
    <xf numFmtId="0" fontId="40" fillId="33" borderId="0" xfId="0" applyFont="1" applyFill="1" applyAlignment="1">
      <alignment horizontal="left"/>
    </xf>
    <xf numFmtId="0" fontId="43" fillId="33" borderId="0" xfId="0" applyFont="1" applyFill="1" applyAlignment="1">
      <alignment horizontal="left" vertical="top" wrapText="1" indent="1"/>
    </xf>
    <xf numFmtId="0" fontId="42" fillId="0" borderId="48" xfId="0" applyFont="1" applyFill="1" applyBorder="1" applyAlignment="1" applyProtection="1">
      <alignment vertical="center"/>
    </xf>
    <xf numFmtId="0" fontId="40" fillId="33" borderId="49" xfId="0" applyFont="1" applyFill="1" applyBorder="1" applyAlignment="1" applyProtection="1"/>
    <xf numFmtId="0" fontId="40" fillId="33" borderId="61" xfId="0" applyFont="1" applyFill="1" applyBorder="1" applyAlignment="1" applyProtection="1"/>
    <xf numFmtId="0" fontId="42" fillId="33" borderId="61" xfId="0" applyFont="1" applyFill="1" applyBorder="1" applyAlignment="1" applyProtection="1">
      <alignment horizontal="center"/>
    </xf>
    <xf numFmtId="0" fontId="42" fillId="33" borderId="49" xfId="0" applyFont="1" applyFill="1" applyBorder="1" applyAlignment="1" applyProtection="1">
      <alignment horizontal="left" vertical="center"/>
    </xf>
    <xf numFmtId="168" fontId="42" fillId="40" borderId="0" xfId="0" applyNumberFormat="1" applyFont="1" applyFill="1" applyBorder="1" applyAlignment="1" applyProtection="1">
      <alignment horizontal="right" indent="1"/>
    </xf>
    <xf numFmtId="168" fontId="44" fillId="40" borderId="0" xfId="0" applyNumberFormat="1" applyFont="1" applyFill="1" applyBorder="1" applyAlignment="1" applyProtection="1">
      <alignment horizontal="left" vertical="center" indent="1"/>
    </xf>
    <xf numFmtId="168" fontId="44" fillId="33" borderId="0" xfId="0" applyNumberFormat="1" applyFont="1" applyFill="1" applyBorder="1" applyAlignment="1" applyProtection="1">
      <alignment horizontal="right" indent="1"/>
    </xf>
    <xf numFmtId="0" fontId="57" fillId="40" borderId="0" xfId="0" applyFont="1" applyFill="1" applyBorder="1" applyAlignment="1" applyProtection="1">
      <alignment horizontal="center" vertical="center"/>
    </xf>
    <xf numFmtId="0" fontId="62" fillId="31" borderId="0" xfId="0" applyFont="1" applyFill="1" applyBorder="1" applyAlignment="1" applyProtection="1"/>
    <xf numFmtId="0" fontId="62" fillId="31" borderId="0" xfId="0" applyFont="1" applyFill="1" applyBorder="1" applyAlignment="1" applyProtection="1">
      <alignment horizontal="right"/>
    </xf>
    <xf numFmtId="0" fontId="63" fillId="49" borderId="0" xfId="0" applyFont="1" applyFill="1" applyAlignment="1" applyProtection="1"/>
    <xf numFmtId="0" fontId="52" fillId="40" borderId="0" xfId="0" applyNumberFormat="1" applyFont="1" applyFill="1" applyBorder="1" applyAlignment="1" applyProtection="1">
      <alignment horizontal="left" vertical="center" wrapText="1"/>
    </xf>
    <xf numFmtId="0" fontId="52" fillId="50" borderId="0" xfId="0" applyNumberFormat="1" applyFont="1" applyFill="1" applyBorder="1" applyAlignment="1" applyProtection="1">
      <alignment horizontal="left" vertical="center"/>
    </xf>
    <xf numFmtId="0" fontId="52" fillId="50" borderId="0" xfId="0" applyNumberFormat="1" applyFont="1" applyFill="1" applyBorder="1" applyAlignment="1" applyProtection="1">
      <alignment horizontal="left" vertical="center" wrapText="1"/>
    </xf>
    <xf numFmtId="0" fontId="63" fillId="49" borderId="0" xfId="156" applyFont="1" applyFill="1" applyProtection="1"/>
    <xf numFmtId="0" fontId="40" fillId="51" borderId="0" xfId="0" applyFont="1" applyFill="1" applyAlignment="1" applyProtection="1"/>
    <xf numFmtId="0" fontId="52" fillId="51" borderId="10" xfId="0" applyNumberFormat="1" applyFont="1" applyFill="1" applyBorder="1" applyAlignment="1" applyProtection="1">
      <alignment horizontal="left" vertical="center"/>
    </xf>
    <xf numFmtId="0" fontId="52" fillId="51" borderId="19" xfId="0" applyNumberFormat="1" applyFont="1" applyFill="1" applyBorder="1" applyAlignment="1" applyProtection="1">
      <alignment horizontal="left" vertical="center" wrapText="1"/>
    </xf>
    <xf numFmtId="0" fontId="42" fillId="40" borderId="19" xfId="0" applyNumberFormat="1" applyFont="1" applyFill="1" applyBorder="1" applyAlignment="1" applyProtection="1">
      <alignment horizontal="left" vertical="center"/>
    </xf>
    <xf numFmtId="0" fontId="52" fillId="40" borderId="19" xfId="0" applyNumberFormat="1" applyFont="1" applyFill="1" applyBorder="1" applyAlignment="1" applyProtection="1">
      <alignment horizontal="left" vertical="center" wrapText="1"/>
    </xf>
    <xf numFmtId="0" fontId="52" fillId="40" borderId="11" xfId="0" applyNumberFormat="1" applyFont="1" applyFill="1" applyBorder="1" applyAlignment="1" applyProtection="1">
      <alignment horizontal="left" vertical="center" wrapText="1"/>
    </xf>
    <xf numFmtId="0" fontId="52" fillId="40" borderId="0" xfId="0" applyFont="1" applyFill="1" applyBorder="1" applyAlignment="1" applyProtection="1">
      <alignment horizontal="left" vertical="center"/>
    </xf>
    <xf numFmtId="0" fontId="57" fillId="51" borderId="17" xfId="0" applyFont="1" applyFill="1" applyBorder="1" applyAlignment="1" applyProtection="1">
      <alignment horizontal="left" vertical="center"/>
    </xf>
    <xf numFmtId="0" fontId="57" fillId="51" borderId="18" xfId="0" applyFont="1" applyFill="1" applyBorder="1" applyAlignment="1" applyProtection="1">
      <alignment horizontal="left" vertical="center"/>
    </xf>
    <xf numFmtId="0" fontId="42" fillId="40" borderId="20" xfId="0" applyFont="1" applyFill="1" applyBorder="1" applyAlignment="1" applyProtection="1">
      <alignment horizontal="left" vertical="center"/>
    </xf>
    <xf numFmtId="0" fontId="57" fillId="52" borderId="62" xfId="0" applyFont="1" applyFill="1" applyBorder="1" applyAlignment="1" applyProtection="1">
      <alignment horizontal="center" vertical="center"/>
    </xf>
    <xf numFmtId="0" fontId="40" fillId="33" borderId="63" xfId="0" applyFont="1" applyFill="1" applyBorder="1" applyAlignment="1" applyProtection="1">
      <alignment horizontal="center" vertical="center"/>
    </xf>
    <xf numFmtId="0" fontId="57" fillId="52" borderId="63" xfId="0" applyFont="1" applyFill="1" applyBorder="1" applyAlignment="1" applyProtection="1">
      <alignment horizontal="center" vertical="center"/>
    </xf>
    <xf numFmtId="0" fontId="40" fillId="33" borderId="64" xfId="0" applyFont="1" applyFill="1" applyBorder="1" applyAlignment="1" applyProtection="1">
      <alignment horizontal="center" vertical="center"/>
    </xf>
    <xf numFmtId="1" fontId="40" fillId="51" borderId="0" xfId="0" applyNumberFormat="1" applyFont="1" applyFill="1" applyAlignment="1" applyProtection="1"/>
    <xf numFmtId="0" fontId="40" fillId="40" borderId="15" xfId="0" applyFont="1" applyFill="1" applyBorder="1" applyAlignment="1" applyProtection="1">
      <alignment vertical="center"/>
    </xf>
    <xf numFmtId="0" fontId="40" fillId="50" borderId="0" xfId="0" applyFont="1" applyFill="1" applyBorder="1" applyProtection="1"/>
    <xf numFmtId="0" fontId="43" fillId="40" borderId="23" xfId="0" applyFont="1" applyFill="1" applyBorder="1" applyAlignment="1" applyProtection="1">
      <alignment vertical="center"/>
    </xf>
    <xf numFmtId="0" fontId="43" fillId="33" borderId="23" xfId="0" applyFont="1" applyFill="1" applyBorder="1" applyAlignment="1" applyProtection="1">
      <alignment vertical="center" wrapText="1"/>
    </xf>
    <xf numFmtId="0" fontId="43" fillId="40" borderId="0" xfId="0" applyFont="1" applyFill="1" applyBorder="1" applyAlignment="1" applyProtection="1">
      <alignment vertical="center" wrapText="1"/>
    </xf>
    <xf numFmtId="0" fontId="40" fillId="50" borderId="0" xfId="0" applyFont="1" applyFill="1" applyBorder="1" applyAlignment="1" applyProtection="1">
      <alignment vertical="center" wrapText="1"/>
    </xf>
    <xf numFmtId="0" fontId="40" fillId="33" borderId="0" xfId="152" applyFont="1" applyFill="1" applyAlignment="1" applyProtection="1">
      <alignment vertical="center"/>
    </xf>
    <xf numFmtId="167" fontId="40" fillId="33" borderId="13" xfId="0" applyNumberFormat="1" applyFont="1" applyFill="1" applyBorder="1" applyAlignment="1" applyProtection="1">
      <alignment vertical="center"/>
    </xf>
    <xf numFmtId="167" fontId="40" fillId="33" borderId="19" xfId="0" applyNumberFormat="1" applyFont="1" applyFill="1" applyBorder="1" applyAlignment="1" applyProtection="1">
      <alignment vertical="center"/>
    </xf>
    <xf numFmtId="0" fontId="40" fillId="40" borderId="0" xfId="0" applyFont="1" applyFill="1" applyBorder="1" applyAlignment="1" applyProtection="1"/>
    <xf numFmtId="0" fontId="40" fillId="50" borderId="0" xfId="0" applyFont="1" applyFill="1" applyBorder="1" applyAlignment="1" applyProtection="1">
      <alignment horizontal="left" vertical="center" wrapText="1"/>
    </xf>
    <xf numFmtId="0" fontId="40" fillId="33" borderId="0" xfId="150" applyFont="1" applyFill="1" applyAlignment="1" applyProtection="1">
      <alignment vertical="center"/>
    </xf>
    <xf numFmtId="0" fontId="43" fillId="33" borderId="28" xfId="0" applyFont="1" applyFill="1" applyBorder="1" applyAlignment="1" applyProtection="1">
      <alignment vertical="center" wrapText="1"/>
    </xf>
    <xf numFmtId="0" fontId="44" fillId="33" borderId="0" xfId="0" applyFont="1" applyFill="1" applyBorder="1" applyAlignment="1" applyProtection="1">
      <alignment horizontal="left" vertical="center" wrapText="1"/>
    </xf>
    <xf numFmtId="0" fontId="40" fillId="53" borderId="0" xfId="0" applyFont="1" applyFill="1" applyAlignment="1" applyProtection="1"/>
    <xf numFmtId="0" fontId="44" fillId="40" borderId="0" xfId="0" applyFont="1" applyFill="1" applyBorder="1" applyAlignment="1" applyProtection="1">
      <alignment vertical="center" wrapText="1"/>
    </xf>
    <xf numFmtId="0" fontId="40" fillId="45" borderId="20" xfId="0" applyFont="1" applyFill="1" applyBorder="1" applyAlignment="1" applyProtection="1">
      <alignment vertical="center" wrapText="1"/>
    </xf>
    <xf numFmtId="0" fontId="57" fillId="45" borderId="38" xfId="0" applyFont="1" applyFill="1" applyBorder="1" applyAlignment="1" applyProtection="1">
      <alignment horizontal="center" vertical="center" wrapText="1"/>
    </xf>
    <xf numFmtId="0" fontId="40" fillId="40" borderId="0" xfId="0" applyFont="1" applyFill="1" applyAlignment="1" applyProtection="1">
      <alignment vertical="center"/>
    </xf>
    <xf numFmtId="0" fontId="40" fillId="54" borderId="0" xfId="0" applyFont="1" applyFill="1" applyAlignment="1" applyProtection="1">
      <alignment horizontal="center" vertical="center"/>
    </xf>
    <xf numFmtId="0" fontId="52" fillId="33" borderId="0" xfId="0" applyFont="1" applyFill="1" applyBorder="1" applyAlignment="1" applyProtection="1"/>
    <xf numFmtId="0" fontId="40" fillId="36" borderId="0" xfId="0" applyFont="1" applyFill="1" applyBorder="1" applyAlignment="1" applyProtection="1">
      <alignment vertical="center"/>
    </xf>
    <xf numFmtId="0" fontId="40" fillId="28" borderId="0" xfId="0" applyFont="1" applyFill="1" applyBorder="1" applyAlignment="1" applyProtection="1">
      <alignment vertical="center"/>
    </xf>
    <xf numFmtId="0" fontId="40" fillId="54" borderId="0" xfId="0" applyFont="1" applyFill="1" applyBorder="1" applyAlignment="1" applyProtection="1">
      <alignment vertical="center"/>
    </xf>
    <xf numFmtId="0" fontId="40" fillId="40" borderId="36" xfId="0" applyFont="1" applyFill="1" applyBorder="1" applyAlignment="1" applyProtection="1">
      <alignment horizontal="center" vertical="center" wrapText="1"/>
      <protection locked="0"/>
    </xf>
    <xf numFmtId="0" fontId="40" fillId="55" borderId="0" xfId="0" applyFont="1" applyFill="1" applyAlignment="1" applyProtection="1">
      <alignment horizontal="center" vertical="center"/>
    </xf>
    <xf numFmtId="0" fontId="40" fillId="56" borderId="0" xfId="0" applyFont="1" applyFill="1" applyBorder="1" applyAlignment="1" applyProtection="1"/>
    <xf numFmtId="0" fontId="64" fillId="40" borderId="0" xfId="0" applyFont="1" applyFill="1" applyBorder="1" applyAlignment="1" applyProtection="1">
      <alignment horizontal="center" vertical="center" wrapText="1"/>
    </xf>
    <xf numFmtId="14" fontId="40" fillId="40" borderId="0" xfId="0" applyNumberFormat="1" applyFont="1" applyFill="1" applyProtection="1"/>
    <xf numFmtId="0" fontId="62" fillId="33" borderId="0" xfId="0" applyFont="1" applyFill="1" applyBorder="1" applyAlignment="1" applyProtection="1"/>
    <xf numFmtId="0" fontId="65" fillId="33" borderId="0" xfId="0" applyFont="1" applyFill="1" applyBorder="1" applyAlignment="1" applyProtection="1"/>
    <xf numFmtId="0" fontId="40" fillId="56" borderId="0" xfId="0" applyFont="1" applyFill="1" applyAlignment="1" applyProtection="1"/>
    <xf numFmtId="0" fontId="57" fillId="40" borderId="0" xfId="0" applyFont="1" applyFill="1" applyBorder="1" applyAlignment="1" applyProtection="1">
      <alignment horizontal="center" vertical="center" wrapText="1"/>
    </xf>
    <xf numFmtId="0" fontId="40" fillId="56" borderId="0" xfId="0" applyFont="1" applyFill="1" applyProtection="1"/>
    <xf numFmtId="0" fontId="40" fillId="56" borderId="0" xfId="0" applyFont="1" applyFill="1" applyAlignment="1" applyProtection="1">
      <alignment vertical="center"/>
    </xf>
    <xf numFmtId="0" fontId="40" fillId="56" borderId="0" xfId="0" applyFont="1" applyFill="1" applyAlignment="1" applyProtection="1">
      <alignment wrapText="1"/>
    </xf>
    <xf numFmtId="0" fontId="64" fillId="0" borderId="0" xfId="0" applyFont="1" applyFill="1" applyBorder="1" applyAlignment="1" applyProtection="1">
      <alignment horizontal="center" vertical="center" wrapText="1"/>
    </xf>
    <xf numFmtId="0" fontId="52" fillId="40" borderId="0" xfId="0" applyFont="1" applyFill="1" applyBorder="1" applyAlignment="1" applyProtection="1">
      <alignment vertical="center" wrapText="1"/>
    </xf>
    <xf numFmtId="0" fontId="62" fillId="40" borderId="0" xfId="0" applyFont="1" applyFill="1" applyBorder="1" applyAlignment="1" applyProtection="1"/>
    <xf numFmtId="0" fontId="40" fillId="40" borderId="0" xfId="0" applyFont="1" applyFill="1" applyBorder="1" applyAlignment="1" applyProtection="1">
      <alignment horizontal="left" vertical="top" wrapText="1"/>
    </xf>
    <xf numFmtId="0" fontId="64" fillId="51" borderId="0" xfId="0" applyFont="1" applyFill="1" applyBorder="1" applyAlignment="1" applyProtection="1">
      <alignment horizontal="center" vertical="center" wrapText="1"/>
    </xf>
    <xf numFmtId="0" fontId="52" fillId="40" borderId="0" xfId="0" applyFont="1" applyFill="1" applyBorder="1" applyAlignment="1" applyProtection="1">
      <alignment vertical="center"/>
    </xf>
    <xf numFmtId="0" fontId="40" fillId="51" borderId="0" xfId="0" applyFont="1" applyFill="1" applyBorder="1" applyAlignment="1" applyProtection="1">
      <alignment horizontal="center" vertical="center"/>
    </xf>
    <xf numFmtId="0" fontId="40" fillId="40" borderId="0" xfId="0" applyFont="1" applyFill="1" applyBorder="1" applyAlignment="1" applyProtection="1">
      <alignment vertical="center"/>
    </xf>
    <xf numFmtId="0" fontId="39" fillId="40" borderId="0" xfId="0" applyFont="1" applyFill="1" applyBorder="1" applyAlignment="1" applyProtection="1"/>
    <xf numFmtId="0" fontId="40" fillId="50" borderId="0" xfId="0" applyFont="1" applyFill="1" applyBorder="1" applyAlignment="1" applyProtection="1">
      <alignment horizontal="left" vertical="top" wrapText="1"/>
    </xf>
    <xf numFmtId="0" fontId="40" fillId="51" borderId="0" xfId="0" applyFont="1" applyFill="1" applyBorder="1" applyAlignment="1" applyProtection="1">
      <alignment horizontal="center" vertical="center" wrapText="1"/>
    </xf>
    <xf numFmtId="0" fontId="42" fillId="40" borderId="0" xfId="0" applyFont="1" applyFill="1" applyBorder="1" applyAlignment="1" applyProtection="1">
      <alignment horizontal="left" vertical="center"/>
    </xf>
    <xf numFmtId="0" fontId="40" fillId="33" borderId="0" xfId="150" applyFont="1" applyFill="1" applyAlignment="1" applyProtection="1">
      <alignment horizontal="left" vertical="center"/>
    </xf>
    <xf numFmtId="0" fontId="40" fillId="40" borderId="0" xfId="0" applyFont="1" applyFill="1" applyBorder="1" applyAlignment="1" applyProtection="1">
      <alignment horizontal="center" vertical="center" wrapText="1"/>
    </xf>
    <xf numFmtId="0" fontId="52" fillId="40" borderId="0" xfId="0" applyFont="1" applyFill="1" applyProtection="1"/>
    <xf numFmtId="0" fontId="40" fillId="50" borderId="0" xfId="0" applyFont="1" applyFill="1" applyAlignment="1" applyProtection="1"/>
    <xf numFmtId="0" fontId="40" fillId="33" borderId="0" xfId="0" applyFont="1" applyFill="1" applyAlignment="1" applyProtection="1">
      <alignment horizontal="left" vertical="center"/>
    </xf>
    <xf numFmtId="0" fontId="52" fillId="40" borderId="0" xfId="0" applyFont="1" applyFill="1" applyBorder="1" applyAlignment="1" applyProtection="1">
      <alignment horizontal="center" vertical="center"/>
    </xf>
    <xf numFmtId="0" fontId="40" fillId="40" borderId="0" xfId="0" applyFont="1" applyFill="1" applyBorder="1" applyAlignment="1" applyProtection="1">
      <alignment horizontal="left" vertical="center"/>
    </xf>
    <xf numFmtId="0" fontId="44" fillId="40" borderId="0" xfId="0" applyFont="1" applyFill="1" applyBorder="1" applyAlignment="1" applyProtection="1">
      <alignment vertical="center"/>
    </xf>
    <xf numFmtId="0" fontId="40" fillId="50" borderId="0" xfId="0" applyFont="1" applyFill="1" applyBorder="1" applyAlignment="1" applyProtection="1">
      <alignment horizontal="left" vertical="center"/>
    </xf>
    <xf numFmtId="0" fontId="42" fillId="40" borderId="0" xfId="0" applyFont="1" applyFill="1" applyBorder="1" applyAlignment="1" applyProtection="1">
      <alignment vertical="center"/>
    </xf>
    <xf numFmtId="0" fontId="40" fillId="40" borderId="0" xfId="0" applyFont="1" applyFill="1" applyBorder="1" applyAlignment="1" applyProtection="1">
      <alignment horizontal="left" vertical="center" wrapText="1"/>
    </xf>
    <xf numFmtId="14" fontId="40" fillId="40" borderId="0" xfId="0" applyNumberFormat="1" applyFont="1" applyFill="1" applyBorder="1" applyProtection="1"/>
    <xf numFmtId="0" fontId="40" fillId="40" borderId="38" xfId="0" applyFont="1" applyFill="1" applyBorder="1" applyAlignment="1" applyProtection="1">
      <alignment horizontal="center" vertical="center" wrapText="1"/>
      <protection locked="0"/>
    </xf>
    <xf numFmtId="0" fontId="39" fillId="40" borderId="0" xfId="0" applyFont="1" applyFill="1" applyBorder="1" applyAlignment="1" applyProtection="1">
      <protection locked="0"/>
    </xf>
    <xf numFmtId="0" fontId="40" fillId="33" borderId="0" xfId="0" applyFont="1" applyFill="1" applyAlignment="1">
      <alignment vertical="center"/>
    </xf>
    <xf numFmtId="0" fontId="42" fillId="33" borderId="59" xfId="0" applyFont="1" applyFill="1" applyBorder="1" applyAlignment="1">
      <alignment vertical="center" wrapText="1"/>
    </xf>
    <xf numFmtId="0" fontId="42" fillId="33" borderId="58" xfId="0" applyFont="1" applyFill="1" applyBorder="1" applyAlignment="1">
      <alignment horizontal="left" vertical="center" wrapText="1"/>
    </xf>
    <xf numFmtId="0" fontId="42" fillId="33" borderId="58" xfId="0" applyFont="1" applyFill="1" applyBorder="1" applyAlignment="1">
      <alignment vertical="center" wrapText="1"/>
    </xf>
    <xf numFmtId="0" fontId="42" fillId="33" borderId="52" xfId="0" applyFont="1" applyFill="1" applyBorder="1" applyAlignment="1">
      <alignment vertical="center" wrapText="1"/>
    </xf>
    <xf numFmtId="0" fontId="42" fillId="0" borderId="22" xfId="0" applyFont="1" applyBorder="1" applyAlignment="1">
      <alignment horizontal="left" vertical="center" wrapText="1"/>
    </xf>
    <xf numFmtId="0" fontId="49" fillId="0" borderId="0" xfId="134" applyFont="1" applyAlignment="1" applyProtection="1">
      <alignment vertical="center"/>
    </xf>
    <xf numFmtId="0" fontId="40" fillId="33" borderId="12" xfId="0" applyFont="1" applyFill="1" applyBorder="1" applyAlignment="1">
      <alignment vertical="center"/>
    </xf>
    <xf numFmtId="0" fontId="40" fillId="33" borderId="25" xfId="0" applyFont="1" applyFill="1" applyBorder="1" applyAlignment="1">
      <alignment vertical="center"/>
    </xf>
    <xf numFmtId="0" fontId="40" fillId="33" borderId="23" xfId="0" applyFont="1" applyFill="1" applyBorder="1" applyAlignment="1">
      <alignment vertical="center"/>
    </xf>
    <xf numFmtId="0" fontId="40" fillId="33" borderId="17" xfId="0" applyFont="1" applyFill="1" applyBorder="1" applyAlignment="1">
      <alignment vertical="center"/>
    </xf>
    <xf numFmtId="0" fontId="40" fillId="33" borderId="56" xfId="0" applyFont="1" applyFill="1" applyBorder="1" applyAlignment="1">
      <alignment vertical="center"/>
    </xf>
    <xf numFmtId="0" fontId="42" fillId="0" borderId="34" xfId="0" applyFont="1" applyBorder="1" applyAlignment="1">
      <alignment vertical="center" wrapText="1"/>
    </xf>
    <xf numFmtId="0" fontId="48" fillId="33" borderId="30" xfId="0" applyFont="1" applyFill="1" applyBorder="1"/>
    <xf numFmtId="0" fontId="40" fillId="33" borderId="30" xfId="0" applyFont="1" applyFill="1" applyBorder="1" applyAlignment="1">
      <alignment vertical="center"/>
    </xf>
    <xf numFmtId="0" fontId="48" fillId="33" borderId="0" xfId="0" applyFont="1" applyFill="1"/>
    <xf numFmtId="0" fontId="40" fillId="33" borderId="0" xfId="0" applyFont="1" applyFill="1" applyAlignment="1">
      <alignment vertical="center" wrapText="1"/>
    </xf>
    <xf numFmtId="0" fontId="54" fillId="33" borderId="0" xfId="0" applyFont="1" applyFill="1" applyAlignment="1">
      <alignment vertical="center" wrapText="1"/>
    </xf>
    <xf numFmtId="0" fontId="42" fillId="24" borderId="0" xfId="0" applyFont="1" applyFill="1" applyAlignment="1" applyProtection="1">
      <alignment wrapText="1"/>
    </xf>
    <xf numFmtId="0" fontId="42" fillId="24" borderId="0" xfId="0" applyFont="1" applyFill="1" applyProtection="1"/>
    <xf numFmtId="0" fontId="42" fillId="27" borderId="0" xfId="0" applyFont="1" applyFill="1" applyAlignment="1" applyProtection="1">
      <alignment wrapText="1"/>
    </xf>
    <xf numFmtId="0" fontId="42" fillId="27" borderId="0" xfId="0" applyFont="1" applyFill="1" applyProtection="1"/>
    <xf numFmtId="0" fontId="42" fillId="26" borderId="0" xfId="0" applyFont="1" applyFill="1" applyAlignment="1" applyProtection="1">
      <alignment wrapText="1"/>
    </xf>
    <xf numFmtId="0" fontId="42" fillId="26" borderId="0" xfId="0" applyFont="1" applyFill="1" applyProtection="1"/>
    <xf numFmtId="0" fontId="42" fillId="28" borderId="0" xfId="0" applyFont="1" applyFill="1" applyBorder="1" applyAlignment="1" applyProtection="1">
      <alignment wrapText="1"/>
    </xf>
    <xf numFmtId="0" fontId="42" fillId="28" borderId="0" xfId="0" applyFont="1" applyFill="1" applyBorder="1" applyProtection="1"/>
    <xf numFmtId="0" fontId="42" fillId="29" borderId="0" xfId="0" applyFont="1" applyFill="1" applyBorder="1" applyAlignment="1" applyProtection="1">
      <alignment wrapText="1"/>
    </xf>
    <xf numFmtId="0" fontId="42" fillId="29" borderId="0" xfId="0" applyFont="1" applyFill="1" applyBorder="1" applyProtection="1"/>
    <xf numFmtId="0" fontId="42" fillId="30" borderId="0" xfId="0" applyFont="1" applyFill="1" applyBorder="1" applyAlignment="1" applyProtection="1">
      <alignment wrapText="1"/>
    </xf>
    <xf numFmtId="0" fontId="42" fillId="30" borderId="0" xfId="0" applyFont="1" applyFill="1" applyBorder="1" applyProtection="1"/>
    <xf numFmtId="0" fontId="42" fillId="24" borderId="0" xfId="0" applyFont="1" applyFill="1" applyBorder="1" applyProtection="1"/>
    <xf numFmtId="0" fontId="42" fillId="27" borderId="0" xfId="0" applyFont="1" applyFill="1" applyBorder="1" applyProtection="1"/>
    <xf numFmtId="1" fontId="42" fillId="26" borderId="0" xfId="0" applyNumberFormat="1" applyFont="1" applyFill="1" applyBorder="1" applyProtection="1"/>
    <xf numFmtId="0" fontId="42" fillId="39" borderId="0" xfId="0" applyFont="1" applyFill="1" applyProtection="1"/>
    <xf numFmtId="0" fontId="42" fillId="0" borderId="0" xfId="0" applyFont="1" applyFill="1" applyProtection="1"/>
    <xf numFmtId="0" fontId="42" fillId="0" borderId="0" xfId="0" applyFont="1" applyProtection="1"/>
    <xf numFmtId="0" fontId="42" fillId="0" borderId="0" xfId="0" applyFont="1" applyAlignment="1" applyProtection="1">
      <alignment horizontal="center" vertical="center" wrapText="1"/>
    </xf>
    <xf numFmtId="0" fontId="42" fillId="0" borderId="0" xfId="0" applyFont="1" applyFill="1" applyAlignment="1" applyProtection="1">
      <alignment vertical="center" wrapText="1"/>
    </xf>
    <xf numFmtId="0" fontId="42" fillId="0" borderId="0" xfId="0" applyFont="1" applyAlignment="1" applyProtection="1">
      <alignment vertical="center"/>
    </xf>
    <xf numFmtId="0" fontId="42" fillId="0" borderId="0" xfId="0" applyFont="1" applyAlignment="1" applyProtection="1">
      <alignment textRotation="180" wrapText="1"/>
    </xf>
    <xf numFmtId="0" fontId="42" fillId="0" borderId="0" xfId="0" applyFont="1" applyAlignment="1" applyProtection="1">
      <alignment horizontal="left" textRotation="180" wrapText="1"/>
    </xf>
    <xf numFmtId="0" fontId="42" fillId="0" borderId="0" xfId="0" applyFont="1" applyFill="1" applyAlignment="1" applyProtection="1">
      <alignment horizontal="left" textRotation="180" wrapText="1"/>
    </xf>
    <xf numFmtId="0" fontId="42" fillId="0" borderId="0" xfId="0" applyFont="1" applyFill="1" applyAlignment="1" applyProtection="1">
      <alignment textRotation="180" wrapText="1"/>
    </xf>
    <xf numFmtId="0" fontId="42" fillId="0" borderId="0" xfId="0" applyFont="1" applyFill="1" applyBorder="1" applyAlignment="1" applyProtection="1">
      <alignment textRotation="180" wrapText="1"/>
    </xf>
    <xf numFmtId="0" fontId="42" fillId="0" borderId="0" xfId="0" applyFont="1" applyFill="1" applyBorder="1" applyAlignment="1" applyProtection="1">
      <alignment horizontal="left" textRotation="180" wrapText="1"/>
    </xf>
    <xf numFmtId="1" fontId="42" fillId="0" borderId="0" xfId="0" applyNumberFormat="1" applyFont="1" applyFill="1" applyBorder="1" applyAlignment="1" applyProtection="1">
      <alignment textRotation="180" wrapText="1"/>
    </xf>
    <xf numFmtId="0" fontId="42" fillId="0" borderId="0" xfId="0" applyFont="1" applyFill="1" applyBorder="1" applyProtection="1"/>
    <xf numFmtId="0" fontId="42" fillId="57" borderId="0" xfId="0" applyFont="1" applyFill="1" applyBorder="1" applyAlignment="1" applyProtection="1">
      <alignment horizontal="center" wrapText="1"/>
    </xf>
    <xf numFmtId="0" fontId="42" fillId="58" borderId="0" xfId="0" applyFont="1" applyFill="1" applyBorder="1" applyAlignment="1" applyProtection="1">
      <alignment horizontal="center" wrapText="1"/>
    </xf>
    <xf numFmtId="0" fontId="42" fillId="59" borderId="0" xfId="0" applyFont="1" applyFill="1" applyAlignment="1" applyProtection="1">
      <alignment horizontal="center" wrapText="1"/>
    </xf>
    <xf numFmtId="0" fontId="42" fillId="0" borderId="0" xfId="0" applyFont="1" applyAlignment="1" applyProtection="1">
      <alignment horizontal="center" wrapText="1"/>
    </xf>
    <xf numFmtId="0" fontId="42" fillId="0" borderId="0" xfId="0" applyFont="1" applyAlignment="1" applyProtection="1">
      <alignment vertical="center" wrapText="1"/>
    </xf>
    <xf numFmtId="0" fontId="42" fillId="0" borderId="0" xfId="0" applyFont="1" applyFill="1" applyBorder="1" applyAlignment="1" applyProtection="1">
      <alignment horizontal="center" vertical="center" wrapText="1"/>
    </xf>
    <xf numFmtId="0" fontId="49" fillId="0" borderId="0" xfId="134" applyFont="1" applyAlignment="1" applyProtection="1">
      <alignment horizontal="right" indent="1"/>
    </xf>
    <xf numFmtId="0" fontId="46" fillId="0" borderId="0" xfId="151" applyFont="1"/>
    <xf numFmtId="0" fontId="46" fillId="0" borderId="0" xfId="151" applyNumberFormat="1" applyFont="1"/>
    <xf numFmtId="14" fontId="46" fillId="0" borderId="0" xfId="151" applyNumberFormat="1" applyFont="1"/>
    <xf numFmtId="0" fontId="49" fillId="0" borderId="0" xfId="134" applyFont="1" applyAlignment="1" applyProtection="1">
      <alignment horizontal="center"/>
    </xf>
    <xf numFmtId="0" fontId="40" fillId="0" borderId="0" xfId="0" applyFont="1" applyAlignment="1"/>
    <xf numFmtId="169" fontId="40" fillId="0" borderId="0" xfId="0" applyNumberFormat="1" applyFont="1" applyAlignment="1"/>
    <xf numFmtId="0" fontId="40" fillId="0" borderId="0" xfId="0" applyNumberFormat="1" applyFont="1" applyAlignment="1"/>
    <xf numFmtId="14" fontId="40" fillId="0" borderId="0" xfId="0" applyNumberFormat="1" applyFont="1" applyAlignment="1"/>
    <xf numFmtId="14" fontId="40" fillId="0" borderId="0" xfId="0" applyNumberFormat="1" applyFont="1"/>
    <xf numFmtId="14" fontId="40" fillId="0" borderId="0" xfId="0" applyNumberFormat="1" applyFont="1" applyProtection="1"/>
    <xf numFmtId="14" fontId="49" fillId="0" borderId="0" xfId="134" applyNumberFormat="1" applyFont="1" applyAlignment="1" applyProtection="1">
      <alignment horizontal="center"/>
    </xf>
    <xf numFmtId="0" fontId="46" fillId="0" borderId="0" xfId="156" applyFont="1"/>
    <xf numFmtId="1" fontId="40" fillId="0" borderId="0" xfId="0" applyNumberFormat="1" applyFont="1"/>
    <xf numFmtId="0" fontId="46" fillId="0" borderId="0" xfId="151" applyFont="1" applyAlignment="1"/>
    <xf numFmtId="0" fontId="46" fillId="0" borderId="0" xfId="151" applyNumberFormat="1" applyFont="1" applyAlignment="1"/>
    <xf numFmtId="14" fontId="46" fillId="0" borderId="0" xfId="151" applyNumberFormat="1" applyFont="1" applyAlignment="1"/>
    <xf numFmtId="0" fontId="40" fillId="0" borderId="0" xfId="0" applyFont="1" applyAlignment="1" applyProtection="1"/>
    <xf numFmtId="0" fontId="49" fillId="0" borderId="0" xfId="134" applyFont="1" applyAlignment="1" applyProtection="1">
      <alignment horizontal="right"/>
    </xf>
    <xf numFmtId="0" fontId="40" fillId="0" borderId="0" xfId="0" applyFont="1" applyFill="1" applyProtection="1"/>
    <xf numFmtId="0" fontId="49" fillId="0" borderId="0" xfId="134" applyFont="1" applyFill="1" applyAlignment="1" applyProtection="1">
      <alignment horizontal="right" indent="1"/>
    </xf>
    <xf numFmtId="0" fontId="40" fillId="0" borderId="0" xfId="0" applyFont="1" applyFill="1" applyAlignment="1" applyProtection="1"/>
    <xf numFmtId="0" fontId="49" fillId="0" borderId="0" xfId="134" applyFont="1" applyAlignment="1" applyProtection="1"/>
    <xf numFmtId="0" fontId="40" fillId="0" borderId="0" xfId="0" applyFont="1" applyAlignment="1" applyProtection="1">
      <alignment wrapText="1"/>
    </xf>
    <xf numFmtId="1" fontId="40" fillId="0" borderId="0" xfId="0" applyNumberFormat="1" applyFont="1" applyProtection="1"/>
    <xf numFmtId="1" fontId="46" fillId="0" borderId="0" xfId="151" applyNumberFormat="1" applyFont="1"/>
    <xf numFmtId="1" fontId="40" fillId="0" borderId="0" xfId="0" applyNumberFormat="1" applyFont="1" applyAlignment="1"/>
    <xf numFmtId="0" fontId="1" fillId="0" borderId="0" xfId="134" applyAlignment="1" applyProtection="1">
      <alignment horizontal="right" indent="1"/>
    </xf>
    <xf numFmtId="0" fontId="40" fillId="0" borderId="0" xfId="0" applyFont="1" applyAlignment="1" applyProtection="1"/>
    <xf numFmtId="0" fontId="42" fillId="0" borderId="36" xfId="0" applyFont="1" applyBorder="1" applyAlignment="1" applyProtection="1">
      <alignment horizontal="center" vertical="center"/>
      <protection locked="0"/>
    </xf>
    <xf numFmtId="0" fontId="52" fillId="43" borderId="12" xfId="0" applyFont="1" applyFill="1" applyBorder="1" applyAlignment="1" applyProtection="1">
      <alignment horizontal="center" vertical="center" wrapText="1"/>
    </xf>
    <xf numFmtId="0" fontId="52" fillId="43" borderId="13" xfId="0" applyFont="1" applyFill="1" applyBorder="1" applyAlignment="1" applyProtection="1">
      <alignment horizontal="center" vertical="center" wrapText="1"/>
    </xf>
    <xf numFmtId="0" fontId="52" fillId="43" borderId="25" xfId="0" applyFont="1" applyFill="1" applyBorder="1" applyAlignment="1" applyProtection="1">
      <alignment horizontal="center" vertical="center" wrapText="1"/>
    </xf>
    <xf numFmtId="172" fontId="40" fillId="0" borderId="0" xfId="0" applyNumberFormat="1" applyFont="1" applyBorder="1" applyProtection="1"/>
    <xf numFmtId="14" fontId="40" fillId="0" borderId="27" xfId="0" applyNumberFormat="1" applyFont="1" applyBorder="1" applyProtection="1"/>
    <xf numFmtId="0" fontId="42" fillId="60" borderId="0" xfId="0" applyFont="1" applyFill="1" applyAlignment="1" applyProtection="1">
      <alignment horizontal="center" vertical="center" wrapText="1"/>
    </xf>
    <xf numFmtId="0" fontId="40" fillId="0" borderId="0" xfId="0" applyFont="1" applyFill="1" applyBorder="1" applyProtection="1"/>
    <xf numFmtId="0" fontId="40" fillId="0" borderId="0" xfId="0" applyFont="1" applyFill="1" applyBorder="1"/>
    <xf numFmtId="0" fontId="40" fillId="0" borderId="0" xfId="0" applyFont="1" applyFill="1" applyBorder="1" applyAlignment="1" applyProtection="1"/>
    <xf numFmtId="0" fontId="44" fillId="0" borderId="0" xfId="0" applyFont="1" applyFill="1" applyBorder="1" applyAlignment="1" applyProtection="1">
      <alignment vertical="center" wrapText="1"/>
    </xf>
    <xf numFmtId="0" fontId="49" fillId="0" borderId="0" xfId="134" applyFont="1" applyFill="1" applyBorder="1" applyAlignment="1" applyProtection="1">
      <alignment vertical="center" wrapText="1"/>
    </xf>
    <xf numFmtId="0" fontId="40" fillId="33" borderId="46" xfId="0" applyFont="1" applyFill="1" applyBorder="1" applyAlignment="1" applyProtection="1">
      <alignment horizontal="left" vertical="center" indent="2"/>
    </xf>
    <xf numFmtId="0" fontId="40" fillId="33" borderId="0" xfId="0" applyFont="1" applyFill="1" applyBorder="1" applyAlignment="1">
      <alignment vertical="center" wrapText="1"/>
    </xf>
    <xf numFmtId="0" fontId="40" fillId="34" borderId="10" xfId="0" applyFont="1" applyFill="1" applyBorder="1" applyAlignment="1">
      <alignment vertical="center"/>
    </xf>
    <xf numFmtId="0" fontId="66" fillId="32" borderId="0" xfId="0" applyFont="1" applyFill="1" applyAlignment="1" applyProtection="1">
      <alignment wrapText="1"/>
    </xf>
    <xf numFmtId="0" fontId="66" fillId="32" borderId="0" xfId="0" applyFont="1" applyFill="1" applyProtection="1"/>
    <xf numFmtId="0" fontId="66" fillId="32" borderId="0" xfId="0" applyFont="1" applyFill="1" applyBorder="1" applyProtection="1"/>
    <xf numFmtId="0" fontId="67" fillId="0" borderId="0" xfId="0" applyFont="1" applyAlignment="1">
      <alignment horizontal="center" vertical="center"/>
    </xf>
    <xf numFmtId="3" fontId="40" fillId="33" borderId="36" xfId="0" applyNumberFormat="1" applyFont="1" applyFill="1" applyBorder="1" applyAlignment="1" applyProtection="1">
      <alignment horizontal="right" vertical="center"/>
      <protection locked="0"/>
    </xf>
    <xf numFmtId="0" fontId="40" fillId="31" borderId="0" xfId="0" applyNumberFormat="1" applyFont="1" applyFill="1"/>
    <xf numFmtId="0" fontId="40" fillId="0" borderId="0" xfId="0" applyNumberFormat="1" applyFont="1" applyAlignment="1">
      <alignment horizontal="right"/>
    </xf>
    <xf numFmtId="174" fontId="62" fillId="31" borderId="0" xfId="0" applyNumberFormat="1" applyFont="1" applyFill="1" applyBorder="1" applyAlignment="1" applyProtection="1"/>
    <xf numFmtId="3" fontId="62" fillId="31" borderId="0" xfId="0" applyNumberFormat="1" applyFont="1" applyFill="1" applyBorder="1" applyAlignment="1" applyProtection="1"/>
    <xf numFmtId="3" fontId="63" fillId="49" borderId="0" xfId="156" applyNumberFormat="1" applyFont="1" applyFill="1" applyProtection="1"/>
    <xf numFmtId="173" fontId="62" fillId="31" borderId="0" xfId="0" applyNumberFormat="1" applyFont="1" applyFill="1" applyBorder="1" applyAlignment="1" applyProtection="1"/>
    <xf numFmtId="173" fontId="63" fillId="49" borderId="0" xfId="156" applyNumberFormat="1" applyFont="1" applyFill="1" applyProtection="1"/>
    <xf numFmtId="0" fontId="1" fillId="0" borderId="0" xfId="134" applyAlignment="1" applyProtection="1">
      <alignment horizontal="center"/>
    </xf>
    <xf numFmtId="1" fontId="0" fillId="0" borderId="0" xfId="0" applyNumberFormat="1"/>
    <xf numFmtId="0" fontId="0" fillId="0" borderId="0" xfId="0" applyNumberFormat="1"/>
    <xf numFmtId="0" fontId="40" fillId="30" borderId="22" xfId="0" applyFont="1" applyFill="1" applyBorder="1" applyAlignment="1">
      <alignment horizontal="right" wrapText="1"/>
    </xf>
    <xf numFmtId="0" fontId="40" fillId="0" borderId="22" xfId="0" applyFont="1" applyBorder="1" applyAlignment="1">
      <alignment horizontal="right"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23" xfId="0" applyFont="1" applyBorder="1" applyAlignment="1">
      <alignment horizontal="left" vertical="center" wrapText="1" indent="1"/>
    </xf>
    <xf numFmtId="0" fontId="40" fillId="0" borderId="23" xfId="0" applyFont="1" applyFill="1" applyBorder="1" applyAlignment="1">
      <alignment horizontal="left" vertical="center" wrapText="1" indent="1"/>
    </xf>
    <xf numFmtId="0" fontId="40" fillId="0" borderId="22" xfId="0" applyFont="1" applyBorder="1" applyAlignment="1">
      <alignment horizontal="right"/>
    </xf>
    <xf numFmtId="0" fontId="40" fillId="0" borderId="15" xfId="0" applyFont="1" applyBorder="1" applyAlignment="1">
      <alignment horizontal="left" vertical="center"/>
    </xf>
    <xf numFmtId="0" fontId="40" fillId="0" borderId="23" xfId="0" applyFont="1" applyBorder="1" applyAlignment="1">
      <alignment horizontal="left" vertical="center" indent="1"/>
    </xf>
    <xf numFmtId="0" fontId="42" fillId="30" borderId="65" xfId="0" applyFont="1" applyFill="1" applyBorder="1" applyAlignment="1">
      <alignment horizontal="center" vertical="center"/>
    </xf>
    <xf numFmtId="0" fontId="40" fillId="0" borderId="55" xfId="0" applyFont="1" applyBorder="1" applyAlignment="1">
      <alignment horizontal="center" vertical="center"/>
    </xf>
    <xf numFmtId="0" fontId="40" fillId="0" borderId="0" xfId="0" applyFont="1" applyAlignment="1">
      <alignment horizontal="left" vertical="center" wrapText="1"/>
    </xf>
    <xf numFmtId="0" fontId="40" fillId="29" borderId="22" xfId="0" applyFont="1" applyFill="1" applyBorder="1" applyAlignment="1">
      <alignment horizontal="right" wrapText="1"/>
    </xf>
    <xf numFmtId="0" fontId="40" fillId="28" borderId="22" xfId="0" applyFont="1" applyFill="1" applyBorder="1" applyAlignment="1">
      <alignment horizontal="right" wrapText="1"/>
    </xf>
    <xf numFmtId="0" fontId="40" fillId="0" borderId="13" xfId="0" applyFont="1" applyBorder="1" applyAlignment="1">
      <alignment horizontal="left" vertical="center" wrapText="1"/>
    </xf>
    <xf numFmtId="0" fontId="42" fillId="28" borderId="65" xfId="0" applyFont="1" applyFill="1" applyBorder="1" applyAlignment="1">
      <alignment horizontal="center" vertical="center"/>
    </xf>
    <xf numFmtId="0" fontId="42" fillId="29" borderId="65" xfId="0" applyFont="1" applyFill="1" applyBorder="1" applyAlignment="1">
      <alignment horizontal="center"/>
    </xf>
    <xf numFmtId="0" fontId="42" fillId="29" borderId="55" xfId="0" applyFont="1" applyFill="1" applyBorder="1" applyAlignment="1">
      <alignment horizontal="center"/>
    </xf>
    <xf numFmtId="0" fontId="40" fillId="0" borderId="12" xfId="0" applyFont="1" applyBorder="1" applyAlignment="1">
      <alignment horizontal="left" vertical="center" wrapText="1"/>
    </xf>
    <xf numFmtId="0" fontId="40" fillId="26" borderId="22" xfId="0" applyFont="1" applyFill="1" applyBorder="1" applyAlignment="1">
      <alignment horizontal="right" wrapText="1"/>
    </xf>
    <xf numFmtId="0" fontId="40" fillId="27" borderId="22" xfId="0" applyFont="1" applyFill="1" applyBorder="1" applyAlignment="1">
      <alignment horizontal="right" wrapText="1"/>
    </xf>
    <xf numFmtId="0" fontId="40" fillId="27" borderId="26" xfId="0" applyFont="1" applyFill="1" applyBorder="1" applyAlignment="1">
      <alignment horizontal="right"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indent="1"/>
    </xf>
    <xf numFmtId="0" fontId="42" fillId="26" borderId="65" xfId="0" applyFont="1" applyFill="1" applyBorder="1" applyAlignment="1">
      <alignment horizontal="center"/>
    </xf>
    <xf numFmtId="0" fontId="40" fillId="0" borderId="55" xfId="0" applyFont="1" applyBorder="1" applyAlignment="1">
      <alignment horizontal="center"/>
    </xf>
    <xf numFmtId="0" fontId="42" fillId="27" borderId="65" xfId="0" applyFont="1" applyFill="1" applyBorder="1" applyAlignment="1">
      <alignment horizontal="center"/>
    </xf>
    <xf numFmtId="0" fontId="42" fillId="27" borderId="55" xfId="0" applyFont="1" applyFill="1" applyBorder="1" applyAlignment="1">
      <alignment horizontal="center"/>
    </xf>
    <xf numFmtId="0" fontId="40" fillId="27" borderId="22" xfId="0" applyFont="1" applyFill="1" applyBorder="1" applyAlignment="1">
      <alignment horizontal="right"/>
    </xf>
    <xf numFmtId="0" fontId="40" fillId="0" borderId="12" xfId="0" applyFont="1" applyBorder="1" applyAlignment="1">
      <alignment horizontal="left" vertical="center"/>
    </xf>
    <xf numFmtId="0" fontId="40" fillId="24" borderId="22" xfId="0" applyFont="1" applyFill="1" applyBorder="1" applyAlignment="1">
      <alignment horizontal="right" wrapText="1"/>
    </xf>
    <xf numFmtId="0" fontId="42" fillId="24" borderId="65" xfId="0" applyFont="1" applyFill="1" applyBorder="1" applyAlignment="1">
      <alignment horizontal="center"/>
    </xf>
    <xf numFmtId="0" fontId="40" fillId="24" borderId="55" xfId="0" applyFont="1" applyFill="1" applyBorder="1" applyAlignment="1">
      <alignment horizontal="center"/>
    </xf>
    <xf numFmtId="0" fontId="40" fillId="24" borderId="21" xfId="0" applyFont="1" applyFill="1" applyBorder="1" applyAlignment="1">
      <alignment horizontal="center"/>
    </xf>
    <xf numFmtId="0" fontId="42" fillId="39" borderId="65" xfId="0" applyFont="1" applyFill="1" applyBorder="1" applyAlignment="1" applyProtection="1">
      <alignment horizontal="center"/>
    </xf>
    <xf numFmtId="0" fontId="42" fillId="39" borderId="55" xfId="0" applyFont="1" applyFill="1" applyBorder="1" applyAlignment="1" applyProtection="1">
      <alignment horizontal="center"/>
    </xf>
    <xf numFmtId="0" fontId="42" fillId="39" borderId="21" xfId="0" applyFont="1" applyFill="1" applyBorder="1" applyAlignment="1" applyProtection="1">
      <alignment horizontal="center"/>
    </xf>
    <xf numFmtId="0" fontId="41" fillId="0" borderId="0" xfId="0" applyFont="1" applyAlignment="1" applyProtection="1">
      <alignment horizontal="center" vertical="center" wrapText="1"/>
    </xf>
    <xf numFmtId="0" fontId="43" fillId="0" borderId="0" xfId="0" applyFont="1" applyFill="1" applyAlignment="1">
      <alignment horizontal="center" wrapText="1"/>
    </xf>
    <xf numFmtId="0" fontId="42" fillId="0" borderId="0" xfId="0" applyFont="1" applyFill="1" applyAlignment="1">
      <alignment horizontal="left" wrapText="1"/>
    </xf>
    <xf numFmtId="0" fontId="68" fillId="33" borderId="0" xfId="0" applyFont="1" applyFill="1" applyAlignment="1" applyProtection="1">
      <alignment horizontal="center" vertical="center" wrapText="1"/>
    </xf>
    <xf numFmtId="0" fontId="69" fillId="33" borderId="0" xfId="0" applyFont="1" applyFill="1" applyAlignment="1" applyProtection="1">
      <alignment horizontal="center" wrapText="1"/>
    </xf>
    <xf numFmtId="0" fontId="69" fillId="33" borderId="0" xfId="0" applyFont="1" applyFill="1" applyAlignment="1" applyProtection="1">
      <alignment horizontal="center" vertical="center" wrapText="1"/>
    </xf>
    <xf numFmtId="0" fontId="40" fillId="0" borderId="0" xfId="0" applyFont="1" applyAlignment="1">
      <alignment vertical="top" wrapText="1"/>
    </xf>
    <xf numFmtId="0" fontId="49" fillId="33" borderId="0" xfId="134" applyFont="1" applyFill="1" applyAlignment="1" applyProtection="1">
      <alignment horizontal="left" vertical="center"/>
    </xf>
    <xf numFmtId="0" fontId="49" fillId="0" borderId="0" xfId="134" applyFont="1" applyAlignment="1" applyProtection="1">
      <alignment horizontal="left" vertical="center"/>
    </xf>
    <xf numFmtId="0" fontId="49" fillId="33" borderId="0" xfId="134" applyFont="1" applyFill="1" applyAlignment="1" applyProtection="1">
      <alignment vertical="center"/>
    </xf>
    <xf numFmtId="0" fontId="40" fillId="40" borderId="0" xfId="134" applyFont="1" applyFill="1" applyAlignment="1" applyProtection="1">
      <alignment horizontal="left" vertical="top" wrapText="1"/>
    </xf>
    <xf numFmtId="0" fontId="49" fillId="40" borderId="0" xfId="134" applyFont="1" applyFill="1" applyAlignment="1" applyProtection="1">
      <alignment horizontal="left" vertical="top" wrapText="1"/>
    </xf>
    <xf numFmtId="0" fontId="49" fillId="40" borderId="0" xfId="134" applyFont="1" applyFill="1" applyBorder="1" applyAlignment="1" applyProtection="1">
      <alignment horizontal="left" vertical="center" wrapText="1"/>
    </xf>
    <xf numFmtId="0" fontId="48" fillId="33" borderId="0" xfId="0" applyFont="1" applyFill="1" applyAlignment="1">
      <alignment vertical="top" wrapText="1"/>
    </xf>
    <xf numFmtId="0" fontId="49" fillId="0" borderId="0" xfId="134" applyFont="1" applyAlignment="1" applyProtection="1"/>
    <xf numFmtId="0" fontId="40" fillId="0" borderId="0" xfId="0" applyFont="1" applyAlignment="1" applyProtection="1"/>
    <xf numFmtId="0" fontId="40" fillId="33" borderId="0" xfId="0" applyFont="1" applyFill="1" applyAlignment="1" applyProtection="1">
      <alignment vertical="top" wrapText="1"/>
    </xf>
    <xf numFmtId="0" fontId="40" fillId="33" borderId="0" xfId="0" applyFont="1" applyFill="1" applyAlignment="1" applyProtection="1">
      <alignment horizontal="left" vertical="top" wrapText="1"/>
    </xf>
    <xf numFmtId="0" fontId="40" fillId="0" borderId="0" xfId="0" applyFont="1" applyAlignment="1">
      <alignment vertical="center"/>
    </xf>
    <xf numFmtId="0" fontId="40" fillId="0" borderId="0" xfId="0" applyFont="1" applyAlignment="1">
      <alignment horizontal="left" vertical="center"/>
    </xf>
    <xf numFmtId="0" fontId="40" fillId="33" borderId="32" xfId="0" applyFont="1" applyFill="1" applyBorder="1" applyAlignment="1">
      <alignment horizontal="right" vertical="center" wrapText="1"/>
    </xf>
    <xf numFmtId="0" fontId="40" fillId="33" borderId="0" xfId="0" applyFont="1" applyFill="1" applyBorder="1" applyAlignment="1">
      <alignment horizontal="right" vertical="center" wrapText="1"/>
    </xf>
    <xf numFmtId="0" fontId="40" fillId="33" borderId="16" xfId="0" applyFont="1" applyFill="1" applyBorder="1" applyAlignment="1">
      <alignment horizontal="right" vertical="center" wrapText="1"/>
    </xf>
    <xf numFmtId="0" fontId="42" fillId="33" borderId="37" xfId="0" applyFont="1" applyFill="1" applyBorder="1" applyAlignment="1" applyProtection="1">
      <alignment horizontal="left" vertical="center" wrapText="1"/>
      <protection locked="0"/>
    </xf>
    <xf numFmtId="0" fontId="42" fillId="33" borderId="37" xfId="0" applyFont="1" applyFill="1" applyBorder="1" applyAlignment="1" applyProtection="1">
      <alignment vertical="center" wrapText="1"/>
      <protection locked="0"/>
    </xf>
    <xf numFmtId="0" fontId="42" fillId="33" borderId="39" xfId="0" applyFont="1" applyFill="1" applyBorder="1" applyAlignment="1" applyProtection="1">
      <alignment vertical="center" wrapText="1"/>
      <protection locked="0"/>
    </xf>
    <xf numFmtId="0" fontId="49" fillId="33" borderId="36" xfId="134" applyFont="1" applyFill="1" applyBorder="1" applyAlignment="1" applyProtection="1">
      <alignment horizontal="left" vertical="center" wrapText="1"/>
      <protection locked="0"/>
    </xf>
    <xf numFmtId="0" fontId="42" fillId="33" borderId="36" xfId="0" applyFont="1" applyFill="1" applyBorder="1" applyAlignment="1" applyProtection="1">
      <alignment horizontal="left" vertical="center" wrapText="1"/>
      <protection locked="0"/>
    </xf>
    <xf numFmtId="0" fontId="40" fillId="33" borderId="38" xfId="0" applyFont="1" applyFill="1" applyBorder="1" applyAlignment="1" applyProtection="1">
      <alignment horizontal="left" vertical="center" wrapText="1"/>
      <protection locked="0"/>
    </xf>
    <xf numFmtId="0" fontId="49" fillId="33" borderId="0" xfId="134" applyFont="1" applyFill="1" applyAlignment="1" applyProtection="1">
      <alignment wrapText="1"/>
    </xf>
    <xf numFmtId="0" fontId="40" fillId="33" borderId="0" xfId="0" applyFont="1" applyFill="1" applyAlignment="1"/>
    <xf numFmtId="5" fontId="49" fillId="0" borderId="0" xfId="134" applyNumberFormat="1" applyFont="1" applyFill="1" applyBorder="1" applyAlignment="1" applyProtection="1">
      <alignment horizontal="left" vertical="center"/>
      <protection hidden="1"/>
    </xf>
    <xf numFmtId="0" fontId="52" fillId="32" borderId="10" xfId="0" applyFont="1" applyFill="1" applyBorder="1" applyAlignment="1">
      <alignment horizontal="left" vertical="center" wrapText="1"/>
    </xf>
    <xf numFmtId="0" fontId="52" fillId="32" borderId="19" xfId="0" applyFont="1" applyFill="1" applyBorder="1" applyAlignment="1">
      <alignment horizontal="left" vertical="center" wrapText="1"/>
    </xf>
    <xf numFmtId="0" fontId="52" fillId="32" borderId="54" xfId="0" applyFont="1" applyFill="1" applyBorder="1" applyAlignment="1">
      <alignment horizontal="left" vertical="center" wrapText="1"/>
    </xf>
    <xf numFmtId="0" fontId="40" fillId="33" borderId="66" xfId="0" applyFont="1" applyFill="1" applyBorder="1" applyAlignment="1">
      <alignment horizontal="right" vertical="center" wrapText="1"/>
    </xf>
    <xf numFmtId="0" fontId="40" fillId="33" borderId="13" xfId="0" applyFont="1" applyFill="1" applyBorder="1" applyAlignment="1">
      <alignment horizontal="right" vertical="center" wrapText="1"/>
    </xf>
    <xf numFmtId="0" fontId="40" fillId="33" borderId="14" xfId="0" applyFont="1" applyFill="1" applyBorder="1" applyAlignment="1">
      <alignment horizontal="right" vertical="center" wrapText="1"/>
    </xf>
    <xf numFmtId="0" fontId="40" fillId="33" borderId="42" xfId="0" applyFont="1" applyFill="1" applyBorder="1" applyAlignment="1">
      <alignment horizontal="right" vertical="center" wrapText="1"/>
    </xf>
    <xf numFmtId="0" fontId="40" fillId="33" borderId="18" xfId="0" applyFont="1" applyFill="1" applyBorder="1" applyAlignment="1">
      <alignment horizontal="right" vertical="center" wrapText="1"/>
    </xf>
    <xf numFmtId="0" fontId="40" fillId="33" borderId="20" xfId="0" applyFont="1" applyFill="1" applyBorder="1" applyAlignment="1">
      <alignment horizontal="right" vertical="center" wrapText="1"/>
    </xf>
    <xf numFmtId="0" fontId="42" fillId="33" borderId="43" xfId="0" applyFont="1" applyFill="1" applyBorder="1" applyAlignment="1" applyProtection="1">
      <alignment horizontal="left" vertical="center" wrapText="1"/>
      <protection locked="0"/>
    </xf>
    <xf numFmtId="169" fontId="42" fillId="33" borderId="36" xfId="0" applyNumberFormat="1" applyFont="1" applyFill="1" applyBorder="1" applyAlignment="1" applyProtection="1">
      <alignment horizontal="left" vertical="center" wrapText="1"/>
      <protection locked="0"/>
    </xf>
    <xf numFmtId="169" fontId="42" fillId="33" borderId="36" xfId="0" applyNumberFormat="1" applyFont="1" applyFill="1" applyBorder="1" applyAlignment="1" applyProtection="1">
      <alignment vertical="center" wrapText="1"/>
      <protection locked="0"/>
    </xf>
    <xf numFmtId="169" fontId="42" fillId="33" borderId="38" xfId="0" applyNumberFormat="1" applyFont="1" applyFill="1" applyBorder="1" applyAlignment="1" applyProtection="1">
      <alignment vertical="center" wrapText="1"/>
      <protection locked="0"/>
    </xf>
    <xf numFmtId="0" fontId="67" fillId="61" borderId="66" xfId="0" applyFont="1" applyFill="1" applyBorder="1" applyAlignment="1">
      <alignment horizontal="left" vertical="center" wrapText="1"/>
    </xf>
    <xf numFmtId="0" fontId="67" fillId="61" borderId="13" xfId="0" applyFont="1" applyFill="1" applyBorder="1" applyAlignment="1">
      <alignment horizontal="left" vertical="center" wrapText="1"/>
    </xf>
    <xf numFmtId="0" fontId="67" fillId="61" borderId="25" xfId="0" applyFont="1" applyFill="1" applyBorder="1" applyAlignment="1">
      <alignment horizontal="left" vertical="center" wrapText="1"/>
    </xf>
    <xf numFmtId="0" fontId="67" fillId="61" borderId="42" xfId="0" applyFont="1" applyFill="1" applyBorder="1" applyAlignment="1">
      <alignment horizontal="left" vertical="center" wrapText="1"/>
    </xf>
    <xf numFmtId="0" fontId="67" fillId="61" borderId="18" xfId="0" applyFont="1" applyFill="1" applyBorder="1" applyAlignment="1">
      <alignment horizontal="left" vertical="center" wrapText="1"/>
    </xf>
    <xf numFmtId="0" fontId="67" fillId="61" borderId="56" xfId="0" applyFont="1" applyFill="1" applyBorder="1" applyAlignment="1">
      <alignment horizontal="left" vertical="center" wrapText="1"/>
    </xf>
    <xf numFmtId="0" fontId="43" fillId="32" borderId="0" xfId="0" applyFont="1" applyFill="1" applyBorder="1" applyAlignment="1">
      <alignment vertical="center" wrapText="1"/>
    </xf>
    <xf numFmtId="0" fontId="51" fillId="32" borderId="0" xfId="0" applyFont="1" applyFill="1" applyAlignment="1">
      <alignment vertical="center" wrapText="1"/>
    </xf>
    <xf numFmtId="0" fontId="40" fillId="33" borderId="32" xfId="0" applyFont="1" applyFill="1" applyBorder="1" applyAlignment="1">
      <alignment horizontal="left" vertical="center" wrapText="1"/>
    </xf>
    <xf numFmtId="0" fontId="40" fillId="33" borderId="0" xfId="0" applyFont="1" applyFill="1" applyBorder="1" applyAlignment="1">
      <alignment vertical="center" wrapText="1"/>
    </xf>
    <xf numFmtId="0" fontId="40" fillId="33" borderId="34" xfId="0" applyFont="1" applyFill="1" applyBorder="1" applyAlignment="1">
      <alignment horizontal="left" vertical="center" wrapText="1"/>
    </xf>
    <xf numFmtId="0" fontId="40" fillId="33" borderId="27" xfId="0" applyFont="1" applyFill="1" applyBorder="1" applyAlignment="1">
      <alignment vertical="center" wrapText="1"/>
    </xf>
    <xf numFmtId="0" fontId="42" fillId="0" borderId="40" xfId="0" applyFont="1" applyBorder="1" applyAlignment="1" applyProtection="1">
      <alignment horizontal="left" vertical="center" wrapText="1"/>
      <protection locked="0"/>
    </xf>
    <xf numFmtId="169" fontId="42" fillId="0" borderId="43" xfId="0" applyNumberFormat="1" applyFont="1" applyBorder="1" applyAlignment="1" applyProtection="1">
      <alignment horizontal="left" vertical="center" wrapText="1"/>
      <protection locked="0"/>
    </xf>
    <xf numFmtId="169" fontId="42" fillId="0" borderId="36" xfId="0" applyNumberFormat="1" applyFont="1" applyBorder="1" applyAlignment="1" applyProtection="1">
      <alignment horizontal="left" vertical="center" wrapText="1"/>
      <protection locked="0"/>
    </xf>
    <xf numFmtId="0" fontId="43" fillId="0" borderId="0" xfId="0" applyFont="1" applyBorder="1" applyAlignment="1">
      <alignment horizontal="left" vertical="center" wrapText="1"/>
    </xf>
    <xf numFmtId="0" fontId="52" fillId="25" borderId="12" xfId="0" applyFont="1" applyFill="1" applyBorder="1" applyAlignment="1" applyProtection="1">
      <alignment horizontal="center" vertical="center" wrapText="1"/>
    </xf>
    <xf numFmtId="0" fontId="52" fillId="25" borderId="13" xfId="0" applyFont="1" applyFill="1" applyBorder="1" applyAlignment="1" applyProtection="1">
      <alignment horizontal="center" vertical="center" wrapText="1"/>
    </xf>
    <xf numFmtId="0" fontId="52" fillId="25" borderId="14" xfId="0" applyFont="1" applyFill="1" applyBorder="1" applyAlignment="1" applyProtection="1">
      <alignment horizontal="center" vertical="center" wrapText="1"/>
    </xf>
    <xf numFmtId="0" fontId="52" fillId="25" borderId="17" xfId="0" applyFont="1" applyFill="1" applyBorder="1" applyAlignment="1" applyProtection="1">
      <alignment horizontal="center" vertical="center" wrapText="1"/>
    </xf>
    <xf numFmtId="0" fontId="52" fillId="25" borderId="18" xfId="0" applyFont="1" applyFill="1" applyBorder="1" applyAlignment="1" applyProtection="1">
      <alignment horizontal="center" vertical="center" wrapText="1"/>
    </xf>
    <xf numFmtId="0" fontId="52" fillId="25" borderId="20" xfId="0" applyFont="1" applyFill="1" applyBorder="1" applyAlignment="1" applyProtection="1">
      <alignment horizontal="center" vertical="center" wrapText="1"/>
    </xf>
    <xf numFmtId="0" fontId="43" fillId="33" borderId="0" xfId="0" applyFont="1" applyFill="1" applyBorder="1" applyAlignment="1" applyProtection="1">
      <alignment horizontal="center" vertical="center"/>
      <protection hidden="1"/>
    </xf>
    <xf numFmtId="172" fontId="42" fillId="0" borderId="10" xfId="0" applyNumberFormat="1" applyFont="1" applyBorder="1" applyAlignment="1" applyProtection="1">
      <alignment horizontal="center" vertical="center"/>
      <protection locked="0"/>
    </xf>
    <xf numFmtId="172" fontId="42" fillId="0" borderId="54" xfId="0" applyNumberFormat="1" applyFont="1" applyBorder="1" applyAlignment="1" applyProtection="1">
      <alignment horizontal="center" vertical="center"/>
      <protection locked="0"/>
    </xf>
    <xf numFmtId="0" fontId="40" fillId="25" borderId="10" xfId="0" applyFont="1" applyFill="1" applyBorder="1" applyAlignment="1" applyProtection="1">
      <alignment horizontal="right" vertical="center" wrapText="1"/>
    </xf>
    <xf numFmtId="0" fontId="40" fillId="0" borderId="19" xfId="0" applyFont="1" applyBorder="1" applyAlignment="1">
      <alignment horizontal="right" vertical="center" wrapText="1"/>
    </xf>
    <xf numFmtId="0" fontId="49" fillId="0" borderId="36" xfId="134"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2" fillId="0" borderId="10" xfId="0" applyFont="1" applyBorder="1" applyAlignment="1" applyProtection="1">
      <alignment horizontal="left" vertical="center" wrapText="1"/>
      <protection locked="0"/>
    </xf>
    <xf numFmtId="0" fontId="42" fillId="0" borderId="19" xfId="0" applyFont="1" applyBorder="1" applyAlignment="1" applyProtection="1">
      <alignment horizontal="left" vertical="center" wrapText="1"/>
      <protection locked="0"/>
    </xf>
    <xf numFmtId="0" fontId="42" fillId="0" borderId="11" xfId="0" applyFont="1" applyBorder="1" applyAlignment="1" applyProtection="1">
      <alignment horizontal="left" vertical="center" wrapText="1"/>
      <protection locked="0"/>
    </xf>
    <xf numFmtId="0" fontId="44" fillId="40" borderId="32" xfId="0" applyFont="1" applyFill="1" applyBorder="1" applyAlignment="1">
      <alignment horizontal="left" vertical="center" wrapText="1"/>
    </xf>
    <xf numFmtId="0" fontId="44" fillId="40" borderId="0" xfId="0" applyFont="1" applyFill="1" applyBorder="1" applyAlignment="1">
      <alignment horizontal="left" vertical="center" wrapText="1"/>
    </xf>
    <xf numFmtId="0" fontId="42" fillId="0" borderId="32" xfId="0" applyFont="1" applyFill="1" applyBorder="1" applyAlignment="1">
      <alignment horizontal="center" vertical="center" wrapText="1"/>
    </xf>
    <xf numFmtId="0" fontId="40" fillId="33" borderId="16" xfId="0" applyFont="1" applyFill="1" applyBorder="1" applyAlignment="1">
      <alignment vertical="center" wrapText="1"/>
    </xf>
    <xf numFmtId="0" fontId="42" fillId="24" borderId="36" xfId="0" applyFont="1" applyFill="1" applyBorder="1" applyAlignment="1" applyProtection="1">
      <alignment horizontal="left" vertical="center" wrapText="1"/>
      <protection locked="0"/>
    </xf>
    <xf numFmtId="0" fontId="40" fillId="25" borderId="19" xfId="0" applyFont="1" applyFill="1" applyBorder="1" applyAlignment="1" applyProtection="1">
      <alignment horizontal="right" vertical="center"/>
    </xf>
    <xf numFmtId="0" fontId="40" fillId="0" borderId="11" xfId="0" applyFont="1" applyBorder="1" applyAlignment="1">
      <alignment horizontal="right" vertical="center"/>
    </xf>
    <xf numFmtId="0" fontId="70" fillId="33" borderId="0" xfId="0" applyFont="1" applyFill="1" applyAlignment="1">
      <alignment horizontal="center" vertical="center" wrapText="1"/>
    </xf>
    <xf numFmtId="0" fontId="55" fillId="33" borderId="0" xfId="0" applyFont="1" applyFill="1" applyAlignment="1">
      <alignment horizontal="center" wrapText="1"/>
    </xf>
    <xf numFmtId="0" fontId="41" fillId="33" borderId="0" xfId="0" applyFont="1" applyFill="1" applyAlignment="1">
      <alignment horizontal="center" wrapText="1"/>
    </xf>
    <xf numFmtId="0" fontId="71" fillId="33" borderId="0" xfId="0" applyFont="1" applyFill="1" applyAlignment="1">
      <alignment horizontal="center" wrapText="1"/>
    </xf>
    <xf numFmtId="0" fontId="52" fillId="32" borderId="65" xfId="0" applyFont="1" applyFill="1" applyBorder="1" applyAlignment="1">
      <alignment horizontal="left" vertical="center" wrapText="1"/>
    </xf>
    <xf numFmtId="0" fontId="42" fillId="32" borderId="55" xfId="0" applyFont="1" applyFill="1" applyBorder="1" applyAlignment="1">
      <alignment wrapText="1"/>
    </xf>
    <xf numFmtId="0" fontId="42" fillId="32" borderId="21" xfId="0" applyFont="1" applyFill="1" applyBorder="1" applyAlignment="1">
      <alignment wrapText="1"/>
    </xf>
    <xf numFmtId="0" fontId="49" fillId="33" borderId="32" xfId="134" applyFont="1" applyFill="1" applyBorder="1" applyAlignment="1" applyProtection="1">
      <alignment horizontal="right" vertical="center" wrapText="1"/>
    </xf>
    <xf numFmtId="0" fontId="49" fillId="33" borderId="0" xfId="134" applyFont="1" applyFill="1" applyBorder="1" applyAlignment="1" applyProtection="1">
      <alignment horizontal="right" vertical="center" wrapText="1"/>
    </xf>
    <xf numFmtId="0" fontId="49" fillId="33" borderId="16" xfId="134" applyFont="1" applyFill="1" applyBorder="1" applyAlignment="1" applyProtection="1">
      <alignment horizontal="right" vertical="center" wrapText="1"/>
    </xf>
    <xf numFmtId="0" fontId="52" fillId="25" borderId="60" xfId="0" applyFont="1" applyFill="1" applyBorder="1" applyAlignment="1">
      <alignment horizontal="left" vertical="center" wrapText="1"/>
    </xf>
    <xf numFmtId="0" fontId="40" fillId="25" borderId="19" xfId="0" applyFont="1" applyFill="1" applyBorder="1" applyAlignment="1">
      <alignment wrapText="1"/>
    </xf>
    <xf numFmtId="0" fontId="40" fillId="25" borderId="54" xfId="0" applyFont="1" applyFill="1" applyBorder="1" applyAlignment="1">
      <alignment wrapText="1"/>
    </xf>
    <xf numFmtId="0" fontId="40" fillId="33" borderId="32" xfId="134" applyFont="1" applyFill="1" applyBorder="1" applyAlignment="1" applyProtection="1">
      <alignment horizontal="right" vertical="center"/>
    </xf>
    <xf numFmtId="0" fontId="49" fillId="33" borderId="0" xfId="134" applyFont="1" applyFill="1" applyBorder="1" applyAlignment="1" applyProtection="1">
      <alignment vertical="center"/>
    </xf>
    <xf numFmtId="0" fontId="43" fillId="32" borderId="15" xfId="0" applyFont="1" applyFill="1" applyBorder="1" applyAlignment="1" applyProtection="1">
      <alignment horizontal="left" vertical="center" wrapText="1"/>
      <protection hidden="1"/>
    </xf>
    <xf numFmtId="0" fontId="42" fillId="32" borderId="0" xfId="0" applyFont="1" applyFill="1" applyBorder="1" applyAlignment="1">
      <alignment horizontal="left" vertical="center"/>
    </xf>
    <xf numFmtId="0" fontId="42" fillId="32" borderId="23" xfId="0" applyFont="1" applyFill="1" applyBorder="1" applyAlignment="1">
      <alignment horizontal="left" vertical="center"/>
    </xf>
    <xf numFmtId="0" fontId="42" fillId="27" borderId="10" xfId="0" applyFont="1" applyFill="1" applyBorder="1" applyAlignment="1" applyProtection="1">
      <alignment horizontal="left" vertical="center" wrapText="1"/>
      <protection locked="0"/>
    </xf>
    <xf numFmtId="0" fontId="42" fillId="27" borderId="19" xfId="0" applyFont="1" applyFill="1" applyBorder="1" applyAlignment="1" applyProtection="1">
      <alignment horizontal="left" vertical="center" wrapText="1"/>
      <protection locked="0"/>
    </xf>
    <xf numFmtId="0" fontId="42" fillId="27" borderId="11" xfId="0" applyFont="1" applyFill="1" applyBorder="1" applyAlignment="1" applyProtection="1">
      <alignment horizontal="left" vertical="center" wrapText="1"/>
      <protection locked="0"/>
    </xf>
    <xf numFmtId="0" fontId="42" fillId="27" borderId="67" xfId="0" applyFont="1" applyFill="1" applyBorder="1" applyAlignment="1">
      <alignment horizontal="center" vertical="center" wrapText="1"/>
    </xf>
    <xf numFmtId="0" fontId="52" fillId="25" borderId="36" xfId="0" applyFont="1" applyFill="1" applyBorder="1" applyAlignment="1">
      <alignment horizontal="center" vertical="center" wrapText="1"/>
    </xf>
    <xf numFmtId="0" fontId="61" fillId="25" borderId="36" xfId="0" applyFont="1" applyFill="1" applyBorder="1" applyAlignment="1">
      <alignment horizontal="left" vertical="center"/>
    </xf>
    <xf numFmtId="0" fontId="61" fillId="25" borderId="38" xfId="0" applyFont="1" applyFill="1" applyBorder="1" applyAlignment="1">
      <alignment horizontal="left" vertical="center"/>
    </xf>
    <xf numFmtId="0" fontId="52" fillId="25" borderId="10" xfId="0" applyFont="1" applyFill="1" applyBorder="1" applyAlignment="1" applyProtection="1">
      <alignment horizontal="center" vertical="center"/>
      <protection hidden="1"/>
    </xf>
    <xf numFmtId="0" fontId="52" fillId="25" borderId="19" xfId="0" applyFont="1" applyFill="1" applyBorder="1" applyAlignment="1" applyProtection="1">
      <alignment horizontal="center" vertical="center"/>
      <protection hidden="1"/>
    </xf>
    <xf numFmtId="0" fontId="52" fillId="25" borderId="54" xfId="0" applyFont="1" applyFill="1" applyBorder="1" applyAlignment="1" applyProtection="1">
      <alignment horizontal="center" vertical="center"/>
      <protection hidden="1"/>
    </xf>
    <xf numFmtId="0" fontId="42" fillId="0" borderId="36" xfId="0" applyFont="1" applyBorder="1" applyAlignment="1" applyProtection="1">
      <alignment vertical="center"/>
      <protection locked="0"/>
    </xf>
    <xf numFmtId="0" fontId="42" fillId="0" borderId="38" xfId="0" applyFont="1" applyBorder="1" applyAlignment="1" applyProtection="1">
      <alignment vertical="center"/>
      <protection locked="0"/>
    </xf>
    <xf numFmtId="5" fontId="72" fillId="0" borderId="0" xfId="0" applyNumberFormat="1" applyFont="1" applyFill="1" applyBorder="1" applyAlignment="1" applyProtection="1">
      <alignment horizontal="left" vertical="center" wrapText="1"/>
      <protection hidden="1"/>
    </xf>
    <xf numFmtId="0" fontId="73" fillId="0" borderId="0" xfId="0" applyFont="1" applyAlignment="1">
      <alignment vertical="center" wrapText="1"/>
    </xf>
    <xf numFmtId="0" fontId="73" fillId="0" borderId="0" xfId="0" applyFont="1" applyAlignment="1">
      <alignment wrapText="1"/>
    </xf>
    <xf numFmtId="0" fontId="42" fillId="0" borderId="37" xfId="0" applyFont="1" applyBorder="1" applyAlignment="1" applyProtection="1">
      <alignment horizontal="left" vertical="center" wrapText="1"/>
      <protection locked="0"/>
    </xf>
    <xf numFmtId="0" fontId="49" fillId="33" borderId="0" xfId="134" applyFont="1" applyFill="1" applyBorder="1" applyAlignment="1" applyProtection="1">
      <alignment horizontal="center" vertical="center" wrapText="1"/>
    </xf>
    <xf numFmtId="0" fontId="52" fillId="25" borderId="68" xfId="0" applyFont="1" applyFill="1" applyBorder="1" applyAlignment="1">
      <alignment horizontal="left" vertical="center" wrapText="1"/>
    </xf>
    <xf numFmtId="0" fontId="52" fillId="25" borderId="55" xfId="0" applyFont="1" applyFill="1" applyBorder="1" applyAlignment="1">
      <alignment horizontal="left" vertical="center" wrapText="1"/>
    </xf>
    <xf numFmtId="0" fontId="52" fillId="25" borderId="21" xfId="0" applyFont="1" applyFill="1" applyBorder="1" applyAlignment="1">
      <alignment horizontal="left" vertical="center" wrapText="1"/>
    </xf>
    <xf numFmtId="0" fontId="49" fillId="0" borderId="0" xfId="134" applyFont="1" applyFill="1" applyBorder="1" applyAlignment="1" applyProtection="1">
      <alignment vertical="center"/>
    </xf>
    <xf numFmtId="0" fontId="49" fillId="0" borderId="0" xfId="134" applyFont="1" applyFill="1" applyAlignment="1" applyProtection="1">
      <alignment vertical="center"/>
    </xf>
    <xf numFmtId="0" fontId="42" fillId="24" borderId="10" xfId="0" applyFont="1" applyFill="1" applyBorder="1" applyAlignment="1" applyProtection="1">
      <alignment horizontal="left" vertical="center" wrapText="1"/>
      <protection locked="0"/>
    </xf>
    <xf numFmtId="0" fontId="42" fillId="24" borderId="19" xfId="0" applyFont="1" applyFill="1" applyBorder="1" applyAlignment="1" applyProtection="1">
      <alignment horizontal="left" vertical="center" wrapText="1"/>
      <protection locked="0"/>
    </xf>
    <xf numFmtId="0" fontId="42" fillId="24" borderId="11" xfId="0" applyFont="1" applyFill="1" applyBorder="1" applyAlignment="1" applyProtection="1">
      <alignment horizontal="left" vertical="center" wrapText="1"/>
      <protection locked="0"/>
    </xf>
    <xf numFmtId="0" fontId="43" fillId="32" borderId="13" xfId="0" applyFont="1" applyFill="1" applyBorder="1" applyAlignment="1" applyProtection="1">
      <alignment horizontal="left" vertical="center" wrapText="1"/>
    </xf>
    <xf numFmtId="0" fontId="40" fillId="0" borderId="13" xfId="0" applyFont="1" applyBorder="1" applyAlignment="1">
      <alignment wrapText="1"/>
    </xf>
    <xf numFmtId="0" fontId="40" fillId="0" borderId="14" xfId="0" applyFont="1" applyBorder="1" applyAlignment="1">
      <alignment wrapText="1"/>
    </xf>
    <xf numFmtId="0" fontId="40" fillId="0" borderId="0" xfId="0" applyFont="1" applyBorder="1" applyAlignment="1">
      <alignment wrapText="1"/>
    </xf>
    <xf numFmtId="0" fontId="40" fillId="0" borderId="0" xfId="0" applyFont="1" applyAlignment="1">
      <alignment wrapText="1"/>
    </xf>
    <xf numFmtId="0" fontId="40" fillId="0" borderId="16" xfId="0" applyFont="1" applyBorder="1" applyAlignment="1">
      <alignment wrapText="1"/>
    </xf>
    <xf numFmtId="0" fontId="40" fillId="0" borderId="18" xfId="0" applyFont="1" applyBorder="1" applyAlignment="1">
      <alignment wrapText="1"/>
    </xf>
    <xf numFmtId="0" fontId="40" fillId="0" borderId="20" xfId="0" applyFont="1" applyBorder="1" applyAlignment="1">
      <alignment wrapText="1"/>
    </xf>
    <xf numFmtId="5" fontId="43" fillId="0" borderId="0" xfId="0" applyNumberFormat="1" applyFont="1" applyFill="1" applyBorder="1" applyAlignment="1" applyProtection="1">
      <alignment horizontal="left" vertical="center" wrapText="1"/>
      <protection hidden="1"/>
    </xf>
    <xf numFmtId="0" fontId="40" fillId="0" borderId="0" xfId="0" applyFont="1" applyAlignment="1">
      <alignment vertical="center" wrapText="1"/>
    </xf>
    <xf numFmtId="0" fontId="40" fillId="0" borderId="36" xfId="0" applyFont="1" applyBorder="1" applyAlignment="1" applyProtection="1">
      <alignment horizontal="right" vertical="center" wrapText="1"/>
      <protection hidden="1"/>
    </xf>
    <xf numFmtId="0" fontId="40" fillId="0" borderId="36" xfId="0" applyFont="1" applyBorder="1" applyAlignment="1">
      <alignment horizontal="right" vertical="center" wrapText="1"/>
    </xf>
    <xf numFmtId="0" fontId="42" fillId="0" borderId="36" xfId="0" applyFont="1" applyBorder="1" applyAlignment="1" applyProtection="1">
      <alignment horizontal="center" vertical="center"/>
      <protection locked="0"/>
    </xf>
    <xf numFmtId="0" fontId="42" fillId="0" borderId="38" xfId="0" applyFont="1" applyBorder="1" applyAlignment="1" applyProtection="1">
      <alignment horizontal="center" vertical="center"/>
      <protection locked="0"/>
    </xf>
    <xf numFmtId="0" fontId="40" fillId="33" borderId="59" xfId="0" applyFont="1" applyFill="1" applyBorder="1" applyAlignment="1">
      <alignment horizontal="right" vertical="center" wrapText="1"/>
    </xf>
    <xf numFmtId="0" fontId="40" fillId="33" borderId="36" xfId="0" applyFont="1" applyFill="1" applyBorder="1" applyAlignment="1">
      <alignment vertical="center" wrapText="1"/>
    </xf>
    <xf numFmtId="0" fontId="43" fillId="33" borderId="30" xfId="0" applyFont="1" applyFill="1" applyBorder="1" applyAlignment="1">
      <alignment vertical="center" wrapText="1"/>
    </xf>
    <xf numFmtId="5" fontId="43" fillId="33" borderId="0" xfId="0" applyNumberFormat="1" applyFont="1" applyFill="1" applyBorder="1" applyAlignment="1" applyProtection="1">
      <alignment horizontal="left" vertical="center" wrapText="1"/>
      <protection hidden="1"/>
    </xf>
    <xf numFmtId="0" fontId="40" fillId="33" borderId="52" xfId="0" applyFont="1" applyFill="1" applyBorder="1" applyAlignment="1">
      <alignment horizontal="right" vertical="center" wrapText="1"/>
    </xf>
    <xf numFmtId="0" fontId="40" fillId="33" borderId="44" xfId="0" applyFont="1" applyFill="1" applyBorder="1" applyAlignment="1">
      <alignment vertical="center" wrapText="1"/>
    </xf>
    <xf numFmtId="0" fontId="61" fillId="32" borderId="55" xfId="0" applyFont="1" applyFill="1" applyBorder="1" applyAlignment="1">
      <alignment horizontal="left" vertical="center" wrapText="1"/>
    </xf>
    <xf numFmtId="0" fontId="61" fillId="32" borderId="21" xfId="0" applyFont="1" applyFill="1" applyBorder="1" applyAlignment="1">
      <alignment horizontal="left" vertical="center" wrapText="1"/>
    </xf>
    <xf numFmtId="0" fontId="40" fillId="33" borderId="45" xfId="0" applyFont="1" applyFill="1" applyBorder="1" applyAlignment="1" applyProtection="1">
      <alignment horizontal="left" vertical="center" wrapText="1"/>
      <protection locked="0"/>
    </xf>
    <xf numFmtId="0" fontId="40" fillId="33" borderId="69" xfId="0" applyFont="1" applyFill="1" applyBorder="1" applyAlignment="1" applyProtection="1">
      <alignment horizontal="left" vertical="center" wrapText="1"/>
      <protection locked="0"/>
    </xf>
    <xf numFmtId="0" fontId="40" fillId="33" borderId="70" xfId="0" applyFont="1" applyFill="1" applyBorder="1" applyAlignment="1" applyProtection="1">
      <alignment horizontal="left" vertical="center" wrapText="1"/>
      <protection locked="0"/>
    </xf>
    <xf numFmtId="0" fontId="40" fillId="33" borderId="10" xfId="0" applyFont="1" applyFill="1" applyBorder="1" applyAlignment="1" applyProtection="1">
      <alignment horizontal="left" vertical="center" wrapText="1"/>
      <protection locked="0"/>
    </xf>
    <xf numFmtId="0" fontId="40" fillId="33" borderId="19" xfId="0" applyFont="1" applyFill="1" applyBorder="1" applyAlignment="1" applyProtection="1">
      <alignment horizontal="left" vertical="center" wrapText="1"/>
      <protection locked="0"/>
    </xf>
    <xf numFmtId="0" fontId="40" fillId="33" borderId="11" xfId="0" applyFont="1" applyFill="1" applyBorder="1" applyAlignment="1" applyProtection="1">
      <alignment horizontal="left" vertical="center" wrapText="1"/>
      <protection locked="0"/>
    </xf>
    <xf numFmtId="165" fontId="40" fillId="33" borderId="10" xfId="0" applyNumberFormat="1" applyFont="1" applyFill="1" applyBorder="1" applyAlignment="1" applyProtection="1">
      <alignment horizontal="center" vertical="center" wrapText="1"/>
      <protection locked="0"/>
    </xf>
    <xf numFmtId="165" fontId="40" fillId="33" borderId="54" xfId="0" applyNumberFormat="1" applyFont="1" applyFill="1" applyBorder="1" applyAlignment="1" applyProtection="1">
      <alignment horizontal="center" vertical="center" wrapText="1"/>
      <protection locked="0"/>
    </xf>
    <xf numFmtId="0" fontId="40" fillId="33" borderId="34" xfId="0" applyFont="1" applyFill="1" applyBorder="1" applyAlignment="1">
      <alignment horizontal="right" vertical="center" wrapText="1"/>
    </xf>
    <xf numFmtId="0" fontId="40" fillId="33" borderId="27" xfId="0" applyFont="1" applyFill="1" applyBorder="1" applyAlignment="1">
      <alignment horizontal="right" vertical="center" wrapText="1"/>
    </xf>
    <xf numFmtId="0" fontId="40" fillId="33" borderId="35" xfId="0" applyFont="1" applyFill="1" applyBorder="1" applyAlignment="1">
      <alignment horizontal="right" vertical="center" wrapText="1"/>
    </xf>
    <xf numFmtId="0" fontId="42" fillId="33" borderId="44" xfId="0" applyFont="1" applyFill="1" applyBorder="1" applyAlignment="1" applyProtection="1">
      <alignment horizontal="left" vertical="center" wrapText="1"/>
      <protection locked="0"/>
    </xf>
    <xf numFmtId="169" fontId="42" fillId="33" borderId="10" xfId="0" applyNumberFormat="1" applyFont="1" applyFill="1" applyBorder="1" applyAlignment="1" applyProtection="1">
      <alignment horizontal="left" vertical="center" wrapText="1"/>
      <protection locked="0"/>
    </xf>
    <xf numFmtId="169" fontId="40" fillId="0" borderId="19" xfId="0" applyNumberFormat="1" applyFont="1" applyBorder="1" applyAlignment="1" applyProtection="1">
      <alignment vertical="center" wrapText="1"/>
      <protection locked="0"/>
    </xf>
    <xf numFmtId="169" fontId="40" fillId="0" borderId="54" xfId="0" applyNumberFormat="1" applyFont="1" applyBorder="1" applyAlignment="1" applyProtection="1">
      <alignment vertical="center" wrapText="1"/>
      <protection locked="0"/>
    </xf>
    <xf numFmtId="0" fontId="40" fillId="33" borderId="38" xfId="0" applyFont="1" applyFill="1" applyBorder="1" applyAlignment="1">
      <alignment horizontal="left" vertical="center" wrapText="1"/>
    </xf>
    <xf numFmtId="0" fontId="40" fillId="0" borderId="54" xfId="0" applyFont="1" applyBorder="1" applyAlignment="1" applyProtection="1">
      <alignment vertical="center" wrapText="1"/>
      <protection locked="0"/>
    </xf>
    <xf numFmtId="0" fontId="52" fillId="32" borderId="19" xfId="0" applyFont="1" applyFill="1" applyBorder="1" applyAlignment="1">
      <alignment vertical="center" wrapText="1"/>
    </xf>
    <xf numFmtId="0" fontId="42" fillId="32" borderId="19" xfId="0" applyFont="1" applyFill="1" applyBorder="1" applyAlignment="1">
      <alignment vertical="center" wrapText="1"/>
    </xf>
    <xf numFmtId="0" fontId="42" fillId="32" borderId="54" xfId="0" applyFont="1" applyFill="1" applyBorder="1" applyAlignment="1">
      <alignment vertical="center" wrapText="1"/>
    </xf>
    <xf numFmtId="0" fontId="42" fillId="0" borderId="19" xfId="0" applyFont="1" applyBorder="1" applyAlignment="1">
      <alignment vertical="center" wrapText="1"/>
    </xf>
    <xf numFmtId="0" fontId="42" fillId="0" borderId="54" xfId="0" applyFont="1" applyBorder="1" applyAlignment="1">
      <alignment vertical="center" wrapText="1"/>
    </xf>
    <xf numFmtId="0" fontId="43" fillId="0" borderId="30" xfId="0" applyFont="1" applyBorder="1" applyAlignment="1">
      <alignment vertical="center" wrapText="1"/>
    </xf>
    <xf numFmtId="0" fontId="40" fillId="25" borderId="55" xfId="0" applyFont="1" applyFill="1" applyBorder="1" applyAlignment="1">
      <alignment vertical="center" wrapText="1"/>
    </xf>
    <xf numFmtId="0" fontId="40" fillId="25" borderId="21" xfId="0" applyFont="1" applyFill="1" applyBorder="1" applyAlignment="1">
      <alignment vertical="center" wrapText="1"/>
    </xf>
    <xf numFmtId="0" fontId="49" fillId="0" borderId="0" xfId="134" applyFont="1" applyAlignment="1" applyProtection="1">
      <alignment horizontal="center" vertical="center" wrapText="1"/>
    </xf>
    <xf numFmtId="0" fontId="40" fillId="33" borderId="36" xfId="0" applyFont="1" applyFill="1" applyBorder="1" applyAlignment="1" applyProtection="1">
      <alignment horizontal="left" vertical="center" wrapText="1"/>
      <protection locked="0"/>
    </xf>
    <xf numFmtId="0" fontId="40" fillId="33" borderId="44" xfId="0" applyFont="1" applyFill="1" applyBorder="1" applyAlignment="1" applyProtection="1">
      <alignment horizontal="left" vertical="center" wrapText="1"/>
      <protection locked="0"/>
    </xf>
    <xf numFmtId="0" fontId="40" fillId="33" borderId="41" xfId="0" applyFont="1" applyFill="1" applyBorder="1" applyAlignment="1" applyProtection="1">
      <alignment horizontal="left" vertical="center" wrapText="1"/>
      <protection locked="0"/>
    </xf>
    <xf numFmtId="0" fontId="42" fillId="33" borderId="59" xfId="0" applyFont="1" applyFill="1" applyBorder="1" applyAlignment="1">
      <alignment horizontal="left" vertical="center" wrapText="1"/>
    </xf>
    <xf numFmtId="0" fontId="40" fillId="33" borderId="36" xfId="0" applyFont="1" applyFill="1" applyBorder="1" applyAlignment="1">
      <alignment horizontal="left" vertical="center" wrapText="1"/>
    </xf>
    <xf numFmtId="14" fontId="42" fillId="0" borderId="10" xfId="0" applyNumberFormat="1" applyFont="1" applyBorder="1" applyAlignment="1" applyProtection="1">
      <alignment horizontal="center" vertical="center"/>
      <protection locked="0"/>
    </xf>
    <xf numFmtId="14" fontId="42" fillId="0" borderId="54" xfId="0" applyNumberFormat="1" applyFont="1" applyBorder="1" applyAlignment="1" applyProtection="1">
      <alignment horizontal="center" vertical="center"/>
      <protection locked="0"/>
    </xf>
    <xf numFmtId="0" fontId="40" fillId="0" borderId="36" xfId="0" applyFont="1" applyBorder="1" applyAlignment="1">
      <alignment horizontal="left" vertical="center" wrapText="1"/>
    </xf>
    <xf numFmtId="0" fontId="52" fillId="25" borderId="55" xfId="149" applyFont="1" applyFill="1" applyBorder="1" applyAlignment="1" applyProtection="1">
      <alignment horizontal="center" vertical="center"/>
    </xf>
    <xf numFmtId="0" fontId="61" fillId="0" borderId="21" xfId="149" applyFont="1" applyBorder="1" applyAlignment="1" applyProtection="1">
      <alignment vertical="center"/>
    </xf>
    <xf numFmtId="0" fontId="74" fillId="0" borderId="10" xfId="149" applyFont="1" applyFill="1" applyBorder="1" applyAlignment="1" applyProtection="1">
      <alignment horizontal="left" vertical="center" wrapText="1"/>
      <protection locked="0"/>
    </xf>
    <xf numFmtId="0" fontId="40" fillId="0" borderId="19" xfId="149" applyFont="1" applyBorder="1" applyAlignment="1" applyProtection="1">
      <alignment horizontal="left" vertical="center" wrapText="1"/>
      <protection locked="0"/>
    </xf>
    <xf numFmtId="0" fontId="40" fillId="0" borderId="54" xfId="149" applyFont="1" applyBorder="1" applyAlignment="1" applyProtection="1">
      <alignment horizontal="left" vertical="center" wrapText="1"/>
      <protection locked="0"/>
    </xf>
    <xf numFmtId="0" fontId="49" fillId="0" borderId="59" xfId="134" applyFont="1" applyBorder="1" applyAlignment="1" applyProtection="1">
      <alignment horizontal="center" vertical="center"/>
    </xf>
    <xf numFmtId="0" fontId="49" fillId="0" borderId="36" xfId="134" applyFont="1" applyBorder="1" applyAlignment="1" applyProtection="1">
      <alignment horizontal="center" vertical="center"/>
    </xf>
    <xf numFmtId="0" fontId="74" fillId="0" borderId="19" xfId="149" applyFont="1" applyFill="1" applyBorder="1" applyAlignment="1" applyProtection="1">
      <alignment horizontal="left" vertical="center" wrapText="1"/>
      <protection locked="0"/>
    </xf>
    <xf numFmtId="0" fontId="74" fillId="0" borderId="54" xfId="149" applyFont="1" applyFill="1" applyBorder="1" applyAlignment="1" applyProtection="1">
      <alignment horizontal="left" vertical="center" wrapText="1"/>
      <protection locked="0"/>
    </xf>
    <xf numFmtId="0" fontId="52" fillId="25" borderId="65" xfId="149" applyFont="1" applyFill="1" applyBorder="1" applyAlignment="1" applyProtection="1">
      <alignment horizontal="left" vertical="center" wrapText="1"/>
    </xf>
    <xf numFmtId="0" fontId="61" fillId="0" borderId="55" xfId="149" applyFont="1" applyBorder="1" applyAlignment="1" applyProtection="1">
      <alignment vertical="center" wrapText="1"/>
    </xf>
    <xf numFmtId="0" fontId="40" fillId="0" borderId="55" xfId="149" applyFont="1" applyBorder="1" applyAlignment="1" applyProtection="1">
      <alignment vertical="center"/>
    </xf>
    <xf numFmtId="0" fontId="61" fillId="32" borderId="60" xfId="149" applyFont="1" applyFill="1" applyBorder="1" applyAlignment="1" applyProtection="1">
      <alignment horizontal="left" vertical="center" wrapText="1"/>
    </xf>
    <xf numFmtId="0" fontId="61" fillId="32" borderId="19" xfId="149" applyFont="1" applyFill="1" applyBorder="1" applyAlignment="1" applyProtection="1">
      <alignment horizontal="left" vertical="center" wrapText="1"/>
    </xf>
    <xf numFmtId="0" fontId="40" fillId="0" borderId="19" xfId="149" applyFont="1" applyBorder="1" applyAlignment="1" applyProtection="1">
      <alignment vertical="center" wrapText="1"/>
    </xf>
    <xf numFmtId="0" fontId="40" fillId="0" borderId="54" xfId="149" applyFont="1" applyBorder="1" applyAlignment="1" applyProtection="1">
      <alignment vertical="center" wrapText="1"/>
    </xf>
    <xf numFmtId="0" fontId="75" fillId="25" borderId="10" xfId="149" applyFont="1" applyFill="1" applyBorder="1" applyAlignment="1" applyProtection="1">
      <alignment horizontal="center" vertical="center" wrapText="1"/>
    </xf>
    <xf numFmtId="0" fontId="40" fillId="0" borderId="19" xfId="149" applyFont="1" applyBorder="1" applyAlignment="1" applyProtection="1">
      <alignment horizontal="center" vertical="center" wrapText="1"/>
    </xf>
    <xf numFmtId="164" fontId="75" fillId="25" borderId="59" xfId="149" applyNumberFormat="1" applyFont="1" applyFill="1" applyBorder="1" applyAlignment="1" applyProtection="1">
      <alignment horizontal="center" vertical="center" wrapText="1"/>
    </xf>
    <xf numFmtId="164" fontId="75" fillId="25" borderId="36" xfId="149" applyNumberFormat="1" applyFont="1" applyFill="1" applyBorder="1" applyAlignment="1" applyProtection="1">
      <alignment horizontal="center" vertical="center" wrapText="1"/>
    </xf>
    <xf numFmtId="0" fontId="41" fillId="52" borderId="71" xfId="0" applyFont="1" applyFill="1" applyBorder="1" applyAlignment="1" applyProtection="1">
      <alignment horizontal="center"/>
    </xf>
    <xf numFmtId="0" fontId="41" fillId="52" borderId="30" xfId="0" applyFont="1" applyFill="1" applyBorder="1" applyAlignment="1" applyProtection="1">
      <alignment horizontal="center"/>
    </xf>
    <xf numFmtId="0" fontId="41" fillId="52" borderId="31" xfId="0" applyFont="1" applyFill="1" applyBorder="1" applyAlignment="1" applyProtection="1">
      <alignment horizontal="center"/>
    </xf>
    <xf numFmtId="0" fontId="52" fillId="25" borderId="10" xfId="0" applyFont="1" applyFill="1" applyBorder="1" applyAlignment="1" applyProtection="1">
      <alignment horizontal="center" vertical="center" wrapText="1"/>
    </xf>
    <xf numFmtId="0" fontId="52" fillId="25" borderId="19" xfId="0" applyFont="1" applyFill="1" applyBorder="1" applyAlignment="1" applyProtection="1">
      <alignment horizontal="center" vertical="center" wrapText="1"/>
    </xf>
    <xf numFmtId="0" fontId="42" fillId="0" borderId="66" xfId="0" applyFont="1" applyBorder="1" applyAlignment="1" applyProtection="1">
      <alignment horizontal="center" vertical="center" wrapText="1"/>
    </xf>
    <xf numFmtId="0" fontId="42" fillId="0" borderId="13" xfId="0" applyFont="1" applyBorder="1" applyAlignment="1" applyProtection="1">
      <alignment horizontal="center" vertical="center" wrapText="1"/>
    </xf>
    <xf numFmtId="0" fontId="42" fillId="0" borderId="32"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14" xfId="0" applyFont="1" applyBorder="1" applyAlignment="1" applyProtection="1">
      <alignment horizontal="center" vertical="center" wrapText="1"/>
    </xf>
    <xf numFmtId="0" fontId="42" fillId="0" borderId="16" xfId="0" applyFont="1" applyBorder="1" applyAlignment="1" applyProtection="1">
      <alignment horizontal="center" vertical="center" wrapText="1"/>
    </xf>
    <xf numFmtId="0" fontId="40" fillId="0" borderId="42"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52" fillId="43" borderId="15" xfId="0" applyFont="1" applyFill="1" applyBorder="1" applyAlignment="1" applyProtection="1">
      <alignment horizontal="center" vertical="center" wrapText="1"/>
    </xf>
    <xf numFmtId="0" fontId="52" fillId="43" borderId="0" xfId="0" applyFont="1" applyFill="1" applyBorder="1" applyAlignment="1" applyProtection="1">
      <alignment horizontal="center" vertical="center" wrapText="1"/>
    </xf>
    <xf numFmtId="0" fontId="52" fillId="43" borderId="23" xfId="0" applyFont="1" applyFill="1" applyBorder="1" applyAlignment="1" applyProtection="1">
      <alignment horizontal="center" vertical="center" wrapText="1"/>
    </xf>
    <xf numFmtId="0" fontId="52" fillId="43" borderId="17" xfId="0" applyFont="1" applyFill="1" applyBorder="1" applyAlignment="1" applyProtection="1">
      <alignment horizontal="center" vertical="center" wrapText="1"/>
    </xf>
    <xf numFmtId="0" fontId="52" fillId="43" borderId="18" xfId="0" applyFont="1" applyFill="1" applyBorder="1" applyAlignment="1" applyProtection="1">
      <alignment horizontal="center" vertical="center" wrapText="1"/>
    </xf>
    <xf numFmtId="0" fontId="52" fillId="43" borderId="56" xfId="0" applyFont="1" applyFill="1" applyBorder="1" applyAlignment="1" applyProtection="1">
      <alignment horizontal="center" vertical="center" wrapText="1"/>
    </xf>
    <xf numFmtId="0" fontId="52" fillId="43" borderId="12" xfId="0" applyFont="1" applyFill="1" applyBorder="1" applyAlignment="1" applyProtection="1">
      <alignment horizontal="center" vertical="center" wrapText="1"/>
    </xf>
    <xf numFmtId="0" fontId="52" fillId="43" borderId="13" xfId="0" applyFont="1" applyFill="1" applyBorder="1" applyAlignment="1" applyProtection="1">
      <alignment horizontal="center" vertical="center" wrapText="1"/>
    </xf>
    <xf numFmtId="0" fontId="52" fillId="43" borderId="25" xfId="0" applyFont="1" applyFill="1" applyBorder="1" applyAlignment="1" applyProtection="1">
      <alignment horizontal="center" vertical="center" wrapText="1"/>
    </xf>
    <xf numFmtId="0" fontId="40" fillId="40" borderId="49" xfId="0" applyFont="1" applyFill="1" applyBorder="1" applyAlignment="1" applyProtection="1">
      <alignment horizontal="center" vertical="center"/>
    </xf>
    <xf numFmtId="0" fontId="40" fillId="40" borderId="72" xfId="0" applyFont="1" applyFill="1" applyBorder="1" applyAlignment="1" applyProtection="1">
      <alignment horizontal="center" vertical="center"/>
    </xf>
    <xf numFmtId="0" fontId="61" fillId="32" borderId="60" xfId="0" applyFont="1" applyFill="1" applyBorder="1" applyAlignment="1" applyProtection="1">
      <alignment horizontal="left" vertical="center" wrapText="1"/>
      <protection locked="0"/>
    </xf>
    <xf numFmtId="0" fontId="61" fillId="32" borderId="19" xfId="0" applyFont="1" applyFill="1" applyBorder="1" applyAlignment="1" applyProtection="1">
      <alignment horizontal="left" vertical="center" wrapText="1"/>
      <protection locked="0"/>
    </xf>
    <xf numFmtId="0" fontId="61" fillId="32" borderId="54" xfId="0" applyFont="1" applyFill="1" applyBorder="1" applyAlignment="1" applyProtection="1">
      <alignment horizontal="left" vertical="center" wrapText="1"/>
      <protection locked="0"/>
    </xf>
    <xf numFmtId="0" fontId="49" fillId="0" borderId="52" xfId="134" applyFont="1" applyBorder="1" applyAlignment="1" applyProtection="1">
      <alignment horizontal="center" vertical="center"/>
    </xf>
    <xf numFmtId="0" fontId="49" fillId="0" borderId="44" xfId="134" applyFont="1" applyBorder="1" applyAlignment="1" applyProtection="1">
      <alignment horizontal="center" vertical="center"/>
    </xf>
    <xf numFmtId="0" fontId="74" fillId="0" borderId="45" xfId="149" applyFont="1" applyFill="1" applyBorder="1" applyAlignment="1" applyProtection="1">
      <alignment horizontal="left" vertical="center" wrapText="1"/>
      <protection locked="0"/>
    </xf>
    <xf numFmtId="0" fontId="40" fillId="0" borderId="69" xfId="149" applyFont="1" applyBorder="1" applyAlignment="1" applyProtection="1">
      <alignment horizontal="left" vertical="center" wrapText="1"/>
      <protection locked="0"/>
    </xf>
    <xf numFmtId="0" fontId="40" fillId="0" borderId="70" xfId="149" applyFont="1" applyBorder="1" applyAlignment="1" applyProtection="1">
      <alignment horizontal="left" vertical="center" wrapText="1"/>
      <protection locked="0"/>
    </xf>
    <xf numFmtId="0" fontId="49" fillId="0" borderId="60" xfId="134" applyFont="1" applyBorder="1" applyAlignment="1" applyProtection="1">
      <alignment horizontal="center" vertical="center"/>
    </xf>
    <xf numFmtId="0" fontId="49" fillId="0" borderId="11" xfId="134" applyFont="1" applyBorder="1" applyAlignment="1" applyProtection="1">
      <alignment horizontal="center" vertical="center"/>
    </xf>
    <xf numFmtId="0" fontId="49" fillId="40" borderId="66" xfId="134" applyFont="1" applyFill="1" applyBorder="1" applyAlignment="1" applyProtection="1">
      <alignment horizontal="center" vertical="center" wrapText="1"/>
    </xf>
    <xf numFmtId="0" fontId="49" fillId="40" borderId="13" xfId="134" applyFont="1" applyFill="1" applyBorder="1" applyAlignment="1" applyProtection="1">
      <alignment horizontal="center" vertical="center" wrapText="1"/>
    </xf>
    <xf numFmtId="0" fontId="52" fillId="25" borderId="60" xfId="0" applyFont="1" applyFill="1" applyBorder="1" applyAlignment="1" applyProtection="1">
      <alignment horizontal="left" vertical="center"/>
      <protection locked="0"/>
    </xf>
    <xf numFmtId="0" fontId="52" fillId="25" borderId="19" xfId="0" applyFont="1" applyFill="1" applyBorder="1" applyAlignment="1" applyProtection="1">
      <alignment horizontal="left" vertical="center"/>
      <protection locked="0"/>
    </xf>
    <xf numFmtId="0" fontId="52" fillId="25" borderId="60" xfId="0" applyFont="1" applyFill="1" applyBorder="1" applyAlignment="1" applyProtection="1">
      <alignment horizontal="center" vertical="center" wrapText="1"/>
    </xf>
    <xf numFmtId="0" fontId="52" fillId="25" borderId="11" xfId="0" applyFont="1" applyFill="1" applyBorder="1" applyAlignment="1" applyProtection="1">
      <alignment horizontal="center" vertical="center" wrapText="1"/>
    </xf>
    <xf numFmtId="0" fontId="57" fillId="25" borderId="19" xfId="0" applyFont="1" applyFill="1" applyBorder="1" applyAlignment="1" applyProtection="1">
      <alignment horizontal="center" vertical="center"/>
    </xf>
    <xf numFmtId="0" fontId="57" fillId="25" borderId="54" xfId="0" applyFont="1" applyFill="1" applyBorder="1" applyAlignment="1" applyProtection="1">
      <alignment horizontal="center" vertical="center"/>
    </xf>
    <xf numFmtId="0" fontId="60" fillId="25" borderId="19" xfId="134" applyFont="1" applyFill="1" applyBorder="1" applyAlignment="1" applyProtection="1">
      <alignment horizontal="center" vertical="center" wrapText="1"/>
    </xf>
    <xf numFmtId="0" fontId="60" fillId="25" borderId="54" xfId="134" applyFont="1" applyFill="1" applyBorder="1" applyAlignment="1" applyProtection="1">
      <alignment horizontal="center" vertical="center" wrapText="1"/>
    </xf>
    <xf numFmtId="0" fontId="40" fillId="0" borderId="34" xfId="0" applyFont="1" applyBorder="1" applyAlignment="1" applyProtection="1">
      <alignment horizontal="center" vertical="center" wrapText="1"/>
    </xf>
    <xf numFmtId="0" fontId="40" fillId="0" borderId="35" xfId="0" applyFont="1" applyBorder="1" applyAlignment="1" applyProtection="1">
      <alignment horizontal="center" vertical="center" wrapText="1"/>
    </xf>
    <xf numFmtId="0" fontId="40" fillId="0" borderId="18" xfId="0" applyFont="1" applyBorder="1" applyAlignment="1" applyProtection="1">
      <alignment horizontal="center" vertical="center" wrapText="1"/>
    </xf>
    <xf numFmtId="0" fontId="57" fillId="43" borderId="0" xfId="0" applyFont="1" applyFill="1" applyBorder="1" applyAlignment="1" applyProtection="1">
      <alignment horizontal="center" vertical="center" wrapText="1"/>
    </xf>
    <xf numFmtId="0" fontId="57" fillId="43" borderId="23" xfId="0" applyFont="1" applyFill="1" applyBorder="1" applyAlignment="1" applyProtection="1">
      <alignment horizontal="center" vertical="center" wrapText="1"/>
    </xf>
    <xf numFmtId="0" fontId="57" fillId="43" borderId="18" xfId="0" applyFont="1" applyFill="1" applyBorder="1" applyAlignment="1" applyProtection="1">
      <alignment horizontal="center" vertical="center" wrapText="1"/>
    </xf>
    <xf numFmtId="0" fontId="57" fillId="43" borderId="56" xfId="0" applyFont="1" applyFill="1" applyBorder="1" applyAlignment="1" applyProtection="1">
      <alignment horizontal="center" vertical="center" wrapText="1"/>
    </xf>
    <xf numFmtId="0" fontId="44" fillId="62" borderId="32" xfId="0" applyFont="1" applyFill="1" applyBorder="1" applyAlignment="1" applyProtection="1">
      <alignment horizontal="center" vertical="center" wrapText="1"/>
    </xf>
    <xf numFmtId="0" fontId="44" fillId="62" borderId="0" xfId="0" applyFont="1" applyFill="1" applyBorder="1" applyAlignment="1" applyProtection="1">
      <alignment horizontal="center" vertical="center" wrapText="1"/>
    </xf>
    <xf numFmtId="0" fontId="44" fillId="62" borderId="16" xfId="0" applyFont="1" applyFill="1" applyBorder="1" applyAlignment="1" applyProtection="1">
      <alignment horizontal="center" vertical="center" wrapText="1"/>
    </xf>
    <xf numFmtId="0" fontId="44" fillId="62" borderId="42" xfId="0" applyFont="1" applyFill="1" applyBorder="1" applyAlignment="1" applyProtection="1">
      <alignment horizontal="center" vertical="center" wrapText="1"/>
    </xf>
    <xf numFmtId="0" fontId="44" fillId="62" borderId="18" xfId="0" applyFont="1" applyFill="1" applyBorder="1" applyAlignment="1" applyProtection="1">
      <alignment horizontal="center" vertical="center" wrapText="1"/>
    </xf>
    <xf numFmtId="0" fontId="44" fillId="62" borderId="20" xfId="0" applyFont="1" applyFill="1" applyBorder="1" applyAlignment="1" applyProtection="1">
      <alignment horizontal="center" vertical="center" wrapText="1"/>
    </xf>
    <xf numFmtId="0" fontId="44" fillId="62" borderId="66" xfId="0" applyFont="1" applyFill="1" applyBorder="1" applyAlignment="1" applyProtection="1">
      <alignment horizontal="center" vertical="center" wrapText="1"/>
    </xf>
    <xf numFmtId="0" fontId="44" fillId="62" borderId="13" xfId="0" applyFont="1" applyFill="1" applyBorder="1" applyAlignment="1" applyProtection="1">
      <alignment horizontal="center" vertical="center" wrapText="1"/>
    </xf>
    <xf numFmtId="0" fontId="44" fillId="62" borderId="14" xfId="0" applyFont="1" applyFill="1" applyBorder="1" applyAlignment="1" applyProtection="1">
      <alignment horizontal="center" vertical="center" wrapText="1"/>
    </xf>
    <xf numFmtId="0" fontId="40" fillId="33" borderId="19" xfId="0" applyFont="1" applyFill="1" applyBorder="1" applyAlignment="1" applyProtection="1">
      <alignment horizontal="center" vertical="center" wrapText="1"/>
      <protection locked="0"/>
    </xf>
    <xf numFmtId="0" fontId="40" fillId="0" borderId="11" xfId="0" applyFont="1" applyBorder="1" applyAlignment="1" applyProtection="1">
      <alignment horizontal="center" vertical="center"/>
      <protection locked="0"/>
    </xf>
    <xf numFmtId="0" fontId="52" fillId="35" borderId="19" xfId="0" applyFont="1" applyFill="1" applyBorder="1" applyAlignment="1" applyProtection="1">
      <alignment horizontal="center" vertical="center"/>
    </xf>
    <xf numFmtId="0" fontId="40" fillId="35" borderId="19" xfId="0" applyFont="1" applyFill="1" applyBorder="1" applyAlignment="1" applyProtection="1">
      <alignment vertical="center"/>
    </xf>
    <xf numFmtId="0" fontId="40" fillId="33" borderId="69" xfId="0" applyFont="1" applyFill="1" applyBorder="1" applyAlignment="1" applyProtection="1">
      <alignment horizontal="center" vertical="center" wrapText="1"/>
      <protection locked="0"/>
    </xf>
    <xf numFmtId="0" fontId="40" fillId="33" borderId="53" xfId="0" applyFont="1" applyFill="1" applyBorder="1" applyAlignment="1" applyProtection="1">
      <alignment horizontal="center" vertical="center" wrapText="1"/>
      <protection locked="0"/>
    </xf>
    <xf numFmtId="0" fontId="40" fillId="0" borderId="56" xfId="0" applyFont="1" applyBorder="1" applyAlignment="1" applyProtection="1">
      <alignment horizontal="center" vertical="center" wrapText="1"/>
    </xf>
    <xf numFmtId="0" fontId="51" fillId="33" borderId="49" xfId="0" applyFont="1" applyFill="1" applyBorder="1" applyAlignment="1" applyProtection="1">
      <alignment horizontal="center" vertical="center" wrapText="1"/>
    </xf>
    <xf numFmtId="0" fontId="40" fillId="0" borderId="49" xfId="0" applyFont="1" applyBorder="1" applyAlignment="1">
      <alignment vertical="center" wrapText="1"/>
    </xf>
    <xf numFmtId="0" fontId="40" fillId="0" borderId="72" xfId="0" applyFont="1" applyBorder="1" applyAlignment="1">
      <alignment vertical="center" wrapText="1"/>
    </xf>
    <xf numFmtId="0" fontId="40" fillId="0" borderId="19" xfId="0" applyFont="1" applyBorder="1" applyAlignment="1" applyProtection="1">
      <alignment horizontal="center" vertical="center" wrapText="1"/>
    </xf>
    <xf numFmtId="0" fontId="40" fillId="0" borderId="54" xfId="0" applyFont="1" applyBorder="1" applyAlignment="1" applyProtection="1">
      <alignment horizontal="center" vertical="center" wrapText="1"/>
    </xf>
    <xf numFmtId="3" fontId="40" fillId="33" borderId="45" xfId="0" applyNumberFormat="1" applyFont="1" applyFill="1" applyBorder="1" applyAlignment="1" applyProtection="1">
      <alignment horizontal="center" vertical="center"/>
      <protection locked="0"/>
    </xf>
    <xf numFmtId="3" fontId="40" fillId="0" borderId="70" xfId="0" applyNumberFormat="1" applyFont="1" applyBorder="1" applyAlignment="1" applyProtection="1">
      <alignment horizontal="center" vertical="center"/>
      <protection locked="0"/>
    </xf>
    <xf numFmtId="0" fontId="52" fillId="25" borderId="42" xfId="0" applyFont="1" applyFill="1" applyBorder="1" applyAlignment="1" applyProtection="1">
      <alignment horizontal="center" vertical="center" wrapText="1"/>
    </xf>
    <xf numFmtId="0" fontId="40" fillId="0" borderId="19" xfId="0" applyFont="1" applyBorder="1" applyAlignment="1" applyProtection="1">
      <alignment vertical="center" wrapText="1"/>
    </xf>
    <xf numFmtId="0" fontId="40" fillId="0" borderId="54" xfId="0" applyFont="1" applyBorder="1" applyAlignment="1" applyProtection="1">
      <alignment vertical="center" wrapText="1"/>
    </xf>
    <xf numFmtId="0" fontId="49" fillId="33" borderId="19" xfId="134" applyFont="1" applyFill="1" applyBorder="1" applyAlignment="1" applyProtection="1">
      <alignment horizontal="center" vertical="center"/>
    </xf>
    <xf numFmtId="0" fontId="40" fillId="0" borderId="19" xfId="0" applyFont="1" applyBorder="1" applyAlignment="1" applyProtection="1">
      <alignment horizontal="center" vertical="center"/>
    </xf>
    <xf numFmtId="0" fontId="52" fillId="35" borderId="60" xfId="0" applyFont="1" applyFill="1" applyBorder="1" applyAlignment="1" applyProtection="1">
      <alignment horizontal="center" vertical="center"/>
    </xf>
    <xf numFmtId="0" fontId="40" fillId="33" borderId="73" xfId="0" applyFont="1" applyFill="1" applyBorder="1" applyAlignment="1" applyProtection="1">
      <alignment horizontal="center" vertical="center" wrapText="1"/>
      <protection locked="0"/>
    </xf>
    <xf numFmtId="0" fontId="40" fillId="0" borderId="54" xfId="0" applyFont="1" applyBorder="1" applyAlignment="1" applyProtection="1">
      <alignment horizontal="center" vertical="center"/>
    </xf>
    <xf numFmtId="0" fontId="51" fillId="32" borderId="13" xfId="0" applyFont="1" applyFill="1" applyBorder="1" applyAlignment="1" applyProtection="1">
      <alignment vertical="center" wrapText="1"/>
    </xf>
    <xf numFmtId="0" fontId="40" fillId="32" borderId="14" xfId="0" applyFont="1" applyFill="1" applyBorder="1" applyAlignment="1" applyProtection="1">
      <alignment vertical="center"/>
    </xf>
    <xf numFmtId="0" fontId="51" fillId="32" borderId="0" xfId="0" applyFont="1" applyFill="1" applyBorder="1" applyAlignment="1" applyProtection="1">
      <alignment vertical="center" wrapText="1"/>
    </xf>
    <xf numFmtId="0" fontId="40" fillId="32" borderId="16" xfId="0" applyFont="1" applyFill="1" applyBorder="1" applyAlignment="1" applyProtection="1">
      <alignment vertical="center"/>
    </xf>
    <xf numFmtId="0" fontId="51" fillId="32" borderId="18" xfId="0" applyFont="1" applyFill="1" applyBorder="1" applyAlignment="1" applyProtection="1">
      <alignment vertical="center" wrapText="1"/>
    </xf>
    <xf numFmtId="0" fontId="40" fillId="32" borderId="20" xfId="0" applyFont="1" applyFill="1" applyBorder="1" applyAlignment="1" applyProtection="1">
      <alignment vertical="center"/>
    </xf>
    <xf numFmtId="0" fontId="49" fillId="33" borderId="30" xfId="134" applyFont="1" applyFill="1" applyBorder="1" applyAlignment="1" applyProtection="1">
      <alignment horizontal="center" vertical="center"/>
    </xf>
    <xf numFmtId="0" fontId="40" fillId="0" borderId="30" xfId="0" applyFont="1" applyBorder="1" applyAlignment="1" applyProtection="1">
      <alignment horizontal="center" vertical="center"/>
    </xf>
    <xf numFmtId="0" fontId="61" fillId="32" borderId="10" xfId="0" applyFont="1" applyFill="1" applyBorder="1" applyAlignment="1" applyProtection="1">
      <alignment vertical="center" wrapText="1"/>
    </xf>
    <xf numFmtId="0" fontId="61" fillId="0" borderId="19" xfId="0" applyFont="1" applyBorder="1" applyAlignment="1" applyProtection="1">
      <alignment vertical="center" wrapText="1"/>
    </xf>
    <xf numFmtId="0" fontId="61" fillId="0" borderId="54" xfId="0" applyFont="1" applyBorder="1" applyAlignment="1" applyProtection="1">
      <alignment vertical="center" wrapText="1"/>
    </xf>
    <xf numFmtId="0" fontId="40" fillId="38" borderId="74" xfId="0" applyFont="1" applyFill="1" applyBorder="1" applyAlignment="1" applyProtection="1">
      <alignment vertical="center"/>
    </xf>
    <xf numFmtId="0" fontId="40" fillId="38" borderId="67" xfId="0" applyFont="1" applyFill="1" applyBorder="1" applyAlignment="1" applyProtection="1">
      <alignment vertical="center"/>
    </xf>
    <xf numFmtId="0" fontId="40" fillId="38" borderId="39" xfId="0" applyFont="1" applyFill="1" applyBorder="1" applyAlignment="1" applyProtection="1">
      <alignment vertical="center"/>
    </xf>
    <xf numFmtId="3" fontId="42" fillId="35" borderId="14" xfId="0" applyNumberFormat="1" applyFont="1" applyFill="1" applyBorder="1" applyAlignment="1" applyProtection="1">
      <alignment vertical="center" wrapText="1"/>
    </xf>
    <xf numFmtId="3" fontId="40" fillId="35" borderId="74" xfId="0" applyNumberFormat="1" applyFont="1" applyFill="1" applyBorder="1" applyAlignment="1" applyProtection="1">
      <alignment vertical="center" wrapText="1"/>
    </xf>
    <xf numFmtId="3" fontId="42" fillId="35" borderId="43" xfId="179" applyNumberFormat="1" applyFont="1" applyFill="1" applyBorder="1" applyAlignment="1" applyProtection="1">
      <alignment vertical="center" wrapText="1"/>
    </xf>
    <xf numFmtId="3" fontId="40" fillId="35" borderId="74" xfId="179" applyNumberFormat="1" applyFont="1" applyFill="1" applyBorder="1" applyAlignment="1" applyProtection="1">
      <alignment vertical="center" wrapText="1"/>
    </xf>
    <xf numFmtId="3" fontId="42" fillId="35" borderId="43" xfId="0" applyNumberFormat="1" applyFont="1" applyFill="1" applyBorder="1" applyAlignment="1" applyProtection="1">
      <alignment vertical="center" wrapText="1"/>
    </xf>
    <xf numFmtId="0" fontId="40" fillId="0" borderId="18" xfId="0" applyFont="1" applyBorder="1" applyAlignment="1" applyProtection="1">
      <alignment vertical="center" wrapText="1"/>
    </xf>
    <xf numFmtId="0" fontId="40" fillId="0" borderId="56" xfId="0" applyFont="1" applyBorder="1" applyAlignment="1" applyProtection="1">
      <alignment vertical="center" wrapText="1"/>
    </xf>
    <xf numFmtId="0" fontId="61" fillId="32" borderId="60" xfId="0" applyFont="1" applyFill="1" applyBorder="1" applyAlignment="1" applyProtection="1">
      <alignment vertical="center" wrapText="1"/>
    </xf>
    <xf numFmtId="3" fontId="40" fillId="33" borderId="10" xfId="0" applyNumberFormat="1" applyFont="1" applyFill="1" applyBorder="1" applyAlignment="1" applyProtection="1">
      <alignment horizontal="right" vertical="center"/>
      <protection locked="0"/>
    </xf>
    <xf numFmtId="3" fontId="40" fillId="0" borderId="54" xfId="0" applyNumberFormat="1" applyFont="1" applyBorder="1" applyAlignment="1" applyProtection="1">
      <alignment horizontal="right" vertical="center"/>
      <protection locked="0"/>
    </xf>
    <xf numFmtId="3" fontId="40" fillId="35" borderId="10" xfId="0" applyNumberFormat="1" applyFont="1" applyFill="1" applyBorder="1" applyAlignment="1" applyProtection="1">
      <alignment vertical="center"/>
      <protection locked="0"/>
    </xf>
    <xf numFmtId="3" fontId="40" fillId="35" borderId="54" xfId="0" applyNumberFormat="1" applyFont="1" applyFill="1" applyBorder="1" applyAlignment="1" applyProtection="1">
      <alignment vertical="center"/>
      <protection locked="0"/>
    </xf>
    <xf numFmtId="3" fontId="40" fillId="35" borderId="19" xfId="0" applyNumberFormat="1" applyFont="1" applyFill="1" applyBorder="1" applyAlignment="1" applyProtection="1">
      <alignment vertical="center"/>
      <protection locked="0"/>
    </xf>
    <xf numFmtId="0" fontId="40" fillId="35" borderId="54" xfId="0" applyFont="1" applyFill="1" applyBorder="1" applyAlignment="1" applyProtection="1">
      <alignment vertical="center"/>
      <protection locked="0"/>
    </xf>
    <xf numFmtId="3" fontId="40" fillId="33" borderId="36" xfId="0" applyNumberFormat="1" applyFont="1" applyFill="1" applyBorder="1" applyAlignment="1" applyProtection="1">
      <alignment horizontal="right" vertical="center"/>
      <protection locked="0"/>
    </xf>
    <xf numFmtId="3" fontId="40" fillId="0" borderId="38" xfId="0" applyNumberFormat="1" applyFont="1" applyBorder="1" applyAlignment="1" applyProtection="1">
      <alignment horizontal="right" vertical="center"/>
      <protection locked="0"/>
    </xf>
    <xf numFmtId="0" fontId="42" fillId="40" borderId="0" xfId="0" applyFont="1" applyFill="1" applyBorder="1" applyAlignment="1" applyProtection="1">
      <alignment horizontal="left" vertical="center"/>
    </xf>
    <xf numFmtId="0" fontId="40" fillId="0" borderId="0" xfId="0" applyFont="1" applyBorder="1" applyAlignment="1" applyProtection="1">
      <alignment vertical="center"/>
    </xf>
    <xf numFmtId="0" fontId="76" fillId="25" borderId="71" xfId="134" applyFont="1" applyFill="1" applyBorder="1" applyAlignment="1" applyProtection="1">
      <alignment vertical="center"/>
    </xf>
    <xf numFmtId="0" fontId="76" fillId="0" borderId="30" xfId="134" applyFont="1" applyBorder="1" applyAlignment="1" applyProtection="1">
      <alignment vertical="center"/>
    </xf>
    <xf numFmtId="0" fontId="77" fillId="0" borderId="30" xfId="0" applyFont="1" applyBorder="1" applyAlignment="1">
      <alignment vertical="center"/>
    </xf>
    <xf numFmtId="0" fontId="40" fillId="0" borderId="19"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19" xfId="0" applyFont="1" applyBorder="1" applyAlignment="1">
      <alignment vertical="center" wrapText="1"/>
    </xf>
    <xf numFmtId="0" fontId="40" fillId="0" borderId="54" xfId="0" applyFont="1" applyBorder="1" applyAlignment="1">
      <alignment vertical="center" wrapText="1"/>
    </xf>
    <xf numFmtId="0" fontId="60" fillId="25" borderId="55" xfId="134" applyFont="1" applyFill="1" applyBorder="1" applyAlignment="1" applyProtection="1">
      <alignment horizontal="center" vertical="center" wrapText="1"/>
    </xf>
    <xf numFmtId="0" fontId="60" fillId="25" borderId="21" xfId="134" applyFont="1" applyFill="1" applyBorder="1" applyAlignment="1" applyProtection="1">
      <alignment horizontal="center" vertical="center" wrapText="1"/>
    </xf>
    <xf numFmtId="0" fontId="60" fillId="52" borderId="55" xfId="134" applyFont="1" applyFill="1" applyBorder="1" applyAlignment="1" applyProtection="1">
      <alignment horizontal="center" vertical="center"/>
    </xf>
    <xf numFmtId="0" fontId="60" fillId="52" borderId="21" xfId="134" applyFont="1" applyFill="1" applyBorder="1" applyAlignment="1" applyProtection="1">
      <alignment horizontal="center" vertical="center"/>
    </xf>
    <xf numFmtId="0" fontId="59" fillId="25" borderId="68" xfId="0" applyFont="1" applyFill="1" applyBorder="1" applyAlignment="1" applyProtection="1">
      <alignment horizontal="left" vertical="center" wrapText="1"/>
    </xf>
    <xf numFmtId="0" fontId="59" fillId="25" borderId="55" xfId="0" applyFont="1" applyFill="1" applyBorder="1" applyAlignment="1" applyProtection="1">
      <alignment horizontal="left" vertical="center" wrapText="1"/>
    </xf>
    <xf numFmtId="0" fontId="60" fillId="52" borderId="55" xfId="134" applyFont="1" applyFill="1" applyBorder="1" applyAlignment="1" applyProtection="1">
      <alignment horizontal="center" vertical="center" wrapText="1"/>
    </xf>
    <xf numFmtId="0" fontId="60" fillId="52" borderId="21" xfId="134" applyFont="1" applyFill="1" applyBorder="1" applyAlignment="1" applyProtection="1">
      <alignment horizontal="center" vertical="center" wrapText="1"/>
    </xf>
    <xf numFmtId="0" fontId="40" fillId="0" borderId="18" xfId="0" applyFont="1" applyBorder="1" applyAlignment="1" applyProtection="1">
      <alignment vertical="center"/>
    </xf>
    <xf numFmtId="0" fontId="40" fillId="0" borderId="56" xfId="0" applyFont="1" applyBorder="1" applyAlignment="1" applyProtection="1">
      <alignment vertical="center"/>
    </xf>
    <xf numFmtId="0" fontId="52" fillId="25" borderId="68" xfId="0" applyFont="1" applyFill="1" applyBorder="1" applyAlignment="1" applyProtection="1">
      <alignment horizontal="left" vertical="center"/>
    </xf>
    <xf numFmtId="0" fontId="52" fillId="25" borderId="55" xfId="0" applyFont="1" applyFill="1" applyBorder="1" applyAlignment="1" applyProtection="1">
      <alignment horizontal="left" vertical="center"/>
    </xf>
    <xf numFmtId="0" fontId="40" fillId="0" borderId="30" xfId="0" applyFont="1" applyBorder="1" applyAlignment="1">
      <alignment horizontal="center" vertical="center"/>
    </xf>
    <xf numFmtId="0" fontId="51" fillId="0" borderId="49" xfId="0" applyFont="1" applyBorder="1" applyAlignment="1">
      <alignment horizontal="center" vertical="center"/>
    </xf>
    <xf numFmtId="0" fontId="40" fillId="0" borderId="74" xfId="0" applyFont="1" applyFill="1" applyBorder="1" applyAlignment="1" applyProtection="1">
      <alignment vertical="center" wrapText="1"/>
    </xf>
    <xf numFmtId="0" fontId="40" fillId="0" borderId="75" xfId="0" applyFont="1" applyBorder="1" applyAlignment="1">
      <alignment vertical="center" wrapText="1"/>
    </xf>
    <xf numFmtId="0" fontId="52" fillId="35" borderId="11" xfId="0" applyFont="1" applyFill="1" applyBorder="1" applyAlignment="1" applyProtection="1">
      <alignment horizontal="center" vertical="center"/>
    </xf>
    <xf numFmtId="0" fontId="40" fillId="35" borderId="36" xfId="0" applyFont="1" applyFill="1" applyBorder="1" applyAlignment="1">
      <alignment vertical="center"/>
    </xf>
    <xf numFmtId="0" fontId="40" fillId="33" borderId="69" xfId="0" applyFont="1" applyFill="1" applyBorder="1" applyAlignment="1" applyProtection="1">
      <alignment horizontal="center" vertical="center"/>
      <protection locked="0"/>
    </xf>
    <xf numFmtId="0" fontId="40" fillId="33" borderId="53" xfId="0" applyFont="1" applyFill="1" applyBorder="1" applyAlignment="1" applyProtection="1">
      <alignment horizontal="center" vertical="center"/>
      <protection locked="0"/>
    </xf>
    <xf numFmtId="0" fontId="40" fillId="0" borderId="19" xfId="0" applyFont="1" applyBorder="1" applyAlignment="1">
      <alignment horizontal="center" vertical="center"/>
    </xf>
    <xf numFmtId="0" fontId="40" fillId="0" borderId="39" xfId="0" applyFont="1" applyBorder="1" applyAlignment="1">
      <alignment vertical="center" wrapText="1"/>
    </xf>
    <xf numFmtId="0" fontId="40" fillId="35" borderId="10" xfId="0" applyFont="1" applyFill="1" applyBorder="1" applyAlignment="1">
      <alignment vertical="center"/>
    </xf>
    <xf numFmtId="0" fontId="40" fillId="0" borderId="60" xfId="0" applyFont="1" applyBorder="1" applyAlignment="1" applyProtection="1">
      <alignment horizontal="center" vertical="center" wrapText="1"/>
      <protection locked="0"/>
    </xf>
    <xf numFmtId="0" fontId="52" fillId="25" borderId="66" xfId="0" applyFont="1" applyFill="1" applyBorder="1" applyAlignment="1" applyProtection="1">
      <alignment horizontal="center" vertical="center" wrapText="1"/>
    </xf>
    <xf numFmtId="0" fontId="40" fillId="0" borderId="13" xfId="0" applyFont="1" applyBorder="1" applyAlignment="1" applyProtection="1">
      <alignment vertical="center" wrapText="1"/>
    </xf>
    <xf numFmtId="0" fontId="40" fillId="0" borderId="25" xfId="0" applyFont="1" applyBorder="1" applyAlignment="1" applyProtection="1">
      <alignment vertical="center" wrapText="1"/>
    </xf>
    <xf numFmtId="0" fontId="40" fillId="0" borderId="13" xfId="0" applyFont="1" applyBorder="1" applyAlignment="1" applyProtection="1">
      <alignment horizontal="center" vertical="center" wrapText="1"/>
    </xf>
    <xf numFmtId="0" fontId="40" fillId="0" borderId="25" xfId="0" applyFont="1" applyBorder="1" applyAlignment="1" applyProtection="1">
      <alignment horizontal="center" vertical="center" wrapText="1"/>
    </xf>
    <xf numFmtId="3" fontId="42" fillId="35" borderId="44" xfId="0" applyNumberFormat="1" applyFont="1" applyFill="1" applyBorder="1" applyAlignment="1" applyProtection="1">
      <alignment vertical="center" wrapText="1"/>
    </xf>
    <xf numFmtId="3" fontId="40" fillId="35" borderId="41" xfId="0" applyNumberFormat="1" applyFont="1" applyFill="1" applyBorder="1" applyAlignment="1" applyProtection="1">
      <alignment vertical="center" wrapText="1"/>
    </xf>
    <xf numFmtId="0" fontId="76" fillId="25" borderId="65" xfId="134" applyFont="1" applyFill="1" applyBorder="1" applyAlignment="1" applyProtection="1">
      <alignment vertical="center"/>
    </xf>
    <xf numFmtId="0" fontId="78" fillId="0" borderId="55" xfId="134" applyFont="1" applyBorder="1" applyAlignment="1" applyProtection="1">
      <alignment vertical="center"/>
    </xf>
    <xf numFmtId="0" fontId="77" fillId="0" borderId="55" xfId="0" applyFont="1" applyBorder="1" applyAlignment="1">
      <alignment vertical="center"/>
    </xf>
    <xf numFmtId="0" fontId="49" fillId="33" borderId="0" xfId="134"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52" fillId="35" borderId="18" xfId="0" applyFont="1" applyFill="1" applyBorder="1" applyAlignment="1" applyProtection="1">
      <alignment horizontal="center" vertical="center"/>
    </xf>
    <xf numFmtId="0" fontId="40" fillId="35" borderId="18" xfId="0" applyFont="1" applyFill="1" applyBorder="1" applyAlignment="1" applyProtection="1">
      <alignment vertical="center"/>
    </xf>
    <xf numFmtId="0" fontId="52" fillId="25" borderId="0" xfId="0" applyFont="1" applyFill="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51" fillId="33" borderId="0" xfId="0" applyFont="1" applyFill="1" applyBorder="1" applyAlignment="1" applyProtection="1">
      <alignment horizontal="center" vertical="center" wrapText="1"/>
    </xf>
    <xf numFmtId="0" fontId="51" fillId="0" borderId="0" xfId="0" applyFont="1" applyBorder="1" applyAlignment="1">
      <alignment horizontal="center" vertical="center"/>
    </xf>
    <xf numFmtId="0" fontId="40" fillId="0" borderId="13" xfId="0" applyFont="1" applyBorder="1" applyAlignment="1" applyProtection="1">
      <alignment vertical="center"/>
    </xf>
    <xf numFmtId="0" fontId="40" fillId="0" borderId="25" xfId="0" applyFont="1" applyBorder="1" applyAlignment="1" applyProtection="1">
      <alignment vertical="center"/>
    </xf>
    <xf numFmtId="0" fontId="52" fillId="25" borderId="65" xfId="0" applyFont="1" applyFill="1" applyBorder="1" applyAlignment="1" applyProtection="1">
      <alignment horizontal="left" vertical="center"/>
    </xf>
    <xf numFmtId="0" fontId="52" fillId="25" borderId="65" xfId="0" applyFont="1" applyFill="1" applyBorder="1" applyAlignment="1" applyProtection="1">
      <alignment horizontal="left" vertical="center" wrapText="1"/>
    </xf>
    <xf numFmtId="0" fontId="52" fillId="25" borderId="55" xfId="0" applyFont="1" applyFill="1" applyBorder="1" applyAlignment="1" applyProtection="1">
      <alignment horizontal="left" vertical="center" wrapText="1"/>
    </xf>
    <xf numFmtId="0" fontId="40" fillId="25" borderId="19" xfId="0" applyFont="1" applyFill="1" applyBorder="1" applyAlignment="1">
      <alignment vertical="center" wrapText="1"/>
    </xf>
    <xf numFmtId="0" fontId="40" fillId="25" borderId="11" xfId="0" applyFont="1" applyFill="1" applyBorder="1" applyAlignment="1">
      <alignment vertical="center" wrapText="1"/>
    </xf>
    <xf numFmtId="0" fontId="49" fillId="33" borderId="18" xfId="134" applyFont="1" applyFill="1" applyBorder="1" applyAlignment="1" applyProtection="1">
      <alignment horizontal="center" vertical="center"/>
    </xf>
    <xf numFmtId="0" fontId="49" fillId="0" borderId="18" xfId="134" applyFont="1" applyBorder="1" applyAlignment="1" applyProtection="1">
      <alignment horizontal="center" vertical="center"/>
    </xf>
    <xf numFmtId="0" fontId="49" fillId="33" borderId="13" xfId="134" applyFont="1" applyFill="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25" xfId="0" applyFont="1" applyBorder="1" applyAlignment="1" applyProtection="1">
      <alignment horizontal="center" vertical="center"/>
    </xf>
    <xf numFmtId="0" fontId="40" fillId="33" borderId="13" xfId="0" applyFont="1" applyFill="1" applyBorder="1" applyAlignment="1" applyProtection="1">
      <alignment horizontal="center" vertical="center" wrapText="1"/>
      <protection locked="0"/>
    </xf>
    <xf numFmtId="0" fontId="40" fillId="0" borderId="14" xfId="0" applyFont="1" applyBorder="1" applyAlignment="1" applyProtection="1">
      <alignment horizontal="center" vertical="center"/>
      <protection locked="0"/>
    </xf>
    <xf numFmtId="0" fontId="40" fillId="35" borderId="36" xfId="0" applyFont="1" applyFill="1" applyBorder="1" applyAlignment="1" applyProtection="1">
      <alignment vertical="center"/>
    </xf>
    <xf numFmtId="0" fontId="52" fillId="25" borderId="37" xfId="0" applyFont="1" applyFill="1" applyBorder="1" applyAlignment="1" applyProtection="1">
      <alignment horizontal="center" vertical="center" wrapText="1"/>
    </xf>
    <xf numFmtId="0" fontId="40" fillId="0" borderId="37" xfId="0" applyFont="1" applyBorder="1" applyAlignment="1" applyProtection="1">
      <alignment horizontal="center" vertical="center" wrapText="1"/>
    </xf>
    <xf numFmtId="0" fontId="40" fillId="0" borderId="39" xfId="0" applyFont="1" applyBorder="1" applyAlignment="1" applyProtection="1">
      <alignment horizontal="center" vertical="center" wrapText="1"/>
    </xf>
    <xf numFmtId="0" fontId="52" fillId="35" borderId="20" xfId="0" applyFont="1" applyFill="1" applyBorder="1" applyAlignment="1" applyProtection="1">
      <alignment horizontal="center" vertical="center"/>
    </xf>
    <xf numFmtId="0" fontId="40" fillId="35" borderId="37" xfId="0" applyFont="1" applyFill="1" applyBorder="1" applyAlignment="1" applyProtection="1">
      <alignment vertical="center"/>
    </xf>
    <xf numFmtId="0" fontId="49" fillId="0" borderId="56" xfId="134" applyFont="1" applyBorder="1" applyAlignment="1" applyProtection="1">
      <alignment horizontal="center" vertical="center"/>
    </xf>
    <xf numFmtId="0" fontId="40" fillId="0" borderId="47" xfId="0" applyFont="1" applyFill="1" applyBorder="1" applyAlignment="1" applyProtection="1">
      <alignment vertical="center" wrapText="1"/>
    </xf>
    <xf numFmtId="0" fontId="40" fillId="0" borderId="50" xfId="0" applyFont="1" applyBorder="1" applyAlignment="1">
      <alignment vertical="center" wrapText="1"/>
    </xf>
    <xf numFmtId="0" fontId="40" fillId="0" borderId="37" xfId="0" applyFont="1" applyBorder="1" applyAlignment="1" applyProtection="1">
      <alignment vertical="center"/>
    </xf>
    <xf numFmtId="0" fontId="40" fillId="0" borderId="39" xfId="0" applyFont="1" applyBorder="1" applyAlignment="1" applyProtection="1">
      <alignment vertical="center"/>
    </xf>
    <xf numFmtId="0" fontId="40" fillId="0" borderId="76" xfId="0" applyFont="1" applyBorder="1" applyAlignment="1">
      <alignment vertical="center" wrapText="1"/>
    </xf>
    <xf numFmtId="0" fontId="40" fillId="35" borderId="37" xfId="0" applyFont="1" applyFill="1" applyBorder="1" applyAlignment="1">
      <alignment vertical="center"/>
    </xf>
    <xf numFmtId="0" fontId="40" fillId="0" borderId="13" xfId="0" applyFont="1" applyBorder="1" applyAlignment="1">
      <alignment horizontal="center" vertical="center"/>
    </xf>
    <xf numFmtId="0" fontId="40" fillId="0" borderId="37" xfId="0" applyFont="1" applyBorder="1" applyAlignment="1" applyProtection="1">
      <alignment vertical="center" wrapText="1"/>
    </xf>
    <xf numFmtId="0" fontId="40" fillId="0" borderId="39" xfId="0" applyFont="1" applyBorder="1" applyAlignment="1" applyProtection="1">
      <alignment vertical="center" wrapText="1"/>
    </xf>
    <xf numFmtId="0" fontId="51" fillId="33" borderId="27" xfId="0" applyFont="1" applyFill="1" applyBorder="1" applyAlignment="1" applyProtection="1">
      <alignment horizontal="center" vertical="center" wrapText="1"/>
    </xf>
    <xf numFmtId="0" fontId="51" fillId="0" borderId="27" xfId="0" applyFont="1" applyBorder="1" applyAlignment="1">
      <alignment horizontal="center" vertical="center"/>
    </xf>
    <xf numFmtId="3" fontId="40" fillId="35" borderId="44" xfId="0" applyNumberFormat="1" applyFont="1" applyFill="1" applyBorder="1" applyAlignment="1" applyProtection="1">
      <alignment vertical="center" wrapText="1"/>
    </xf>
    <xf numFmtId="0" fontId="52" fillId="25" borderId="54" xfId="0" applyFont="1" applyFill="1" applyBorder="1" applyAlignment="1" applyProtection="1">
      <alignment horizontal="center" vertical="center" wrapText="1"/>
    </xf>
    <xf numFmtId="0" fontId="40" fillId="0" borderId="0" xfId="0" applyFont="1" applyAlignment="1" applyProtection="1">
      <alignment horizontal="left" vertical="center"/>
    </xf>
    <xf numFmtId="0" fontId="61" fillId="32" borderId="60" xfId="0" applyFont="1" applyFill="1" applyBorder="1" applyAlignment="1" applyProtection="1">
      <alignment horizontal="left" vertical="center"/>
    </xf>
    <xf numFmtId="0" fontId="61" fillId="32" borderId="19" xfId="0" applyFont="1" applyFill="1" applyBorder="1" applyAlignment="1" applyProtection="1">
      <alignment horizontal="left" vertical="center"/>
    </xf>
    <xf numFmtId="0" fontId="40" fillId="32" borderId="19" xfId="0" applyFont="1" applyFill="1" applyBorder="1" applyAlignment="1" applyProtection="1">
      <alignment horizontal="left" vertical="center"/>
    </xf>
    <xf numFmtId="0" fontId="40" fillId="32" borderId="54" xfId="0" applyFont="1" applyFill="1" applyBorder="1" applyAlignment="1" applyProtection="1">
      <alignment horizontal="left" vertical="center"/>
    </xf>
    <xf numFmtId="0" fontId="52" fillId="25" borderId="32" xfId="0" applyFont="1" applyFill="1" applyBorder="1" applyAlignment="1" applyProtection="1">
      <alignment horizontal="center" vertical="center" wrapText="1"/>
    </xf>
    <xf numFmtId="0" fontId="52" fillId="25" borderId="23" xfId="0" applyFont="1" applyFill="1" applyBorder="1" applyAlignment="1" applyProtection="1">
      <alignment horizontal="center" vertical="center" wrapText="1"/>
    </xf>
    <xf numFmtId="0" fontId="52" fillId="26" borderId="42" xfId="0" applyFont="1" applyFill="1" applyBorder="1" applyAlignment="1" applyProtection="1">
      <alignment horizontal="center" vertical="center" wrapText="1"/>
    </xf>
    <xf numFmtId="0" fontId="40" fillId="26" borderId="18" xfId="0" applyFont="1" applyFill="1" applyBorder="1" applyAlignment="1" applyProtection="1">
      <alignment horizontal="center" vertical="center" wrapText="1"/>
    </xf>
    <xf numFmtId="0" fontId="52" fillId="27" borderId="37" xfId="0" applyFont="1" applyFill="1" applyBorder="1" applyAlignment="1" applyProtection="1">
      <alignment horizontal="center" vertical="center" wrapText="1"/>
    </xf>
    <xf numFmtId="0" fontId="52" fillId="25" borderId="55" xfId="0" applyFont="1" applyFill="1" applyBorder="1" applyAlignment="1" applyProtection="1">
      <alignment horizontal="center" vertical="center"/>
    </xf>
    <xf numFmtId="0" fontId="61" fillId="32" borderId="42" xfId="0" applyFont="1" applyFill="1" applyBorder="1" applyAlignment="1" applyProtection="1">
      <alignment horizontal="left" vertical="center" wrapText="1"/>
    </xf>
    <xf numFmtId="0" fontId="40" fillId="32" borderId="18" xfId="0" applyFont="1" applyFill="1" applyBorder="1" applyAlignment="1" applyProtection="1">
      <alignment horizontal="left" vertical="center" wrapText="1"/>
    </xf>
    <xf numFmtId="0" fontId="40" fillId="32" borderId="56" xfId="0" applyFont="1" applyFill="1" applyBorder="1" applyAlignment="1" applyProtection="1">
      <alignment horizontal="left" vertical="center" wrapText="1"/>
    </xf>
    <xf numFmtId="0" fontId="40" fillId="25" borderId="15" xfId="0" applyFont="1" applyFill="1" applyBorder="1" applyAlignment="1" applyProtection="1">
      <alignment horizontal="left" vertical="center"/>
    </xf>
    <xf numFmtId="0" fontId="40" fillId="25" borderId="0" xfId="0" applyFont="1" applyFill="1" applyBorder="1" applyAlignment="1" applyProtection="1">
      <alignment horizontal="left" vertical="center"/>
    </xf>
    <xf numFmtId="0" fontId="40" fillId="25" borderId="23" xfId="0" applyFont="1" applyFill="1" applyBorder="1" applyAlignment="1" applyProtection="1">
      <alignment horizontal="left" vertical="center"/>
    </xf>
    <xf numFmtId="0" fontId="52" fillId="25" borderId="42" xfId="0" applyFont="1" applyFill="1" applyBorder="1" applyAlignment="1" applyProtection="1">
      <alignment horizontal="left" vertical="center" wrapText="1"/>
    </xf>
    <xf numFmtId="0" fontId="40" fillId="25" borderId="18" xfId="0" applyFont="1" applyFill="1" applyBorder="1" applyAlignment="1" applyProtection="1">
      <alignment horizontal="left" vertical="center" wrapText="1"/>
    </xf>
    <xf numFmtId="0" fontId="40" fillId="25" borderId="20" xfId="0" applyFont="1" applyFill="1" applyBorder="1" applyAlignment="1" applyProtection="1">
      <alignment horizontal="left" vertical="center" wrapText="1"/>
    </xf>
    <xf numFmtId="0" fontId="79" fillId="32" borderId="60" xfId="134" applyFont="1" applyFill="1" applyBorder="1" applyAlignment="1" applyProtection="1">
      <alignment horizontal="left" vertical="center" wrapText="1"/>
    </xf>
    <xf numFmtId="0" fontId="49" fillId="32" borderId="19" xfId="134" applyFont="1" applyFill="1" applyBorder="1" applyAlignment="1" applyProtection="1">
      <alignment wrapText="1"/>
    </xf>
    <xf numFmtId="0" fontId="49" fillId="32" borderId="54" xfId="134" applyFont="1" applyFill="1" applyBorder="1" applyAlignment="1" applyProtection="1">
      <alignment wrapText="1"/>
    </xf>
    <xf numFmtId="0" fontId="42" fillId="33" borderId="0" xfId="0" applyFont="1" applyFill="1" applyBorder="1" applyAlignment="1" applyProtection="1">
      <alignment horizontal="left" vertical="center"/>
      <protection locked="0"/>
    </xf>
    <xf numFmtId="0" fontId="40" fillId="0" borderId="0" xfId="0" applyFont="1" applyBorder="1" applyAlignment="1" applyProtection="1">
      <alignment horizontal="left" vertical="center"/>
      <protection locked="0"/>
    </xf>
    <xf numFmtId="0" fontId="60" fillId="25" borderId="55" xfId="134" applyFont="1" applyFill="1" applyBorder="1" applyAlignment="1" applyProtection="1">
      <alignment horizontal="center" wrapText="1"/>
    </xf>
    <xf numFmtId="167" fontId="42" fillId="25" borderId="36" xfId="0" applyNumberFormat="1" applyFont="1" applyFill="1" applyBorder="1" applyAlignment="1" applyProtection="1">
      <alignment horizontal="right" vertical="center" wrapText="1"/>
    </xf>
    <xf numFmtId="167" fontId="40" fillId="25" borderId="38" xfId="0" applyNumberFormat="1" applyFont="1" applyFill="1" applyBorder="1" applyAlignment="1" applyProtection="1">
      <alignment horizontal="right" vertical="center" wrapText="1"/>
    </xf>
    <xf numFmtId="0" fontId="42" fillId="33" borderId="19" xfId="0" applyFont="1" applyFill="1" applyBorder="1" applyAlignment="1" applyProtection="1">
      <alignment horizontal="left" vertical="center" wrapText="1"/>
    </xf>
    <xf numFmtId="0" fontId="40" fillId="0" borderId="19" xfId="0" applyFont="1" applyBorder="1" applyAlignment="1">
      <alignment horizontal="left" vertical="center" wrapText="1"/>
    </xf>
    <xf numFmtId="0" fontId="40" fillId="0" borderId="11" xfId="0" applyFont="1" applyBorder="1" applyAlignment="1">
      <alignment horizontal="left" vertical="center" wrapText="1"/>
    </xf>
    <xf numFmtId="167" fontId="42" fillId="25" borderId="10" xfId="0" applyNumberFormat="1" applyFont="1" applyFill="1" applyBorder="1" applyAlignment="1" applyProtection="1">
      <alignment horizontal="right" vertical="center" wrapText="1"/>
    </xf>
    <xf numFmtId="167" fontId="42" fillId="25" borderId="11" xfId="0" applyNumberFormat="1" applyFont="1" applyFill="1" applyBorder="1" applyAlignment="1" applyProtection="1">
      <alignment horizontal="right" vertical="center" wrapText="1"/>
    </xf>
    <xf numFmtId="0" fontId="61" fillId="32" borderId="60" xfId="0" applyFont="1" applyFill="1" applyBorder="1" applyAlignment="1" applyProtection="1">
      <alignment horizontal="left" vertical="center" wrapText="1"/>
    </xf>
    <xf numFmtId="0" fontId="61" fillId="32" borderId="19" xfId="0" applyFont="1" applyFill="1" applyBorder="1" applyAlignment="1" applyProtection="1">
      <alignment horizontal="left" vertical="center" wrapText="1"/>
    </xf>
    <xf numFmtId="0" fontId="40" fillId="0" borderId="54" xfId="0" applyFont="1" applyBorder="1" applyAlignment="1">
      <alignment wrapText="1"/>
    </xf>
    <xf numFmtId="0" fontId="40" fillId="33" borderId="59" xfId="0" applyFont="1" applyFill="1" applyBorder="1" applyAlignment="1" applyProtection="1">
      <alignment horizontal="center" vertical="center"/>
    </xf>
    <xf numFmtId="0" fontId="40" fillId="0" borderId="59" xfId="0" applyFont="1" applyBorder="1" applyAlignment="1" applyProtection="1">
      <alignment horizontal="center" vertical="center"/>
    </xf>
    <xf numFmtId="0" fontId="40" fillId="0" borderId="21" xfId="0" applyFont="1" applyBorder="1" applyAlignment="1" applyProtection="1">
      <alignment horizontal="center" vertical="center"/>
    </xf>
    <xf numFmtId="0" fontId="52" fillId="25" borderId="27" xfId="0" applyFont="1" applyFill="1" applyBorder="1" applyAlignment="1" applyProtection="1">
      <alignment horizontal="center" vertical="center" wrapText="1"/>
    </xf>
    <xf numFmtId="0" fontId="40" fillId="0" borderId="27" xfId="0" applyFont="1" applyBorder="1" applyAlignment="1" applyProtection="1">
      <alignment horizontal="center" vertical="center" wrapText="1"/>
    </xf>
    <xf numFmtId="0" fontId="40" fillId="0" borderId="28" xfId="0" applyFont="1" applyBorder="1" applyAlignment="1" applyProtection="1">
      <alignment horizontal="center" vertical="center" wrapText="1"/>
    </xf>
    <xf numFmtId="0" fontId="40" fillId="36" borderId="10" xfId="0" applyFont="1" applyFill="1" applyBorder="1" applyAlignment="1">
      <alignment horizontal="center" vertical="center" wrapText="1"/>
    </xf>
    <xf numFmtId="0" fontId="40" fillId="0" borderId="11" xfId="0" applyFont="1" applyBorder="1" applyAlignment="1">
      <alignment horizontal="center" vertical="center"/>
    </xf>
    <xf numFmtId="167" fontId="40" fillId="33" borderId="44" xfId="0" applyNumberFormat="1" applyFont="1" applyFill="1" applyBorder="1" applyAlignment="1" applyProtection="1">
      <alignment horizontal="right" vertical="center"/>
      <protection locked="0"/>
    </xf>
    <xf numFmtId="167" fontId="40" fillId="33" borderId="41" xfId="0" applyNumberFormat="1" applyFont="1" applyFill="1" applyBorder="1" applyAlignment="1" applyProtection="1">
      <alignment horizontal="right" vertical="center"/>
      <protection locked="0"/>
    </xf>
    <xf numFmtId="167" fontId="40" fillId="25" borderId="36" xfId="0" applyNumberFormat="1" applyFont="1" applyFill="1" applyBorder="1" applyAlignment="1" applyProtection="1">
      <alignment horizontal="right" vertical="center" wrapText="1"/>
    </xf>
    <xf numFmtId="167" fontId="40" fillId="33" borderId="10" xfId="0" applyNumberFormat="1" applyFont="1" applyFill="1" applyBorder="1" applyAlignment="1" applyProtection="1">
      <alignment horizontal="right" vertical="center" wrapText="1"/>
      <protection locked="0"/>
    </xf>
    <xf numFmtId="167" fontId="40" fillId="33" borderId="11" xfId="0" applyNumberFormat="1" applyFont="1" applyFill="1" applyBorder="1" applyAlignment="1" applyProtection="1">
      <alignment horizontal="right" vertical="center" wrapText="1"/>
      <protection locked="0"/>
    </xf>
    <xf numFmtId="0" fontId="43" fillId="33" borderId="0" xfId="0" applyFont="1" applyFill="1" applyBorder="1" applyAlignment="1" applyProtection="1">
      <alignment horizontal="left" vertical="center" wrapText="1"/>
    </xf>
    <xf numFmtId="0" fontId="40" fillId="33" borderId="45" xfId="0" applyFont="1" applyFill="1" applyBorder="1" applyAlignment="1" applyProtection="1">
      <alignment horizontal="left" vertical="center" wrapText="1"/>
    </xf>
    <xf numFmtId="0" fontId="40" fillId="33" borderId="69" xfId="0" applyFont="1" applyFill="1" applyBorder="1" applyAlignment="1" applyProtection="1">
      <alignment horizontal="left" vertical="center" wrapText="1"/>
    </xf>
    <xf numFmtId="0" fontId="40" fillId="33" borderId="53" xfId="0" applyFont="1" applyFill="1" applyBorder="1" applyAlignment="1" applyProtection="1">
      <alignment horizontal="left" vertical="center" wrapText="1"/>
    </xf>
    <xf numFmtId="0" fontId="49" fillId="0" borderId="0" xfId="134" applyFont="1" applyAlignment="1" applyProtection="1">
      <alignment vertical="center"/>
    </xf>
    <xf numFmtId="167" fontId="40" fillId="25" borderId="11" xfId="0" applyNumberFormat="1" applyFont="1" applyFill="1" applyBorder="1" applyAlignment="1" applyProtection="1">
      <alignment horizontal="right" vertical="center" wrapText="1"/>
    </xf>
    <xf numFmtId="0" fontId="42" fillId="33" borderId="60" xfId="0" applyFont="1" applyFill="1" applyBorder="1" applyAlignment="1" applyProtection="1">
      <alignment horizontal="left" vertical="center" wrapText="1"/>
    </xf>
    <xf numFmtId="0" fontId="40" fillId="33" borderId="13" xfId="0" applyFont="1" applyFill="1" applyBorder="1" applyAlignment="1" applyProtection="1">
      <alignment horizontal="left" vertical="center" wrapText="1"/>
    </xf>
    <xf numFmtId="0" fontId="40" fillId="0" borderId="14" xfId="0" applyFont="1" applyBorder="1" applyAlignment="1"/>
    <xf numFmtId="0" fontId="40" fillId="33" borderId="19" xfId="0" applyFont="1" applyFill="1" applyBorder="1" applyAlignment="1" applyProtection="1">
      <alignment horizontal="left" vertical="center" wrapText="1"/>
    </xf>
    <xf numFmtId="167" fontId="42" fillId="25" borderId="45" xfId="0" applyNumberFormat="1" applyFont="1" applyFill="1" applyBorder="1" applyAlignment="1" applyProtection="1">
      <alignment horizontal="right" vertical="center" wrapText="1"/>
    </xf>
    <xf numFmtId="167" fontId="42" fillId="25" borderId="53" xfId="0" applyNumberFormat="1" applyFont="1" applyFill="1" applyBorder="1" applyAlignment="1" applyProtection="1">
      <alignment horizontal="right" vertical="center" wrapText="1"/>
    </xf>
    <xf numFmtId="167" fontId="42" fillId="25" borderId="44" xfId="0" applyNumberFormat="1" applyFont="1" applyFill="1" applyBorder="1" applyAlignment="1" applyProtection="1">
      <alignment horizontal="right" vertical="center" wrapText="1"/>
    </xf>
    <xf numFmtId="167" fontId="40" fillId="25" borderId="41" xfId="0" applyNumberFormat="1" applyFont="1" applyFill="1" applyBorder="1" applyAlignment="1" applyProtection="1">
      <alignment horizontal="right" vertical="center" wrapText="1"/>
    </xf>
    <xf numFmtId="167" fontId="40" fillId="25" borderId="44" xfId="0" applyNumberFormat="1" applyFont="1" applyFill="1" applyBorder="1" applyAlignment="1" applyProtection="1">
      <alignment horizontal="right" vertical="center" wrapText="1"/>
    </xf>
    <xf numFmtId="167" fontId="40" fillId="25" borderId="53" xfId="0" applyNumberFormat="1" applyFont="1" applyFill="1" applyBorder="1" applyAlignment="1" applyProtection="1">
      <alignment horizontal="right" vertical="center" wrapText="1"/>
    </xf>
    <xf numFmtId="0" fontId="42" fillId="33" borderId="73" xfId="0" applyFont="1" applyFill="1" applyBorder="1" applyAlignment="1" applyProtection="1">
      <alignment horizontal="left" vertical="center" wrapText="1"/>
    </xf>
    <xf numFmtId="0" fontId="40" fillId="0" borderId="69" xfId="0" applyFont="1" applyBorder="1" applyAlignment="1">
      <alignment wrapText="1"/>
    </xf>
    <xf numFmtId="0" fontId="40" fillId="0" borderId="53" xfId="0" applyFont="1" applyBorder="1" applyAlignment="1">
      <alignment wrapText="1"/>
    </xf>
    <xf numFmtId="0" fontId="40" fillId="0" borderId="19" xfId="0" applyFont="1" applyBorder="1" applyAlignment="1">
      <alignment wrapText="1"/>
    </xf>
    <xf numFmtId="0" fontId="40" fillId="0" borderId="11" xfId="0" applyFont="1" applyBorder="1" applyAlignment="1">
      <alignment wrapText="1"/>
    </xf>
    <xf numFmtId="0" fontId="42" fillId="33" borderId="0" xfId="0" applyFont="1" applyFill="1" applyBorder="1" applyAlignment="1">
      <alignment horizontal="left" vertical="center"/>
    </xf>
    <xf numFmtId="0" fontId="40" fillId="0" borderId="0" xfId="0" applyFont="1" applyBorder="1" applyAlignment="1">
      <alignment horizontal="left" vertical="center"/>
    </xf>
    <xf numFmtId="0" fontId="61" fillId="32" borderId="32" xfId="0" applyFont="1" applyFill="1" applyBorder="1" applyAlignment="1" applyProtection="1">
      <alignment horizontal="left" vertical="center" wrapText="1"/>
    </xf>
    <xf numFmtId="0" fontId="61" fillId="32" borderId="0" xfId="0" applyFont="1" applyFill="1" applyBorder="1" applyAlignment="1" applyProtection="1">
      <alignment horizontal="left" vertical="center" wrapText="1"/>
    </xf>
    <xf numFmtId="0" fontId="61" fillId="32" borderId="23" xfId="0" applyFont="1" applyFill="1" applyBorder="1" applyAlignment="1" applyProtection="1">
      <alignment horizontal="left" vertical="center" wrapText="1"/>
    </xf>
    <xf numFmtId="0" fontId="42" fillId="33" borderId="42" xfId="0" applyFont="1" applyFill="1" applyBorder="1" applyAlignment="1" applyProtection="1">
      <alignment horizontal="left" vertical="center" wrapText="1"/>
    </xf>
    <xf numFmtId="0" fontId="40" fillId="0" borderId="18" xfId="0" applyFont="1" applyBorder="1" applyAlignment="1">
      <alignment horizontal="left" vertical="center" wrapText="1"/>
    </xf>
    <xf numFmtId="0" fontId="40" fillId="0" borderId="20" xfId="0" applyFont="1" applyBorder="1" applyAlignment="1">
      <alignment horizontal="left" vertical="center" wrapText="1"/>
    </xf>
    <xf numFmtId="167" fontId="42" fillId="25" borderId="17" xfId="0" applyNumberFormat="1" applyFont="1" applyFill="1" applyBorder="1" applyAlignment="1" applyProtection="1">
      <alignment horizontal="right" vertical="center" wrapText="1"/>
    </xf>
    <xf numFmtId="167" fontId="42" fillId="25" borderId="56" xfId="0" applyNumberFormat="1" applyFont="1" applyFill="1" applyBorder="1" applyAlignment="1" applyProtection="1">
      <alignment horizontal="right" vertical="center" wrapText="1"/>
    </xf>
    <xf numFmtId="167" fontId="42" fillId="25" borderId="20" xfId="0" applyNumberFormat="1" applyFont="1" applyFill="1" applyBorder="1" applyAlignment="1" applyProtection="1">
      <alignment horizontal="right" vertical="center" wrapText="1"/>
    </xf>
    <xf numFmtId="0" fontId="40" fillId="33" borderId="10" xfId="0" applyFont="1" applyFill="1" applyBorder="1" applyAlignment="1" applyProtection="1">
      <alignment horizontal="left" vertical="center" wrapText="1"/>
    </xf>
    <xf numFmtId="0" fontId="40" fillId="33" borderId="11" xfId="0" applyFont="1" applyFill="1" applyBorder="1" applyAlignment="1" applyProtection="1">
      <alignment horizontal="left" vertical="center" wrapText="1"/>
    </xf>
    <xf numFmtId="166" fontId="40" fillId="33" borderId="36" xfId="0" applyNumberFormat="1" applyFont="1" applyFill="1" applyBorder="1" applyAlignment="1" applyProtection="1">
      <alignment horizontal="right" vertical="center"/>
      <protection locked="0"/>
    </xf>
    <xf numFmtId="166" fontId="40" fillId="33" borderId="38" xfId="0" applyNumberFormat="1" applyFont="1" applyFill="1" applyBorder="1" applyAlignment="1" applyProtection="1">
      <alignment horizontal="right" vertical="center"/>
      <protection locked="0"/>
    </xf>
    <xf numFmtId="0" fontId="40" fillId="33" borderId="12" xfId="134" applyFont="1" applyFill="1" applyBorder="1" applyAlignment="1" applyProtection="1">
      <alignment horizontal="left" vertical="center" wrapText="1"/>
    </xf>
    <xf numFmtId="0" fontId="40" fillId="0" borderId="13" xfId="134" applyFont="1" applyBorder="1" applyAlignment="1" applyProtection="1">
      <alignment horizontal="left" vertical="center" wrapText="1"/>
    </xf>
    <xf numFmtId="0" fontId="40" fillId="0" borderId="14" xfId="134" applyFont="1" applyBorder="1" applyAlignment="1" applyProtection="1">
      <alignment horizontal="left" vertical="center" wrapText="1"/>
    </xf>
    <xf numFmtId="0" fontId="40" fillId="0" borderId="17" xfId="134" applyFont="1" applyBorder="1" applyAlignment="1" applyProtection="1">
      <alignment horizontal="left" vertical="center" wrapText="1"/>
    </xf>
    <xf numFmtId="0" fontId="40" fillId="0" borderId="18" xfId="134" applyFont="1" applyBorder="1" applyAlignment="1" applyProtection="1">
      <alignment horizontal="left" vertical="center" wrapText="1"/>
    </xf>
    <xf numFmtId="0" fontId="40" fillId="0" borderId="20" xfId="134" applyFont="1" applyBorder="1" applyAlignment="1" applyProtection="1">
      <alignment horizontal="left" vertical="center" wrapText="1"/>
    </xf>
    <xf numFmtId="0" fontId="60" fillId="33" borderId="32" xfId="134" applyFont="1" applyFill="1" applyBorder="1" applyAlignment="1" applyProtection="1">
      <alignment horizontal="center" wrapText="1"/>
    </xf>
    <xf numFmtId="0" fontId="60" fillId="33" borderId="0" xfId="134" applyFont="1" applyFill="1" applyBorder="1" applyAlignment="1" applyProtection="1">
      <alignment horizontal="center" wrapText="1"/>
    </xf>
    <xf numFmtId="0" fontId="52" fillId="25" borderId="21" xfId="0" applyFont="1" applyFill="1" applyBorder="1" applyAlignment="1" applyProtection="1">
      <alignment horizontal="center" vertical="center"/>
    </xf>
    <xf numFmtId="0" fontId="49" fillId="33" borderId="0" xfId="134" applyFont="1" applyFill="1" applyBorder="1" applyAlignment="1" applyProtection="1">
      <alignment horizontal="left" vertical="center"/>
    </xf>
    <xf numFmtId="0" fontId="80" fillId="33" borderId="0" xfId="134" applyFont="1" applyFill="1" applyAlignment="1" applyProtection="1">
      <alignment horizontal="center" vertical="center" wrapText="1"/>
    </xf>
    <xf numFmtId="0" fontId="81" fillId="33" borderId="0" xfId="0" applyFont="1" applyFill="1" applyAlignment="1">
      <alignment horizontal="center" vertical="center" wrapText="1"/>
    </xf>
    <xf numFmtId="0" fontId="43" fillId="33" borderId="30" xfId="0" applyFont="1" applyFill="1" applyBorder="1" applyAlignment="1">
      <alignment horizontal="left" vertical="top" wrapText="1"/>
    </xf>
    <xf numFmtId="0" fontId="40" fillId="0" borderId="30" xfId="0" applyFont="1" applyBorder="1" applyAlignment="1">
      <alignment wrapText="1"/>
    </xf>
    <xf numFmtId="0" fontId="43" fillId="33" borderId="30" xfId="0" applyFont="1" applyFill="1" applyBorder="1" applyAlignment="1">
      <alignment horizontal="left" vertical="top" wrapText="1" indent="1"/>
    </xf>
    <xf numFmtId="0" fontId="40" fillId="0" borderId="30" xfId="0" applyFont="1" applyBorder="1" applyAlignment="1">
      <alignment horizontal="left" vertical="top" wrapText="1" indent="1"/>
    </xf>
    <xf numFmtId="0" fontId="43" fillId="0" borderId="30" xfId="0" applyFont="1" applyBorder="1" applyAlignment="1">
      <alignment horizontal="left" vertical="top" wrapText="1" indent="1"/>
    </xf>
    <xf numFmtId="0" fontId="60" fillId="33" borderId="0" xfId="134" applyFont="1" applyFill="1" applyBorder="1" applyAlignment="1" applyProtection="1">
      <alignment horizontal="center" vertical="center" wrapText="1"/>
    </xf>
    <xf numFmtId="0" fontId="60" fillId="0" borderId="0" xfId="134" applyFont="1" applyAlignment="1" applyProtection="1">
      <alignment horizontal="center" vertical="center"/>
    </xf>
    <xf numFmtId="0" fontId="60" fillId="32" borderId="0" xfId="134" applyFont="1" applyFill="1" applyBorder="1" applyAlignment="1" applyProtection="1">
      <alignment horizontal="center" vertical="center" wrapText="1"/>
    </xf>
    <xf numFmtId="0" fontId="60" fillId="32" borderId="0" xfId="134" applyFont="1" applyFill="1" applyAlignment="1" applyProtection="1">
      <alignment horizontal="center" vertical="center"/>
    </xf>
    <xf numFmtId="0" fontId="43" fillId="33" borderId="0" xfId="0" applyFont="1" applyFill="1" applyBorder="1" applyAlignment="1">
      <alignment horizontal="center" vertical="center" wrapText="1"/>
    </xf>
    <xf numFmtId="0" fontId="42" fillId="63" borderId="0" xfId="0" applyFont="1" applyFill="1" applyAlignment="1" applyProtection="1">
      <alignment horizontal="center" vertical="center"/>
    </xf>
    <xf numFmtId="0" fontId="57" fillId="45" borderId="65" xfId="0" applyFont="1" applyFill="1" applyBorder="1" applyAlignment="1" applyProtection="1">
      <alignment horizontal="left" vertical="center"/>
    </xf>
    <xf numFmtId="0" fontId="57" fillId="45" borderId="55" xfId="0" applyFont="1" applyFill="1" applyBorder="1" applyAlignment="1" applyProtection="1">
      <alignment horizontal="left" vertical="center"/>
    </xf>
    <xf numFmtId="0" fontId="57" fillId="45" borderId="21" xfId="0" applyFont="1" applyFill="1" applyBorder="1" applyAlignment="1" applyProtection="1">
      <alignment horizontal="left" vertical="center"/>
    </xf>
    <xf numFmtId="0" fontId="40" fillId="33" borderId="32" xfId="0" applyFont="1" applyFill="1" applyBorder="1" applyAlignment="1" applyProtection="1">
      <alignment horizontal="left" vertical="top" wrapText="1"/>
      <protection locked="0"/>
    </xf>
    <xf numFmtId="0" fontId="40" fillId="40" borderId="0" xfId="0" applyFont="1" applyFill="1" applyBorder="1" applyAlignment="1" applyProtection="1">
      <alignment horizontal="left" vertical="top" wrapText="1"/>
      <protection locked="0"/>
    </xf>
    <xf numFmtId="0" fontId="40" fillId="40" borderId="23" xfId="0" applyFont="1" applyFill="1" applyBorder="1" applyAlignment="1" applyProtection="1">
      <alignment horizontal="left" vertical="top" wrapText="1"/>
      <protection locked="0"/>
    </xf>
    <xf numFmtId="0" fontId="40" fillId="33" borderId="34" xfId="0" applyFont="1" applyFill="1" applyBorder="1" applyAlignment="1" applyProtection="1">
      <alignment horizontal="left" vertical="top" wrapText="1"/>
      <protection locked="0"/>
    </xf>
    <xf numFmtId="0" fontId="40" fillId="33" borderId="27" xfId="0" applyFont="1" applyFill="1" applyBorder="1" applyAlignment="1" applyProtection="1">
      <alignment horizontal="left" vertical="top" wrapText="1"/>
      <protection locked="0"/>
    </xf>
    <xf numFmtId="0" fontId="40" fillId="33" borderId="28" xfId="0" applyFont="1" applyFill="1" applyBorder="1" applyAlignment="1" applyProtection="1">
      <alignment horizontal="left" vertical="top" wrapText="1"/>
      <protection locked="0"/>
    </xf>
    <xf numFmtId="0" fontId="52" fillId="45" borderId="65" xfId="0" applyFont="1" applyFill="1" applyBorder="1" applyAlignment="1" applyProtection="1">
      <alignment horizontal="left" vertical="center" wrapText="1"/>
    </xf>
    <xf numFmtId="0" fontId="52" fillId="45" borderId="55" xfId="0" applyFont="1" applyFill="1" applyBorder="1" applyAlignment="1" applyProtection="1">
      <alignment horizontal="left" vertical="center" wrapText="1"/>
    </xf>
    <xf numFmtId="0" fontId="52" fillId="45" borderId="21" xfId="0" applyFont="1" applyFill="1" applyBorder="1" applyAlignment="1" applyProtection="1">
      <alignment horizontal="left" vertical="center" wrapText="1"/>
    </xf>
    <xf numFmtId="0" fontId="40" fillId="40" borderId="66" xfId="0" applyFont="1" applyFill="1" applyBorder="1" applyAlignment="1" applyProtection="1">
      <alignment horizontal="left" vertical="top" wrapText="1"/>
      <protection locked="0"/>
    </xf>
    <xf numFmtId="0" fontId="40" fillId="40" borderId="13" xfId="0" applyFont="1" applyFill="1" applyBorder="1" applyAlignment="1" applyProtection="1">
      <alignment horizontal="left" vertical="top" wrapText="1"/>
      <protection locked="0"/>
    </xf>
    <xf numFmtId="0" fontId="40" fillId="40" borderId="25" xfId="0" applyFont="1" applyFill="1" applyBorder="1" applyAlignment="1" applyProtection="1">
      <alignment horizontal="left" vertical="top" wrapText="1"/>
      <protection locked="0"/>
    </xf>
    <xf numFmtId="0" fontId="40" fillId="40" borderId="34" xfId="0" applyFont="1" applyFill="1" applyBorder="1" applyAlignment="1" applyProtection="1">
      <alignment horizontal="left" vertical="top" wrapText="1"/>
      <protection locked="0"/>
    </xf>
    <xf numFmtId="0" fontId="40" fillId="40" borderId="27" xfId="0" applyFont="1" applyFill="1" applyBorder="1" applyAlignment="1" applyProtection="1">
      <alignment horizontal="left" vertical="top" wrapText="1"/>
      <protection locked="0"/>
    </xf>
    <xf numFmtId="0" fontId="40" fillId="40" borderId="28" xfId="0" applyFont="1" applyFill="1" applyBorder="1" applyAlignment="1" applyProtection="1">
      <alignment horizontal="left" vertical="top" wrapText="1"/>
      <protection locked="0"/>
    </xf>
    <xf numFmtId="0" fontId="40" fillId="40" borderId="60" xfId="0" applyFont="1" applyFill="1" applyBorder="1" applyAlignment="1" applyProtection="1">
      <alignment horizontal="left" vertical="center" wrapText="1"/>
    </xf>
    <xf numFmtId="0" fontId="40" fillId="40" borderId="19" xfId="0" applyFont="1" applyFill="1" applyBorder="1" applyAlignment="1" applyProtection="1">
      <alignment horizontal="left" vertical="center" wrapText="1"/>
    </xf>
    <xf numFmtId="0" fontId="40" fillId="40" borderId="11" xfId="0" applyFont="1" applyFill="1" applyBorder="1" applyAlignment="1" applyProtection="1">
      <alignment horizontal="left" vertical="center" wrapText="1"/>
    </xf>
    <xf numFmtId="0" fontId="40" fillId="40" borderId="10" xfId="0" applyFont="1" applyFill="1" applyBorder="1" applyAlignment="1" applyProtection="1">
      <alignment horizontal="center" vertical="center" wrapText="1"/>
      <protection locked="0"/>
    </xf>
    <xf numFmtId="0" fontId="40" fillId="40" borderId="19" xfId="0" applyFont="1" applyFill="1" applyBorder="1" applyAlignment="1" applyProtection="1">
      <alignment horizontal="center" vertical="center" wrapText="1"/>
      <protection locked="0"/>
    </xf>
    <xf numFmtId="0" fontId="40" fillId="40" borderId="54" xfId="0" applyFont="1" applyFill="1" applyBorder="1" applyAlignment="1" applyProtection="1">
      <alignment horizontal="center" vertical="center" wrapText="1"/>
      <protection locked="0"/>
    </xf>
    <xf numFmtId="0" fontId="40" fillId="40" borderId="77" xfId="0" applyFont="1" applyFill="1" applyBorder="1" applyAlignment="1" applyProtection="1">
      <alignment vertical="center" wrapText="1"/>
    </xf>
    <xf numFmtId="0" fontId="40" fillId="40" borderId="78" xfId="0" applyFont="1" applyFill="1" applyBorder="1" applyAlignment="1" applyProtection="1">
      <alignment vertical="center" wrapText="1"/>
    </xf>
    <xf numFmtId="0" fontId="40" fillId="40" borderId="79" xfId="0" applyFont="1" applyFill="1" applyBorder="1" applyAlignment="1" applyProtection="1">
      <alignment vertical="center" wrapText="1"/>
    </xf>
    <xf numFmtId="0" fontId="40" fillId="40" borderId="32" xfId="0" applyFont="1" applyFill="1" applyBorder="1" applyAlignment="1" applyProtection="1">
      <alignment horizontal="left" vertical="top" wrapText="1"/>
      <protection locked="0"/>
    </xf>
    <xf numFmtId="0" fontId="40" fillId="40" borderId="42" xfId="0" applyFont="1" applyFill="1" applyBorder="1" applyAlignment="1" applyProtection="1">
      <alignment horizontal="left" vertical="top" wrapText="1"/>
      <protection locked="0"/>
    </xf>
    <xf numFmtId="0" fontId="40" fillId="40" borderId="18" xfId="0" applyFont="1" applyFill="1" applyBorder="1" applyAlignment="1" applyProtection="1">
      <alignment horizontal="left" vertical="top" wrapText="1"/>
      <protection locked="0"/>
    </xf>
    <xf numFmtId="0" fontId="40" fillId="40" borderId="56" xfId="0" applyFont="1" applyFill="1" applyBorder="1" applyAlignment="1" applyProtection="1">
      <alignment horizontal="left" vertical="top" wrapText="1"/>
      <protection locked="0"/>
    </xf>
    <xf numFmtId="0" fontId="40" fillId="40" borderId="77" xfId="0" applyFont="1" applyFill="1" applyBorder="1" applyAlignment="1" applyProtection="1">
      <alignment horizontal="left" vertical="center" wrapText="1"/>
    </xf>
    <xf numFmtId="0" fontId="40" fillId="40" borderId="78" xfId="0" applyFont="1" applyFill="1" applyBorder="1" applyAlignment="1" applyProtection="1">
      <alignment horizontal="left" vertical="center" wrapText="1"/>
    </xf>
    <xf numFmtId="0" fontId="40" fillId="40" borderId="79" xfId="0" applyFont="1" applyFill="1" applyBorder="1" applyAlignment="1" applyProtection="1">
      <alignment horizontal="left" vertical="center" wrapText="1"/>
    </xf>
    <xf numFmtId="0" fontId="40" fillId="33" borderId="23" xfId="0" applyFont="1" applyFill="1" applyBorder="1" applyAlignment="1" applyProtection="1">
      <alignment horizontal="left" vertical="top" wrapText="1"/>
      <protection locked="0"/>
    </xf>
    <xf numFmtId="0" fontId="40" fillId="0" borderId="77" xfId="0" applyFont="1" applyFill="1" applyBorder="1" applyAlignment="1" applyProtection="1">
      <alignment vertical="center" wrapText="1"/>
    </xf>
    <xf numFmtId="0" fontId="40" fillId="0" borderId="78" xfId="0" applyFont="1" applyFill="1" applyBorder="1" applyAlignment="1" applyProtection="1">
      <alignment vertical="center" wrapText="1"/>
    </xf>
    <xf numFmtId="0" fontId="40" fillId="0" borderId="79" xfId="0" applyFont="1" applyFill="1" applyBorder="1" applyAlignment="1" applyProtection="1">
      <alignment vertical="center" wrapText="1"/>
    </xf>
    <xf numFmtId="0" fontId="40" fillId="33" borderId="42" xfId="0" applyFont="1" applyFill="1" applyBorder="1" applyAlignment="1" applyProtection="1">
      <alignment horizontal="left" vertical="top" wrapText="1"/>
      <protection locked="0"/>
    </xf>
    <xf numFmtId="0" fontId="40" fillId="33" borderId="18" xfId="0" applyFont="1" applyFill="1" applyBorder="1" applyAlignment="1" applyProtection="1">
      <alignment horizontal="left" vertical="top" wrapText="1"/>
      <protection locked="0"/>
    </xf>
    <xf numFmtId="0" fontId="40" fillId="33" borderId="56" xfId="0" applyFont="1" applyFill="1" applyBorder="1" applyAlignment="1" applyProtection="1">
      <alignment horizontal="left" vertical="top" wrapText="1"/>
      <protection locked="0"/>
    </xf>
    <xf numFmtId="0" fontId="40" fillId="40" borderId="77" xfId="0" applyFont="1" applyFill="1" applyBorder="1" applyAlignment="1" applyProtection="1">
      <alignment vertical="center"/>
    </xf>
    <xf numFmtId="0" fontId="40" fillId="40" borderId="78" xfId="0" applyFont="1" applyFill="1" applyBorder="1" applyAlignment="1" applyProtection="1">
      <alignment vertical="center"/>
    </xf>
    <xf numFmtId="0" fontId="40" fillId="40" borderId="79" xfId="0" applyFont="1" applyFill="1" applyBorder="1" applyAlignment="1" applyProtection="1">
      <alignment vertical="center"/>
    </xf>
    <xf numFmtId="0" fontId="40" fillId="40" borderId="66" xfId="0" applyFont="1" applyFill="1" applyBorder="1" applyAlignment="1" applyProtection="1">
      <alignment horizontal="left" vertical="center" wrapText="1"/>
    </xf>
    <xf numFmtId="0" fontId="40" fillId="40" borderId="13" xfId="0" applyFont="1" applyFill="1" applyBorder="1" applyAlignment="1" applyProtection="1">
      <alignment horizontal="left" vertical="center" wrapText="1"/>
    </xf>
    <xf numFmtId="0" fontId="40" fillId="40" borderId="14" xfId="0" applyFont="1" applyFill="1" applyBorder="1" applyAlignment="1" applyProtection="1">
      <alignment horizontal="left" vertical="center" wrapText="1"/>
    </xf>
    <xf numFmtId="0" fontId="42" fillId="40" borderId="0" xfId="0" applyFont="1" applyFill="1" applyBorder="1" applyAlignment="1" applyProtection="1">
      <alignment horizontal="center" vertical="center"/>
    </xf>
    <xf numFmtId="0" fontId="40" fillId="33" borderId="52" xfId="0" applyFont="1" applyFill="1" applyBorder="1" applyAlignment="1" applyProtection="1">
      <alignment horizontal="left" vertical="center" wrapText="1"/>
      <protection locked="0"/>
    </xf>
    <xf numFmtId="0" fontId="40" fillId="33" borderId="44" xfId="0" applyFont="1" applyFill="1" applyBorder="1" applyAlignment="1" applyProtection="1">
      <alignment horizontal="left" vertical="center"/>
      <protection locked="0"/>
    </xf>
    <xf numFmtId="0" fontId="40" fillId="33" borderId="41" xfId="0" applyFont="1" applyFill="1" applyBorder="1" applyAlignment="1" applyProtection="1">
      <alignment horizontal="left" vertical="center"/>
      <protection locked="0"/>
    </xf>
    <xf numFmtId="0" fontId="52" fillId="45" borderId="62" xfId="0" applyFont="1" applyFill="1" applyBorder="1" applyAlignment="1" applyProtection="1">
      <alignment vertical="center" wrapText="1"/>
    </xf>
    <xf numFmtId="0" fontId="52" fillId="45" borderId="63" xfId="0" applyFont="1" applyFill="1" applyBorder="1" applyAlignment="1" applyProtection="1">
      <alignment vertical="center" wrapText="1"/>
    </xf>
    <xf numFmtId="0" fontId="52" fillId="45" borderId="64" xfId="0" applyFont="1" applyFill="1" applyBorder="1" applyAlignment="1" applyProtection="1">
      <alignment vertical="center" wrapText="1"/>
    </xf>
    <xf numFmtId="0" fontId="40" fillId="40" borderId="14" xfId="0" applyFont="1" applyFill="1" applyBorder="1" applyAlignment="1" applyProtection="1">
      <alignment horizontal="left" vertical="top" wrapText="1"/>
      <protection locked="0"/>
    </xf>
    <xf numFmtId="0" fontId="40" fillId="40" borderId="20" xfId="0" applyFont="1" applyFill="1" applyBorder="1" applyAlignment="1" applyProtection="1">
      <alignment horizontal="left" vertical="top" wrapText="1"/>
      <protection locked="0"/>
    </xf>
    <xf numFmtId="0" fontId="42" fillId="40" borderId="10" xfId="0" applyFont="1" applyFill="1" applyBorder="1" applyAlignment="1" applyProtection="1">
      <alignment horizontal="center" vertical="center" wrapText="1"/>
    </xf>
    <xf numFmtId="0" fontId="42" fillId="40" borderId="19" xfId="0" applyFont="1" applyFill="1" applyBorder="1" applyAlignment="1" applyProtection="1">
      <alignment horizontal="center" vertical="center" wrapText="1"/>
    </xf>
    <xf numFmtId="0" fontId="42" fillId="40" borderId="11" xfId="0" applyFont="1" applyFill="1" applyBorder="1" applyAlignment="1" applyProtection="1">
      <alignment horizontal="center" vertical="center" wrapText="1"/>
    </xf>
    <xf numFmtId="0" fontId="57" fillId="45" borderId="59" xfId="0" applyFont="1" applyFill="1" applyBorder="1" applyAlignment="1" applyProtection="1">
      <alignment horizontal="left" vertical="center" wrapText="1"/>
    </xf>
    <xf numFmtId="0" fontId="57" fillId="45" borderId="36" xfId="0" applyFont="1" applyFill="1" applyBorder="1" applyAlignment="1" applyProtection="1">
      <alignment horizontal="left" vertical="center" wrapText="1"/>
    </xf>
    <xf numFmtId="0" fontId="57" fillId="45" borderId="38" xfId="0" applyFont="1" applyFill="1" applyBorder="1" applyAlignment="1" applyProtection="1">
      <alignment horizontal="left" vertical="center" wrapText="1"/>
    </xf>
    <xf numFmtId="0" fontId="57" fillId="45" borderId="58" xfId="0" applyFont="1" applyFill="1" applyBorder="1" applyAlignment="1" applyProtection="1">
      <alignment horizontal="center" vertical="center" wrapText="1"/>
    </xf>
    <xf numFmtId="0" fontId="57" fillId="45" borderId="37" xfId="0" applyFont="1" applyFill="1" applyBorder="1" applyAlignment="1" applyProtection="1">
      <alignment horizontal="center" vertical="center" wrapText="1"/>
    </xf>
    <xf numFmtId="0" fontId="57" fillId="45" borderId="20" xfId="0" applyFont="1" applyFill="1" applyBorder="1" applyAlignment="1" applyProtection="1">
      <alignment horizontal="center" vertical="center" wrapText="1"/>
    </xf>
    <xf numFmtId="0" fontId="57" fillId="45" borderId="39" xfId="0" applyFont="1" applyFill="1" applyBorder="1" applyAlignment="1" applyProtection="1">
      <alignment horizontal="center" vertical="center" wrapText="1"/>
    </xf>
    <xf numFmtId="0" fontId="57" fillId="45" borderId="80" xfId="0" applyFont="1" applyFill="1" applyBorder="1" applyAlignment="1" applyProtection="1">
      <alignment horizontal="left" vertical="center"/>
    </xf>
    <xf numFmtId="0" fontId="57" fillId="45" borderId="30" xfId="0" applyFont="1" applyFill="1" applyBorder="1" applyAlignment="1" applyProtection="1">
      <alignment horizontal="center" vertical="center" wrapText="1"/>
    </xf>
    <xf numFmtId="0" fontId="57" fillId="45" borderId="18" xfId="0" applyFont="1" applyFill="1" applyBorder="1" applyAlignment="1" applyProtection="1">
      <alignment horizontal="center" vertical="center" wrapText="1"/>
    </xf>
    <xf numFmtId="0" fontId="49" fillId="45" borderId="30" xfId="134" applyFont="1" applyFill="1" applyBorder="1" applyAlignment="1" applyProtection="1">
      <alignment horizontal="center" vertical="center" wrapText="1"/>
    </xf>
    <xf numFmtId="0" fontId="49" fillId="45" borderId="31" xfId="134" applyFont="1" applyFill="1" applyBorder="1" applyAlignment="1" applyProtection="1">
      <alignment horizontal="center" vertical="center" wrapText="1"/>
    </xf>
    <xf numFmtId="0" fontId="57" fillId="45" borderId="10" xfId="0" applyFont="1" applyFill="1" applyBorder="1" applyAlignment="1" applyProtection="1">
      <alignment horizontal="left" vertical="center"/>
    </xf>
    <xf numFmtId="0" fontId="57" fillId="45" borderId="19" xfId="0" applyFont="1" applyFill="1" applyBorder="1" applyAlignment="1" applyProtection="1">
      <alignment horizontal="left" vertical="center"/>
    </xf>
    <xf numFmtId="0" fontId="57" fillId="45" borderId="11" xfId="0" applyFont="1" applyFill="1" applyBorder="1" applyAlignment="1" applyProtection="1">
      <alignment horizontal="left" vertical="center"/>
    </xf>
    <xf numFmtId="0" fontId="40" fillId="33" borderId="32" xfId="0" applyFont="1" applyFill="1" applyBorder="1" applyAlignment="1" applyProtection="1">
      <alignment horizontal="right" vertical="center" wrapText="1"/>
    </xf>
    <xf numFmtId="0" fontId="40" fillId="33" borderId="0" xfId="0" applyFont="1" applyFill="1" applyBorder="1" applyAlignment="1" applyProtection="1">
      <alignment horizontal="right" vertical="center" wrapText="1"/>
    </xf>
    <xf numFmtId="0" fontId="40" fillId="33" borderId="16" xfId="0" applyFont="1" applyFill="1" applyBorder="1" applyAlignment="1" applyProtection="1">
      <alignment horizontal="right" vertical="center" wrapText="1"/>
    </xf>
    <xf numFmtId="3" fontId="40" fillId="33" borderId="10" xfId="0" applyNumberFormat="1" applyFont="1" applyFill="1" applyBorder="1" applyAlignment="1" applyProtection="1">
      <alignment horizontal="right" vertical="center" indent="1"/>
      <protection locked="0"/>
    </xf>
    <xf numFmtId="3" fontId="40" fillId="33" borderId="11" xfId="0" applyNumberFormat="1" applyFont="1" applyFill="1" applyBorder="1" applyAlignment="1" applyProtection="1">
      <alignment horizontal="right" vertical="center" indent="1"/>
      <protection locked="0"/>
    </xf>
    <xf numFmtId="0" fontId="40" fillId="33" borderId="26" xfId="0" applyFont="1" applyFill="1" applyBorder="1" applyAlignment="1" applyProtection="1">
      <alignment horizontal="center" vertical="center" wrapText="1"/>
    </xf>
    <xf numFmtId="0" fontId="40" fillId="33" borderId="40" xfId="0" applyFont="1" applyFill="1" applyBorder="1" applyAlignment="1" applyProtection="1">
      <alignment horizontal="center" vertical="center" wrapText="1"/>
    </xf>
    <xf numFmtId="0" fontId="40" fillId="33" borderId="44" xfId="0" applyFont="1" applyFill="1" applyBorder="1" applyAlignment="1" applyProtection="1">
      <alignment horizontal="center" vertical="center" wrapText="1"/>
    </xf>
    <xf numFmtId="173" fontId="40" fillId="33" borderId="44" xfId="0" applyNumberFormat="1" applyFont="1" applyFill="1" applyBorder="1" applyAlignment="1" applyProtection="1">
      <alignment horizontal="center" vertical="center"/>
      <protection locked="0"/>
    </xf>
    <xf numFmtId="3" fontId="40" fillId="33" borderId="45" xfId="0" applyNumberFormat="1" applyFont="1" applyFill="1" applyBorder="1" applyAlignment="1" applyProtection="1">
      <alignment horizontal="left" vertical="center" indent="1"/>
    </xf>
    <xf numFmtId="3" fontId="40" fillId="33" borderId="53" xfId="0" applyNumberFormat="1" applyFont="1" applyFill="1" applyBorder="1" applyAlignment="1" applyProtection="1">
      <alignment horizontal="left" vertical="center" indent="1"/>
    </xf>
    <xf numFmtId="0" fontId="43" fillId="33" borderId="27" xfId="0" applyFont="1" applyFill="1" applyBorder="1" applyAlignment="1" applyProtection="1">
      <alignment horizontal="left" vertical="center" wrapText="1"/>
    </xf>
    <xf numFmtId="0" fontId="40" fillId="0" borderId="10" xfId="0" applyNumberFormat="1" applyFont="1" applyBorder="1" applyAlignment="1" applyProtection="1">
      <alignment horizontal="left" vertical="center" indent="1"/>
      <protection locked="0"/>
    </xf>
    <xf numFmtId="0" fontId="40" fillId="0" borderId="19" xfId="0" applyNumberFormat="1" applyFont="1" applyBorder="1" applyAlignment="1" applyProtection="1">
      <alignment horizontal="left" vertical="center" indent="1"/>
      <protection locked="0"/>
    </xf>
    <xf numFmtId="0" fontId="40" fillId="0" borderId="11" xfId="0" applyNumberFormat="1" applyFont="1" applyBorder="1" applyAlignment="1" applyProtection="1">
      <alignment horizontal="left" vertical="center" indent="1"/>
      <protection locked="0"/>
    </xf>
    <xf numFmtId="0" fontId="43" fillId="40" borderId="15" xfId="0" applyFont="1" applyFill="1" applyBorder="1" applyAlignment="1" applyProtection="1">
      <alignment horizontal="left" vertical="center"/>
    </xf>
    <xf numFmtId="0" fontId="43" fillId="40" borderId="0" xfId="0" applyFont="1" applyFill="1" applyBorder="1" applyAlignment="1" applyProtection="1">
      <alignment horizontal="left" vertical="center"/>
    </xf>
    <xf numFmtId="5" fontId="40" fillId="40" borderId="32" xfId="0" applyNumberFormat="1" applyFont="1" applyFill="1" applyBorder="1" applyAlignment="1" applyProtection="1">
      <alignment horizontal="right" vertical="center" wrapText="1"/>
    </xf>
    <xf numFmtId="5" fontId="40" fillId="40" borderId="0" xfId="0" applyNumberFormat="1" applyFont="1" applyFill="1" applyBorder="1" applyAlignment="1" applyProtection="1">
      <alignment horizontal="right" vertical="center" wrapText="1"/>
    </xf>
    <xf numFmtId="5" fontId="40" fillId="40" borderId="16" xfId="0" applyNumberFormat="1" applyFont="1" applyFill="1" applyBorder="1" applyAlignment="1" applyProtection="1">
      <alignment horizontal="right" vertical="center" wrapText="1"/>
    </xf>
    <xf numFmtId="170" fontId="40" fillId="33" borderId="10" xfId="0" applyNumberFormat="1" applyFont="1" applyFill="1" applyBorder="1" applyAlignment="1" applyProtection="1">
      <alignment horizontal="right" vertical="center" indent="1"/>
      <protection locked="0"/>
    </xf>
    <xf numFmtId="170" fontId="40" fillId="33" borderId="11" xfId="0" applyNumberFormat="1" applyFont="1" applyFill="1" applyBorder="1" applyAlignment="1" applyProtection="1">
      <alignment horizontal="right" vertical="center" indent="1"/>
      <protection locked="0"/>
    </xf>
    <xf numFmtId="0" fontId="60" fillId="33" borderId="36" xfId="134" applyFont="1" applyFill="1" applyBorder="1" applyAlignment="1" applyProtection="1">
      <alignment horizontal="center" vertical="center" wrapText="1"/>
    </xf>
    <xf numFmtId="0" fontId="43" fillId="33" borderId="15" xfId="0" applyFont="1" applyFill="1" applyBorder="1" applyAlignment="1" applyProtection="1">
      <alignment horizontal="left" vertical="center" wrapText="1"/>
    </xf>
    <xf numFmtId="0" fontId="49" fillId="33" borderId="71" xfId="134" applyFont="1" applyFill="1" applyBorder="1" applyAlignment="1" applyProtection="1">
      <alignment horizontal="center" vertical="center" wrapText="1"/>
    </xf>
    <xf numFmtId="0" fontId="49" fillId="33" borderId="30" xfId="134" applyFont="1" applyFill="1" applyBorder="1" applyAlignment="1" applyProtection="1">
      <alignment horizontal="center" vertical="center" wrapText="1"/>
    </xf>
    <xf numFmtId="0" fontId="52" fillId="62" borderId="59" xfId="0" applyFont="1" applyFill="1" applyBorder="1" applyAlignment="1" applyProtection="1">
      <alignment horizontal="right" vertical="center" wrapText="1"/>
    </xf>
    <xf numFmtId="0" fontId="52" fillId="62" borderId="36" xfId="0" applyFont="1" applyFill="1" applyBorder="1" applyAlignment="1" applyProtection="1">
      <alignment horizontal="right" vertical="center" wrapText="1"/>
    </xf>
    <xf numFmtId="0" fontId="42" fillId="40" borderId="10" xfId="0" applyFont="1" applyFill="1" applyBorder="1" applyAlignment="1" applyProtection="1">
      <alignment horizontal="left" vertical="center" wrapText="1" indent="1"/>
      <protection locked="0"/>
    </xf>
    <xf numFmtId="0" fontId="42" fillId="40" borderId="19" xfId="0" applyFont="1" applyFill="1" applyBorder="1" applyAlignment="1" applyProtection="1">
      <alignment horizontal="left" vertical="center" wrapText="1" indent="1"/>
      <protection locked="0"/>
    </xf>
    <xf numFmtId="0" fontId="42" fillId="40" borderId="11" xfId="0" applyFont="1" applyFill="1" applyBorder="1" applyAlignment="1" applyProtection="1">
      <alignment horizontal="left" vertical="center" wrapText="1" indent="1"/>
      <protection locked="0"/>
    </xf>
    <xf numFmtId="0" fontId="40" fillId="52" borderId="73" xfId="0" applyFont="1" applyFill="1" applyBorder="1" applyAlignment="1" applyProtection="1">
      <alignment horizontal="center" vertical="center"/>
    </xf>
    <xf numFmtId="0" fontId="40" fillId="52" borderId="69" xfId="0" applyFont="1" applyFill="1" applyBorder="1" applyAlignment="1" applyProtection="1">
      <alignment horizontal="center" vertical="center"/>
    </xf>
    <xf numFmtId="0" fontId="40" fillId="52" borderId="70" xfId="0" applyFont="1" applyFill="1" applyBorder="1" applyAlignment="1" applyProtection="1">
      <alignment horizontal="center" vertical="center"/>
    </xf>
    <xf numFmtId="0" fontId="40" fillId="33" borderId="66" xfId="0" applyFont="1" applyFill="1" applyBorder="1" applyAlignment="1" applyProtection="1">
      <alignment horizontal="right" vertical="center" wrapText="1"/>
    </xf>
    <xf numFmtId="0" fontId="40" fillId="33" borderId="13" xfId="0" applyFont="1" applyFill="1" applyBorder="1" applyAlignment="1" applyProtection="1">
      <alignment horizontal="right" vertical="center" wrapText="1"/>
    </xf>
    <xf numFmtId="0" fontId="40" fillId="33" borderId="14" xfId="0" applyFont="1" applyFill="1" applyBorder="1" applyAlignment="1" applyProtection="1">
      <alignment horizontal="right" vertical="center" wrapText="1"/>
    </xf>
    <xf numFmtId="0" fontId="52" fillId="25" borderId="66" xfId="0" applyFont="1" applyFill="1" applyBorder="1" applyAlignment="1" applyProtection="1">
      <alignment horizontal="left" vertical="center"/>
    </xf>
    <xf numFmtId="0" fontId="52" fillId="25" borderId="13" xfId="0" applyFont="1" applyFill="1" applyBorder="1" applyAlignment="1" applyProtection="1">
      <alignment horizontal="left" vertical="center"/>
    </xf>
    <xf numFmtId="0" fontId="57" fillId="25" borderId="14" xfId="0" applyFont="1" applyFill="1" applyBorder="1" applyAlignment="1" applyProtection="1">
      <alignment horizontal="center" vertical="center"/>
    </xf>
    <xf numFmtId="0" fontId="57" fillId="25" borderId="43" xfId="0" applyFont="1" applyFill="1" applyBorder="1" applyAlignment="1" applyProtection="1">
      <alignment horizontal="center" vertical="center"/>
    </xf>
    <xf numFmtId="0" fontId="40" fillId="40" borderId="81" xfId="0" applyFont="1" applyFill="1" applyBorder="1" applyAlignment="1" applyProtection="1">
      <alignment vertical="center" wrapText="1"/>
    </xf>
    <xf numFmtId="0" fontId="40" fillId="40" borderId="82" xfId="0" applyFont="1" applyFill="1" applyBorder="1" applyAlignment="1" applyProtection="1">
      <alignment vertical="center" wrapText="1"/>
    </xf>
    <xf numFmtId="0" fontId="40" fillId="40" borderId="83" xfId="0" applyFont="1" applyFill="1" applyBorder="1" applyAlignment="1" applyProtection="1">
      <alignment horizontal="left" vertical="top" wrapText="1"/>
      <protection locked="0"/>
    </xf>
    <xf numFmtId="0" fontId="40" fillId="40" borderId="84" xfId="0" applyFont="1" applyFill="1" applyBorder="1" applyAlignment="1" applyProtection="1">
      <alignment horizontal="left" vertical="top" wrapText="1"/>
      <protection locked="0"/>
    </xf>
    <xf numFmtId="0" fontId="40" fillId="33" borderId="85" xfId="0" applyFont="1" applyFill="1" applyBorder="1" applyAlignment="1" applyProtection="1">
      <alignment horizontal="left" vertical="top" wrapText="1"/>
      <protection locked="0"/>
    </xf>
    <xf numFmtId="0" fontId="40" fillId="33" borderId="36" xfId="0" applyFont="1" applyFill="1" applyBorder="1" applyAlignment="1" applyProtection="1">
      <alignment horizontal="left" vertical="center"/>
      <protection locked="0"/>
    </xf>
    <xf numFmtId="0" fontId="40" fillId="33" borderId="38" xfId="0" applyFont="1" applyFill="1" applyBorder="1" applyAlignment="1" applyProtection="1">
      <alignment horizontal="left" vertical="center"/>
      <protection locked="0"/>
    </xf>
    <xf numFmtId="0" fontId="40" fillId="33" borderId="37" xfId="0" applyFont="1" applyFill="1" applyBorder="1" applyAlignment="1" applyProtection="1">
      <alignment horizontal="left" vertical="center"/>
      <protection locked="0"/>
    </xf>
    <xf numFmtId="0" fontId="40" fillId="33" borderId="39" xfId="0" applyFont="1" applyFill="1" applyBorder="1" applyAlignment="1" applyProtection="1">
      <alignment horizontal="left" vertical="center"/>
      <protection locked="0"/>
    </xf>
    <xf numFmtId="0" fontId="40" fillId="0" borderId="81" xfId="0" applyFont="1" applyFill="1" applyBorder="1" applyAlignment="1" applyProtection="1">
      <alignment vertical="center" wrapText="1"/>
    </xf>
    <xf numFmtId="0" fontId="40" fillId="0" borderId="82" xfId="0" applyFont="1" applyFill="1" applyBorder="1" applyAlignment="1" applyProtection="1">
      <alignment vertical="center" wrapText="1"/>
    </xf>
    <xf numFmtId="0" fontId="40" fillId="33" borderId="0" xfId="0" applyFont="1" applyFill="1" applyBorder="1" applyAlignment="1" applyProtection="1">
      <alignment horizontal="center" vertical="center"/>
    </xf>
    <xf numFmtId="0" fontId="40" fillId="33" borderId="24" xfId="0" applyFont="1" applyFill="1" applyBorder="1" applyAlignment="1" applyProtection="1">
      <alignment horizontal="left" vertical="center" wrapText="1"/>
      <protection locked="0"/>
    </xf>
    <xf numFmtId="0" fontId="40" fillId="33" borderId="43" xfId="0" applyFont="1" applyFill="1" applyBorder="1" applyAlignment="1" applyProtection="1">
      <alignment horizontal="left" vertical="center" wrapText="1"/>
      <protection locked="0"/>
    </xf>
    <xf numFmtId="0" fontId="40" fillId="33" borderId="43" xfId="0" applyFont="1" applyFill="1" applyBorder="1" applyAlignment="1" applyProtection="1">
      <alignment horizontal="left" vertical="center"/>
      <protection locked="0"/>
    </xf>
    <xf numFmtId="0" fontId="40" fillId="33" borderId="74" xfId="0" applyFont="1" applyFill="1" applyBorder="1" applyAlignment="1" applyProtection="1">
      <alignment horizontal="left" vertical="center"/>
      <protection locked="0"/>
    </xf>
    <xf numFmtId="173" fontId="40" fillId="33" borderId="10" xfId="0" applyNumberFormat="1" applyFont="1" applyFill="1" applyBorder="1" applyAlignment="1" applyProtection="1">
      <alignment horizontal="right" vertical="center" indent="1"/>
      <protection locked="0"/>
    </xf>
    <xf numFmtId="173" fontId="40" fillId="33" borderId="11" xfId="0" applyNumberFormat="1" applyFont="1" applyFill="1" applyBorder="1" applyAlignment="1" applyProtection="1">
      <alignment horizontal="right" vertical="center" indent="1"/>
      <protection locked="0"/>
    </xf>
    <xf numFmtId="168" fontId="42" fillId="33" borderId="49" xfId="0" applyNumberFormat="1" applyFont="1" applyFill="1" applyBorder="1" applyAlignment="1" applyProtection="1">
      <alignment horizontal="right" indent="1"/>
    </xf>
    <xf numFmtId="168" fontId="42" fillId="33" borderId="72" xfId="0" applyNumberFormat="1" applyFont="1" applyFill="1" applyBorder="1" applyAlignment="1" applyProtection="1">
      <alignment horizontal="right" indent="1"/>
    </xf>
    <xf numFmtId="0" fontId="40" fillId="0" borderId="55" xfId="0" applyFont="1" applyBorder="1" applyAlignment="1" applyProtection="1">
      <alignment horizontal="left" vertical="center"/>
    </xf>
    <xf numFmtId="0" fontId="49" fillId="25" borderId="55" xfId="134" applyFont="1" applyFill="1" applyBorder="1" applyAlignment="1" applyProtection="1">
      <alignment horizontal="left" vertical="center"/>
    </xf>
    <xf numFmtId="0" fontId="57" fillId="25" borderId="74" xfId="0" applyFont="1" applyFill="1" applyBorder="1" applyAlignment="1" applyProtection="1">
      <alignment horizontal="center" vertical="center"/>
    </xf>
    <xf numFmtId="0" fontId="42" fillId="40" borderId="43" xfId="0" applyFont="1" applyFill="1" applyBorder="1" applyAlignment="1" applyProtection="1">
      <alignment horizontal="center" vertical="center" textRotation="90"/>
    </xf>
    <xf numFmtId="0" fontId="42" fillId="40" borderId="86" xfId="0" applyFont="1" applyFill="1" applyBorder="1" applyAlignment="1" applyProtection="1">
      <alignment horizontal="center" vertical="center" textRotation="90"/>
    </xf>
    <xf numFmtId="0" fontId="42" fillId="40" borderId="37" xfId="0" applyFont="1" applyFill="1" applyBorder="1" applyAlignment="1" applyProtection="1">
      <alignment horizontal="center" vertical="center" textRotation="90"/>
    </xf>
    <xf numFmtId="0" fontId="52" fillId="32" borderId="66" xfId="0" applyNumberFormat="1" applyFont="1" applyFill="1" applyBorder="1" applyAlignment="1" applyProtection="1">
      <alignment horizontal="left" vertical="center" wrapText="1"/>
    </xf>
    <xf numFmtId="0" fontId="52" fillId="32" borderId="13" xfId="0" applyNumberFormat="1" applyFont="1" applyFill="1" applyBorder="1" applyAlignment="1" applyProtection="1">
      <alignment horizontal="left" vertical="center" wrapText="1"/>
    </xf>
    <xf numFmtId="0" fontId="52" fillId="32" borderId="25" xfId="0" applyNumberFormat="1" applyFont="1" applyFill="1" applyBorder="1" applyAlignment="1" applyProtection="1">
      <alignment horizontal="left" vertical="center" wrapText="1"/>
    </xf>
    <xf numFmtId="0" fontId="52" fillId="32" borderId="42" xfId="0" applyNumberFormat="1" applyFont="1" applyFill="1" applyBorder="1" applyAlignment="1" applyProtection="1">
      <alignment horizontal="left" vertical="center" wrapText="1"/>
    </xf>
    <xf numFmtId="0" fontId="52" fillId="32" borderId="18" xfId="0" applyNumberFormat="1" applyFont="1" applyFill="1" applyBorder="1" applyAlignment="1" applyProtection="1">
      <alignment horizontal="left" vertical="center" wrapText="1"/>
    </xf>
    <xf numFmtId="0" fontId="52" fillId="50" borderId="0" xfId="0" applyNumberFormat="1" applyFont="1" applyFill="1" applyBorder="1" applyAlignment="1" applyProtection="1">
      <alignment horizontal="left" vertical="center" wrapText="1"/>
    </xf>
    <xf numFmtId="0" fontId="52" fillId="50" borderId="23" xfId="0" applyNumberFormat="1" applyFont="1" applyFill="1" applyBorder="1" applyAlignment="1" applyProtection="1">
      <alignment horizontal="left" vertical="center" wrapText="1"/>
    </xf>
    <xf numFmtId="175" fontId="40" fillId="33" borderId="10" xfId="0" applyNumberFormat="1" applyFont="1" applyFill="1" applyBorder="1" applyAlignment="1" applyProtection="1">
      <alignment horizontal="right" vertical="center" indent="1"/>
      <protection locked="0"/>
    </xf>
    <xf numFmtId="175" fontId="40" fillId="33" borderId="11" xfId="0" applyNumberFormat="1" applyFont="1" applyFill="1" applyBorder="1" applyAlignment="1" applyProtection="1">
      <alignment horizontal="right" vertical="center" indent="1"/>
      <protection locked="0"/>
    </xf>
    <xf numFmtId="0" fontId="41" fillId="33" borderId="65" xfId="0" applyFont="1" applyFill="1" applyBorder="1" applyAlignment="1">
      <alignment horizontal="center" vertical="center" wrapText="1"/>
    </xf>
    <xf numFmtId="0" fontId="41" fillId="33" borderId="55"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52" fillId="32" borderId="60" xfId="134" applyFont="1" applyFill="1" applyBorder="1" applyAlignment="1" applyProtection="1">
      <alignment vertical="center" wrapText="1"/>
    </xf>
    <xf numFmtId="0" fontId="52" fillId="0" borderId="19" xfId="134" applyFont="1" applyBorder="1" applyAlignment="1" applyProtection="1">
      <alignment vertical="center"/>
    </xf>
    <xf numFmtId="0" fontId="52" fillId="0" borderId="54" xfId="134" applyFont="1" applyBorder="1" applyAlignment="1" applyProtection="1">
      <alignment vertical="center"/>
    </xf>
    <xf numFmtId="0" fontId="40" fillId="0" borderId="23" xfId="0" applyFont="1" applyBorder="1" applyAlignment="1">
      <alignment vertical="center"/>
    </xf>
    <xf numFmtId="0" fontId="49" fillId="33" borderId="15" xfId="134" applyFont="1" applyFill="1" applyBorder="1" applyAlignment="1" applyProtection="1">
      <alignment horizontal="center" vertical="center"/>
    </xf>
    <xf numFmtId="0" fontId="49" fillId="0" borderId="23" xfId="134" applyFont="1" applyBorder="1" applyAlignment="1" applyProtection="1">
      <alignment horizontal="center" vertical="center"/>
    </xf>
    <xf numFmtId="0" fontId="49" fillId="33" borderId="10" xfId="134" applyFont="1" applyFill="1" applyBorder="1" applyAlignment="1" applyProtection="1">
      <alignment horizontal="center" vertical="center" wrapText="1"/>
    </xf>
    <xf numFmtId="0" fontId="49" fillId="0" borderId="54" xfId="134" applyFont="1" applyBorder="1" applyAlignment="1" applyProtection="1">
      <alignment horizontal="center" vertical="center"/>
    </xf>
    <xf numFmtId="0" fontId="49" fillId="33" borderId="15" xfId="134" applyFont="1" applyFill="1" applyBorder="1" applyAlignment="1" applyProtection="1">
      <alignment horizontal="center" vertical="center" wrapText="1"/>
    </xf>
    <xf numFmtId="0" fontId="40" fillId="0" borderId="2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56" xfId="0" applyFont="1" applyBorder="1" applyAlignment="1">
      <alignment horizontal="center" vertical="center" wrapText="1"/>
    </xf>
    <xf numFmtId="0" fontId="40" fillId="33" borderId="24" xfId="134" applyFont="1" applyFill="1" applyBorder="1" applyAlignment="1" applyProtection="1">
      <alignment vertical="center" wrapText="1"/>
    </xf>
    <xf numFmtId="0" fontId="40" fillId="33" borderId="22" xfId="134" applyFont="1" applyFill="1" applyBorder="1" applyAlignment="1" applyProtection="1">
      <alignment vertical="center" wrapText="1"/>
    </xf>
    <xf numFmtId="0" fontId="40" fillId="33" borderId="58" xfId="134" applyFont="1" applyFill="1" applyBorder="1" applyAlignment="1" applyProtection="1">
      <alignment vertical="center" wrapText="1"/>
    </xf>
    <xf numFmtId="0" fontId="49" fillId="33" borderId="17" xfId="134" applyFont="1" applyFill="1" applyBorder="1" applyAlignment="1" applyProtection="1">
      <alignment horizontal="center" vertical="center"/>
    </xf>
    <xf numFmtId="0" fontId="49" fillId="33" borderId="10" xfId="134" applyFont="1" applyFill="1" applyBorder="1" applyAlignment="1" applyProtection="1">
      <alignment horizontal="center" vertical="center"/>
    </xf>
    <xf numFmtId="0" fontId="40" fillId="0" borderId="54" xfId="0" applyFont="1" applyBorder="1" applyAlignment="1">
      <alignment horizontal="center" vertical="center"/>
    </xf>
    <xf numFmtId="0" fontId="49" fillId="0" borderId="54" xfId="134" applyFont="1" applyBorder="1" applyAlignment="1" applyProtection="1">
      <alignment horizontal="center" vertical="center" wrapText="1"/>
    </xf>
    <xf numFmtId="0" fontId="49" fillId="33" borderId="45" xfId="134" applyFont="1" applyFill="1" applyBorder="1" applyAlignment="1" applyProtection="1">
      <alignment horizontal="center" vertical="center" wrapText="1"/>
    </xf>
    <xf numFmtId="0" fontId="49" fillId="0" borderId="70" xfId="134" applyFont="1" applyBorder="1" applyAlignment="1" applyProtection="1">
      <alignment horizontal="center" vertical="center"/>
    </xf>
    <xf numFmtId="0" fontId="49" fillId="33" borderId="45" xfId="134" applyFont="1" applyFill="1" applyBorder="1" applyAlignment="1" applyProtection="1">
      <alignment horizontal="center" vertical="center"/>
    </xf>
    <xf numFmtId="0" fontId="40" fillId="0" borderId="70" xfId="0" applyFont="1" applyBorder="1" applyAlignment="1">
      <alignment horizontal="center" vertical="center"/>
    </xf>
    <xf numFmtId="0" fontId="49" fillId="0" borderId="10" xfId="134" applyFont="1" applyBorder="1" applyAlignment="1" applyProtection="1">
      <alignment horizontal="center" vertical="center" wrapText="1"/>
    </xf>
    <xf numFmtId="0" fontId="40" fillId="0" borderId="56" xfId="0" applyFont="1" applyBorder="1" applyAlignment="1">
      <alignment horizontal="center" vertical="center"/>
    </xf>
    <xf numFmtId="0" fontId="49" fillId="33" borderId="12" xfId="134" applyFont="1" applyFill="1" applyBorder="1" applyAlignment="1" applyProtection="1">
      <alignment horizontal="center" vertical="center"/>
    </xf>
    <xf numFmtId="0" fontId="49" fillId="0" borderId="25" xfId="134" applyFont="1" applyBorder="1" applyAlignment="1" applyProtection="1">
      <alignment horizontal="center" vertical="center"/>
    </xf>
    <xf numFmtId="0" fontId="70" fillId="62" borderId="0" xfId="0" applyFont="1" applyFill="1" applyAlignment="1" applyProtection="1">
      <alignment vertical="center" wrapText="1"/>
    </xf>
    <xf numFmtId="0" fontId="55" fillId="62" borderId="0" xfId="0" applyFont="1" applyFill="1" applyAlignment="1">
      <alignment vertical="center" wrapText="1"/>
    </xf>
    <xf numFmtId="0" fontId="40" fillId="62" borderId="0" xfId="0" applyFont="1" applyFill="1" applyAlignment="1">
      <alignment vertical="center" wrapText="1"/>
    </xf>
    <xf numFmtId="0" fontId="0" fillId="40" borderId="0" xfId="0" applyFill="1"/>
  </cellXfs>
  <cellStyles count="180">
    <cellStyle name="20% - Accent1" xfId="1" builtinId="30" customBuiltin="1"/>
    <cellStyle name="20% - Accent1 2" xfId="2"/>
    <cellStyle name="20% - Accent1 3" xfId="3"/>
    <cellStyle name="20% - Accent1 4" xfId="4"/>
    <cellStyle name="20% - Accent2" xfId="5" builtinId="34" customBuiltin="1"/>
    <cellStyle name="20% - Accent2 2" xfId="6"/>
    <cellStyle name="20% - Accent2 3" xfId="7"/>
    <cellStyle name="20% - Accent2 4" xfId="8"/>
    <cellStyle name="20% - Accent3" xfId="9" builtinId="38" customBuiltin="1"/>
    <cellStyle name="20% - Accent3 2" xfId="10"/>
    <cellStyle name="20% - Accent3 3" xfId="11"/>
    <cellStyle name="20% - Accent3 4" xfId="12"/>
    <cellStyle name="20% - Accent4" xfId="13" builtinId="42" customBuiltin="1"/>
    <cellStyle name="20% - Accent4 2" xfId="14"/>
    <cellStyle name="20% - Accent4 3" xfId="15"/>
    <cellStyle name="20% - Accent4 4" xfId="16"/>
    <cellStyle name="20% - Accent5" xfId="17" builtinId="46" customBuiltin="1"/>
    <cellStyle name="20% - Accent5 2" xfId="18"/>
    <cellStyle name="20% - Accent5 3" xfId="19"/>
    <cellStyle name="20% - Accent5 4" xfId="20"/>
    <cellStyle name="20% - Accent6" xfId="21" builtinId="50" customBuiltin="1"/>
    <cellStyle name="20% - Accent6 2" xfId="22"/>
    <cellStyle name="20% - Accent6 3" xfId="23"/>
    <cellStyle name="20% - Accent6 4" xfId="24"/>
    <cellStyle name="40% - Accent1" xfId="25" builtinId="31" customBuiltin="1"/>
    <cellStyle name="40% - Accent1 2" xfId="26"/>
    <cellStyle name="40% - Accent1 3" xfId="27"/>
    <cellStyle name="40% - Accent1 4" xfId="28"/>
    <cellStyle name="40% - Accent2" xfId="29" builtinId="35" customBuiltin="1"/>
    <cellStyle name="40% - Accent2 2" xfId="30"/>
    <cellStyle name="40% - Accent2 3" xfId="31"/>
    <cellStyle name="40% - Accent2 4" xfId="32"/>
    <cellStyle name="40% - Accent3" xfId="33" builtinId="39" customBuiltin="1"/>
    <cellStyle name="40% - Accent3 2" xfId="34"/>
    <cellStyle name="40% - Accent3 3" xfId="35"/>
    <cellStyle name="40% - Accent3 4" xfId="36"/>
    <cellStyle name="40% - Accent4" xfId="37" builtinId="43" customBuiltin="1"/>
    <cellStyle name="40% - Accent4 2" xfId="38"/>
    <cellStyle name="40% - Accent4 3" xfId="39"/>
    <cellStyle name="40% - Accent4 4" xfId="40"/>
    <cellStyle name="40% - Accent5" xfId="41" builtinId="47" customBuiltin="1"/>
    <cellStyle name="40% - Accent5 2" xfId="42"/>
    <cellStyle name="40% - Accent5 3" xfId="43"/>
    <cellStyle name="40% - Accent5 4" xfId="44"/>
    <cellStyle name="40% - Accent6" xfId="45" builtinId="51" customBuiltin="1"/>
    <cellStyle name="40% - Accent6 2" xfId="46"/>
    <cellStyle name="40% - Accent6 3" xfId="47"/>
    <cellStyle name="40% - Accent6 4" xfId="48"/>
    <cellStyle name="60% - Accent1" xfId="49" builtinId="32" customBuiltin="1"/>
    <cellStyle name="60% - Accent1 2" xfId="50"/>
    <cellStyle name="60% - Accent1 3" xfId="51"/>
    <cellStyle name="60% - Accent1 4" xfId="52"/>
    <cellStyle name="60% - Accent2" xfId="53" builtinId="36" customBuiltin="1"/>
    <cellStyle name="60% - Accent2 2" xfId="54"/>
    <cellStyle name="60% - Accent2 3" xfId="55"/>
    <cellStyle name="60% - Accent2 4" xfId="56"/>
    <cellStyle name="60% - Accent3" xfId="57" builtinId="40" customBuiltin="1"/>
    <cellStyle name="60% - Accent3 2" xfId="58"/>
    <cellStyle name="60% - Accent3 3" xfId="59"/>
    <cellStyle name="60% - Accent3 4" xfId="60"/>
    <cellStyle name="60% - Accent4" xfId="61" builtinId="44" customBuiltin="1"/>
    <cellStyle name="60% - Accent4 2" xfId="62"/>
    <cellStyle name="60% - Accent4 3" xfId="63"/>
    <cellStyle name="60% - Accent4 4" xfId="64"/>
    <cellStyle name="60% - Accent5" xfId="65" builtinId="48" customBuiltin="1"/>
    <cellStyle name="60% - Accent5 2" xfId="66"/>
    <cellStyle name="60% - Accent5 3" xfId="67"/>
    <cellStyle name="60% - Accent5 4" xfId="68"/>
    <cellStyle name="60% - Accent6" xfId="69" builtinId="52" customBuiltin="1"/>
    <cellStyle name="60% - Accent6 2" xfId="70"/>
    <cellStyle name="60% - Accent6 3" xfId="71"/>
    <cellStyle name="60% - Accent6 4" xfId="72"/>
    <cellStyle name="Accent1" xfId="73" builtinId="29" customBuiltin="1"/>
    <cellStyle name="Accent1 2" xfId="74"/>
    <cellStyle name="Accent1 3" xfId="75"/>
    <cellStyle name="Accent1 4" xfId="76"/>
    <cellStyle name="Accent2" xfId="77" builtinId="33" customBuiltin="1"/>
    <cellStyle name="Accent2 2" xfId="78"/>
    <cellStyle name="Accent2 3" xfId="79"/>
    <cellStyle name="Accent2 4" xfId="80"/>
    <cellStyle name="Accent3" xfId="81" builtinId="37" customBuiltin="1"/>
    <cellStyle name="Accent3 2" xfId="82"/>
    <cellStyle name="Accent3 3" xfId="83"/>
    <cellStyle name="Accent3 4" xfId="84"/>
    <cellStyle name="Accent4" xfId="85" builtinId="41" customBuiltin="1"/>
    <cellStyle name="Accent4 2" xfId="86"/>
    <cellStyle name="Accent4 3" xfId="87"/>
    <cellStyle name="Accent4 4" xfId="88"/>
    <cellStyle name="Accent5" xfId="89" builtinId="45" customBuiltin="1"/>
    <cellStyle name="Accent5 2" xfId="90"/>
    <cellStyle name="Accent5 3" xfId="91"/>
    <cellStyle name="Accent5 4" xfId="92"/>
    <cellStyle name="Accent6" xfId="93" builtinId="49" customBuiltin="1"/>
    <cellStyle name="Accent6 2" xfId="94"/>
    <cellStyle name="Accent6 3" xfId="95"/>
    <cellStyle name="Accent6 4" xfId="96"/>
    <cellStyle name="Bad" xfId="97" builtinId="27" customBuiltin="1"/>
    <cellStyle name="Bad 2" xfId="98"/>
    <cellStyle name="Bad 3" xfId="99"/>
    <cellStyle name="Bad 4" xfId="100"/>
    <cellStyle name="Calculation" xfId="101" builtinId="22" customBuiltin="1"/>
    <cellStyle name="Calculation 2" xfId="102"/>
    <cellStyle name="Calculation 3" xfId="103"/>
    <cellStyle name="Calculation 4" xfId="104"/>
    <cellStyle name="Check Cell" xfId="105" builtinId="23" customBuiltin="1"/>
    <cellStyle name="Check Cell 2" xfId="106"/>
    <cellStyle name="Check Cell 3" xfId="107"/>
    <cellStyle name="Check Cell 4" xfId="108"/>
    <cellStyle name="Comma" xfId="179" builtinId="3"/>
    <cellStyle name="Currency 2" xfId="109"/>
    <cellStyle name="Explanatory Text" xfId="110" builtinId="53" customBuiltin="1"/>
    <cellStyle name="Explanatory Text 2" xfId="111"/>
    <cellStyle name="Explanatory Text 3" xfId="112"/>
    <cellStyle name="Explanatory Text 4" xfId="113"/>
    <cellStyle name="Good" xfId="114" builtinId="26" customBuiltin="1"/>
    <cellStyle name="Good 2" xfId="115"/>
    <cellStyle name="Good 3" xfId="116"/>
    <cellStyle name="Good 4" xfId="117"/>
    <cellStyle name="Heading 1" xfId="118" builtinId="16" customBuiltin="1"/>
    <cellStyle name="Heading 1 2" xfId="119"/>
    <cellStyle name="Heading 1 3" xfId="120"/>
    <cellStyle name="Heading 1 4" xfId="121"/>
    <cellStyle name="Heading 2" xfId="122" builtinId="17" customBuiltin="1"/>
    <cellStyle name="Heading 2 2" xfId="123"/>
    <cellStyle name="Heading 2 3" xfId="124"/>
    <cellStyle name="Heading 2 4" xfId="125"/>
    <cellStyle name="Heading 3" xfId="126" builtinId="18" customBuiltin="1"/>
    <cellStyle name="Heading 3 2" xfId="127"/>
    <cellStyle name="Heading 3 3" xfId="128"/>
    <cellStyle name="Heading 3 4" xfId="129"/>
    <cellStyle name="Heading 4" xfId="130" builtinId="19" customBuiltin="1"/>
    <cellStyle name="Heading 4 2" xfId="131"/>
    <cellStyle name="Heading 4 3" xfId="132"/>
    <cellStyle name="Heading 4 4" xfId="133"/>
    <cellStyle name="Hyperlink" xfId="134" builtinId="8"/>
    <cellStyle name="Hyperlink 2" xfId="135"/>
    <cellStyle name="Hyperlink 2 2" xfId="136"/>
    <cellStyle name="Input" xfId="137" builtinId="20" customBuiltin="1"/>
    <cellStyle name="Input 2" xfId="138"/>
    <cellStyle name="Input 3" xfId="139"/>
    <cellStyle name="Input 4" xfId="140"/>
    <cellStyle name="Linked Cell" xfId="141" builtinId="24" customBuiltin="1"/>
    <cellStyle name="Linked Cell 2" xfId="142"/>
    <cellStyle name="Linked Cell 3" xfId="143"/>
    <cellStyle name="Linked Cell 4" xfId="144"/>
    <cellStyle name="Neutral" xfId="145" builtinId="28" customBuiltin="1"/>
    <cellStyle name="Neutral 2" xfId="146"/>
    <cellStyle name="Neutral 3" xfId="147"/>
    <cellStyle name="Neutral 4" xfId="148"/>
    <cellStyle name="Normal" xfId="0" builtinId="0"/>
    <cellStyle name="Normal 2" xfId="149"/>
    <cellStyle name="Normal 2 2" xfId="150"/>
    <cellStyle name="Normal 3" xfId="151"/>
    <cellStyle name="Normal 4" xfId="152"/>
    <cellStyle name="Normal 5" xfId="153"/>
    <cellStyle name="Normal 5 2" xfId="154"/>
    <cellStyle name="Normal 6" xfId="155"/>
    <cellStyle name="Normal 7" xfId="156"/>
    <cellStyle name="Normal 8" xfId="157"/>
    <cellStyle name="Normal 9" xfId="158"/>
    <cellStyle name="Note" xfId="159" builtinId="10" customBuiltin="1"/>
    <cellStyle name="Note 2" xfId="160"/>
    <cellStyle name="Note 3" xfId="161"/>
    <cellStyle name="Note 4" xfId="162"/>
    <cellStyle name="Output" xfId="163" builtinId="21" customBuiltin="1"/>
    <cellStyle name="Output 2" xfId="164"/>
    <cellStyle name="Output 3" xfId="165"/>
    <cellStyle name="Output 4" xfId="166"/>
    <cellStyle name="Title" xfId="167" builtinId="15" customBuiltin="1"/>
    <cellStyle name="Title 2" xfId="168"/>
    <cellStyle name="Title 3" xfId="169"/>
    <cellStyle name="Title 4" xfId="170"/>
    <cellStyle name="Total" xfId="171" builtinId="25" customBuiltin="1"/>
    <cellStyle name="Total 2" xfId="172"/>
    <cellStyle name="Total 3" xfId="173"/>
    <cellStyle name="Total 4" xfId="174"/>
    <cellStyle name="Warning Text" xfId="175" builtinId="11" customBuiltin="1"/>
    <cellStyle name="Warning Text 2" xfId="176"/>
    <cellStyle name="Warning Text 3" xfId="177"/>
    <cellStyle name="Warning Text 4" xfId="178"/>
  </cellStyles>
  <dxfs count="124">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ndense val="0"/>
        <extend val="0"/>
        <color indexed="10"/>
      </font>
      <fill>
        <patternFill>
          <bgColor indexed="13"/>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83820</xdr:colOff>
      <xdr:row>22</xdr:row>
      <xdr:rowOff>135255</xdr:rowOff>
    </xdr:from>
    <xdr:to>
      <xdr:col>8</xdr:col>
      <xdr:colOff>504825</xdr:colOff>
      <xdr:row>31</xdr:row>
      <xdr:rowOff>40005</xdr:rowOff>
    </xdr:to>
    <xdr:pic>
      <xdr:nvPicPr>
        <xdr:cNvPr id="1654" name="Picture 1" descr="Health Care Cost Information System Logo" title="Health Care Cost Information System Logo"/>
        <xdr:cNvPicPr>
          <a:picLocks noChangeAspect="1" noChangeArrowheads="1"/>
        </xdr:cNvPicPr>
      </xdr:nvPicPr>
      <xdr:blipFill>
        <a:blip xmlns:r="http://schemas.openxmlformats.org/officeDocument/2006/relationships" r:embed="rId1"/>
        <a:srcRect/>
        <a:stretch>
          <a:fillRect/>
        </a:stretch>
      </xdr:blipFill>
      <xdr:spPr bwMode="auto">
        <a:xfrm>
          <a:off x="3741420" y="8164830"/>
          <a:ext cx="164020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495300</xdr:colOff>
      <xdr:row>24</xdr:row>
      <xdr:rowOff>0</xdr:rowOff>
    </xdr:from>
    <xdr:to>
      <xdr:col>3</xdr:col>
      <xdr:colOff>304800</xdr:colOff>
      <xdr:row>29</xdr:row>
      <xdr:rowOff>123825</xdr:rowOff>
    </xdr:to>
    <xdr:pic>
      <xdr:nvPicPr>
        <xdr:cNvPr id="185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8429625"/>
          <a:ext cx="1638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revisor.leg.state.mn.us/statutes/?id=256B.0625"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http://www.cms.hhs.gov/NationalProvIdentStand/"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evisor.leg.state.mn.us/statutes/?id=62J.17"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mailto:health.hccis@state.mn.us"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revisor.mn.gov/statutes/?id=144&amp;view=chapter&amp;year=2012&amp;keyword_type=all&amp;keyword=144.12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evisor.mn.gov/statutes/?id=144&amp;view=chapter&amp;year=2012&amp;keyword_type=all&amp;keyword=144.122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3"/>
  <sheetViews>
    <sheetView zoomScaleNormal="100" workbookViewId="0">
      <selection activeCell="B1" sqref="B1"/>
    </sheetView>
  </sheetViews>
  <sheetFormatPr defaultColWidth="8.85546875" defaultRowHeight="12.75" x14ac:dyDescent="0.2"/>
  <cols>
    <col min="1" max="1" width="5" style="17" customWidth="1"/>
    <col min="2" max="2" width="20.28515625" style="56" customWidth="1"/>
    <col min="3" max="3" width="11.85546875" style="19" hidden="1" customWidth="1"/>
    <col min="4" max="4" width="13.85546875" style="19" hidden="1" customWidth="1"/>
    <col min="5" max="5" width="44.28515625" style="19" customWidth="1"/>
    <col min="6" max="6" width="4.140625" style="19" customWidth="1"/>
    <col min="7" max="7" width="5" style="17" customWidth="1"/>
    <col min="8" max="8" width="17.5703125" style="19" bestFit="1" customWidth="1"/>
    <col min="9" max="9" width="11" style="19" hidden="1" customWidth="1"/>
    <col min="10" max="10" width="13.140625" style="19" hidden="1" customWidth="1"/>
    <col min="11" max="11" width="44.28515625" style="19" customWidth="1"/>
    <col min="12" max="12" width="16.7109375" style="19" customWidth="1"/>
    <col min="13" max="13" width="11" style="19" customWidth="1"/>
    <col min="14" max="16384" width="8.85546875" style="19"/>
  </cols>
  <sheetData>
    <row r="1" spans="1:15" ht="41.25" customHeight="1" thickBot="1" x14ac:dyDescent="0.25">
      <c r="A1" s="17" t="s">
        <v>22</v>
      </c>
      <c r="B1" s="18" t="str">
        <f>CONCATENATE("HCCIS ID: ",'Demog Contact'!D5)</f>
        <v xml:space="preserve">HCCIS ID: </v>
      </c>
      <c r="C1" s="19" t="s">
        <v>303</v>
      </c>
      <c r="D1" s="19" t="s">
        <v>302</v>
      </c>
      <c r="E1" s="589" t="str">
        <f>CONCATENATE('Demog Contact'!N1," Change")</f>
        <v>2019 Change</v>
      </c>
      <c r="F1" s="20"/>
      <c r="G1" s="17" t="s">
        <v>22</v>
      </c>
      <c r="I1" s="19" t="s">
        <v>303</v>
      </c>
      <c r="J1" s="19" t="s">
        <v>302</v>
      </c>
      <c r="K1" s="589" t="str">
        <f>CONCATENATE('Demog Contact'!N1," Change")</f>
        <v>2019 Change</v>
      </c>
      <c r="L1" s="21" t="s">
        <v>163</v>
      </c>
      <c r="O1" s="20"/>
    </row>
    <row r="2" spans="1:15" x14ac:dyDescent="0.2">
      <c r="A2" s="17">
        <v>1</v>
      </c>
      <c r="B2" s="632" t="s">
        <v>361</v>
      </c>
      <c r="C2" s="626"/>
      <c r="D2" s="626"/>
      <c r="E2" s="22" t="str">
        <f>CONCATENATE("HCCIS ID: ",'Demog Contact (2)'!D5)</f>
        <v>HCCIS ID: 0</v>
      </c>
      <c r="F2" s="23"/>
      <c r="H2" s="632" t="s">
        <v>361</v>
      </c>
      <c r="I2" s="633"/>
      <c r="J2" s="633"/>
      <c r="K2" s="634"/>
    </row>
    <row r="3" spans="1:15" x14ac:dyDescent="0.2">
      <c r="A3" s="17">
        <v>2</v>
      </c>
      <c r="B3" s="24" t="s">
        <v>209</v>
      </c>
      <c r="C3" s="25" t="e">
        <f>'Demog Contact'!D6</f>
        <v>#N/A</v>
      </c>
      <c r="D3" s="26" t="e">
        <f>'Demog Contact (2)'!D6</f>
        <v>#N/A</v>
      </c>
      <c r="E3" s="27" t="e">
        <f t="shared" ref="E3:E18" si="0">IF(EXACT(C3,D3),"",C3)</f>
        <v>#N/A</v>
      </c>
      <c r="F3" s="28"/>
      <c r="G3" s="29">
        <v>91</v>
      </c>
      <c r="H3" s="30" t="s">
        <v>87</v>
      </c>
      <c r="I3" s="31" t="e">
        <f>'Demog Contact'!I6</f>
        <v>#N/A</v>
      </c>
      <c r="J3" s="31" t="e">
        <f>'Demog Contact (2)'!I6</f>
        <v>#N/A</v>
      </c>
      <c r="K3" s="32" t="e">
        <f>IF(EXACT(I3,J3),"",I3)</f>
        <v>#N/A</v>
      </c>
    </row>
    <row r="4" spans="1:15" ht="13.5" thickBot="1" x14ac:dyDescent="0.25">
      <c r="A4" s="17">
        <v>4</v>
      </c>
      <c r="B4" s="631" t="s">
        <v>364</v>
      </c>
      <c r="C4" s="608" t="e">
        <f>'Demog Contact'!D7</f>
        <v>#N/A</v>
      </c>
      <c r="D4" s="604" t="e">
        <f>'Demog Contact (2)'!D7</f>
        <v>#N/A</v>
      </c>
      <c r="E4" s="605" t="e">
        <f>IF(EXACT(C4,D4),"",C4)</f>
        <v>#N/A</v>
      </c>
      <c r="F4" s="28"/>
      <c r="G4" s="33">
        <v>99</v>
      </c>
      <c r="H4" s="34" t="s">
        <v>255</v>
      </c>
      <c r="I4" s="35" t="str">
        <f>'Demog Contact'!J15</f>
        <v/>
      </c>
      <c r="J4" s="35" t="str">
        <f>'Demog Contact (2)'!J15</f>
        <v/>
      </c>
      <c r="K4" s="36" t="str">
        <f>IF(EXACT(I4,J4),"",I4)</f>
        <v/>
      </c>
    </row>
    <row r="5" spans="1:15" ht="13.5" thickBot="1" x14ac:dyDescent="0.25">
      <c r="A5" s="17">
        <v>5</v>
      </c>
      <c r="B5" s="607"/>
      <c r="C5" s="608"/>
      <c r="D5" s="612"/>
      <c r="E5" s="605"/>
      <c r="F5" s="28"/>
      <c r="I5" s="37"/>
      <c r="J5" s="37"/>
      <c r="K5" s="38"/>
    </row>
    <row r="6" spans="1:15" x14ac:dyDescent="0.2">
      <c r="A6" s="17">
        <v>3</v>
      </c>
      <c r="B6" s="24" t="s">
        <v>128</v>
      </c>
      <c r="C6" s="37" t="e">
        <f>'Demog Contact'!D8</f>
        <v>#N/A</v>
      </c>
      <c r="D6" s="25" t="e">
        <f>'Demog Contact (2)'!D8</f>
        <v>#N/A</v>
      </c>
      <c r="E6" s="27" t="e">
        <f>IF(EXACT(C6,D6),"",C6)</f>
        <v>#N/A</v>
      </c>
      <c r="F6" s="28"/>
      <c r="G6" s="17">
        <v>97</v>
      </c>
      <c r="H6" s="39" t="s">
        <v>300</v>
      </c>
      <c r="I6" s="40" t="e">
        <f>'Demog Contact'!J13</f>
        <v>#N/A</v>
      </c>
      <c r="J6" s="40" t="e">
        <f>'Demog Contact (2)'!J13</f>
        <v>#N/A</v>
      </c>
      <c r="K6" s="41" t="e">
        <f>IF(EXACT(I6,J6),"",I6)</f>
        <v>#N/A</v>
      </c>
    </row>
    <row r="7" spans="1:15" ht="13.5" thickBot="1" x14ac:dyDescent="0.25">
      <c r="A7" s="17">
        <v>6</v>
      </c>
      <c r="B7" s="24" t="s">
        <v>135</v>
      </c>
      <c r="C7" s="37" t="e">
        <f>'Demog Contact'!D9</f>
        <v>#N/A</v>
      </c>
      <c r="D7" s="25" t="e">
        <f>'Demog Contact (2)'!D9</f>
        <v>#N/A</v>
      </c>
      <c r="E7" s="27" t="e">
        <f t="shared" si="0"/>
        <v>#N/A</v>
      </c>
      <c r="F7" s="28"/>
      <c r="G7" s="17">
        <v>98</v>
      </c>
      <c r="H7" s="34" t="s">
        <v>23</v>
      </c>
      <c r="I7" s="35" t="e">
        <f>'Demog Contact'!J14</f>
        <v>#N/A</v>
      </c>
      <c r="J7" s="35" t="e">
        <f>'Demog Contact (2)'!J14</f>
        <v>#N/A</v>
      </c>
      <c r="K7" s="36" t="e">
        <f>IF(EXACT(I7,J7),"",I7)</f>
        <v>#N/A</v>
      </c>
    </row>
    <row r="8" spans="1:15" x14ac:dyDescent="0.2">
      <c r="A8" s="17">
        <v>7</v>
      </c>
      <c r="B8" s="24" t="s">
        <v>136</v>
      </c>
      <c r="C8" s="25" t="e">
        <f>'Demog Contact'!D10</f>
        <v>#N/A</v>
      </c>
      <c r="D8" s="25" t="e">
        <f>'Demog Contact (2)'!D10</f>
        <v>#N/A</v>
      </c>
      <c r="E8" s="27" t="e">
        <f t="shared" si="0"/>
        <v>#N/A</v>
      </c>
      <c r="F8" s="28"/>
      <c r="I8" s="37"/>
      <c r="J8" s="37"/>
      <c r="K8" s="38"/>
    </row>
    <row r="9" spans="1:15" ht="13.5" thickBot="1" x14ac:dyDescent="0.25">
      <c r="A9" s="17">
        <v>8</v>
      </c>
      <c r="B9" s="631" t="s">
        <v>16</v>
      </c>
      <c r="C9" s="603" t="e">
        <f>'Demog Contact'!D11</f>
        <v>#N/A</v>
      </c>
      <c r="D9" s="604" t="e">
        <f>'Demog Contact (2)'!D11</f>
        <v>#N/A</v>
      </c>
      <c r="E9" s="605" t="e">
        <f t="shared" si="0"/>
        <v>#N/A</v>
      </c>
      <c r="F9" s="28"/>
      <c r="I9" s="37"/>
      <c r="J9" s="37"/>
      <c r="K9" s="38"/>
    </row>
    <row r="10" spans="1:15" x14ac:dyDescent="0.2">
      <c r="A10" s="17">
        <v>9</v>
      </c>
      <c r="B10" s="602"/>
      <c r="C10" s="603"/>
      <c r="D10" s="604" t="e">
        <v>#N/A</v>
      </c>
      <c r="E10" s="605" t="e">
        <f t="shared" si="0"/>
        <v>#N/A</v>
      </c>
      <c r="F10" s="42"/>
      <c r="G10" s="17">
        <v>85</v>
      </c>
      <c r="H10" s="39" t="s">
        <v>354</v>
      </c>
      <c r="I10" s="43" t="e">
        <f>'Demog Contact'!D21</f>
        <v>#N/A</v>
      </c>
      <c r="J10" s="43" t="e">
        <f>'Demog Contact (2)'!D21</f>
        <v>#N/A</v>
      </c>
      <c r="K10" s="44" t="e">
        <f t="shared" ref="K10:K15" si="1">IF(EXACT(I10,J10),"",I10)</f>
        <v>#N/A</v>
      </c>
    </row>
    <row r="11" spans="1:15" x14ac:dyDescent="0.2">
      <c r="A11" s="17">
        <v>17</v>
      </c>
      <c r="B11" s="24" t="s">
        <v>44</v>
      </c>
      <c r="C11" s="37" t="e">
        <f>'Demog Contact'!D12</f>
        <v>#N/A</v>
      </c>
      <c r="D11" s="37" t="e">
        <f>'Demog Contact (2)'!D12</f>
        <v>#N/A</v>
      </c>
      <c r="E11" s="45" t="e">
        <f t="shared" si="0"/>
        <v>#N/A</v>
      </c>
      <c r="F11" s="42"/>
      <c r="G11" s="17">
        <v>86</v>
      </c>
      <c r="H11" s="24" t="s">
        <v>355</v>
      </c>
      <c r="I11" s="46" t="e">
        <f>'Demog Contact'!S21</f>
        <v>#N/A</v>
      </c>
      <c r="J11" s="26" t="e">
        <f>'Demog Contact (2)'!S21</f>
        <v>#N/A</v>
      </c>
      <c r="K11" s="47" t="e">
        <f t="shared" si="1"/>
        <v>#N/A</v>
      </c>
    </row>
    <row r="12" spans="1:15" ht="12.75" customHeight="1" x14ac:dyDescent="0.2">
      <c r="A12" s="17">
        <v>18</v>
      </c>
      <c r="B12" s="24" t="s">
        <v>45</v>
      </c>
      <c r="C12" s="37" t="e">
        <f>'Demog Contact'!D13</f>
        <v>#N/A</v>
      </c>
      <c r="D12" s="25" t="e">
        <f>'Demog Contact (2)'!D13</f>
        <v>#N/A</v>
      </c>
      <c r="E12" s="45" t="e">
        <f t="shared" si="0"/>
        <v>#N/A</v>
      </c>
      <c r="F12" s="28"/>
      <c r="G12" s="17">
        <v>87</v>
      </c>
      <c r="H12" s="24" t="s">
        <v>356</v>
      </c>
      <c r="I12" s="37" t="e">
        <f>'Demog Contact'!D22</f>
        <v>#N/A</v>
      </c>
      <c r="J12" s="25" t="e">
        <f>'Demog Contact (2)'!D22</f>
        <v>#N/A</v>
      </c>
      <c r="K12" s="47" t="e">
        <f t="shared" si="1"/>
        <v>#N/A</v>
      </c>
    </row>
    <row r="13" spans="1:15" x14ac:dyDescent="0.2">
      <c r="A13" s="33">
        <v>19</v>
      </c>
      <c r="B13" s="631" t="s">
        <v>375</v>
      </c>
      <c r="C13" s="612" t="e">
        <f>'Demog Contact'!D14</f>
        <v>#N/A</v>
      </c>
      <c r="D13" s="604" t="e">
        <f>'Demog Contact (2)'!D14</f>
        <v>#N/A</v>
      </c>
      <c r="E13" s="606" t="e">
        <f t="shared" si="0"/>
        <v>#N/A</v>
      </c>
      <c r="F13" s="48"/>
      <c r="G13" s="17">
        <v>88</v>
      </c>
      <c r="H13" s="24" t="s">
        <v>357</v>
      </c>
      <c r="I13" s="26" t="e">
        <f>'Demog Contact'!S22</f>
        <v>#N/A</v>
      </c>
      <c r="J13" s="26" t="e">
        <f>'Demog Contact (2)'!S22</f>
        <v>#N/A</v>
      </c>
      <c r="K13" s="47" t="e">
        <f t="shared" si="1"/>
        <v>#N/A</v>
      </c>
    </row>
    <row r="14" spans="1:15" x14ac:dyDescent="0.2">
      <c r="A14" s="33">
        <v>20</v>
      </c>
      <c r="B14" s="631"/>
      <c r="C14" s="612"/>
      <c r="D14" s="604" t="e">
        <v>#N/A</v>
      </c>
      <c r="E14" s="605" t="e">
        <f t="shared" si="0"/>
        <v>#N/A</v>
      </c>
      <c r="F14" s="49"/>
      <c r="G14" s="17">
        <v>89</v>
      </c>
      <c r="H14" s="24" t="s">
        <v>358</v>
      </c>
      <c r="I14" s="37" t="e">
        <f>'Demog Contact'!D23</f>
        <v>#N/A</v>
      </c>
      <c r="J14" s="25" t="e">
        <f>'Demog Contact (2)'!D23</f>
        <v>#N/A</v>
      </c>
      <c r="K14" s="47" t="e">
        <f t="shared" si="1"/>
        <v>#N/A</v>
      </c>
    </row>
    <row r="15" spans="1:15" ht="13.5" thickBot="1" x14ac:dyDescent="0.25">
      <c r="A15" s="17">
        <v>21</v>
      </c>
      <c r="B15" s="24" t="s">
        <v>314</v>
      </c>
      <c r="C15" s="25" t="e">
        <f>'Demog Contact'!D15</f>
        <v>#N/A</v>
      </c>
      <c r="D15" s="25" t="e">
        <f>'Demog Contact (2)'!D15</f>
        <v>#N/A</v>
      </c>
      <c r="E15" s="27" t="e">
        <f t="shared" si="0"/>
        <v>#N/A</v>
      </c>
      <c r="F15" s="50"/>
      <c r="G15" s="17">
        <v>90</v>
      </c>
      <c r="H15" s="34" t="s">
        <v>359</v>
      </c>
      <c r="I15" s="51" t="e">
        <f>'Demog Contact'!S23</f>
        <v>#N/A</v>
      </c>
      <c r="J15" s="51" t="e">
        <f>'Demog Contact (2)'!S23</f>
        <v>#N/A</v>
      </c>
      <c r="K15" s="36" t="e">
        <f t="shared" si="1"/>
        <v>#N/A</v>
      </c>
    </row>
    <row r="16" spans="1:15" x14ac:dyDescent="0.2">
      <c r="A16" s="17">
        <v>22</v>
      </c>
      <c r="B16" s="24" t="s">
        <v>315</v>
      </c>
      <c r="C16" s="37" t="e">
        <f>'Demog Contact'!D16</f>
        <v>#N/A</v>
      </c>
      <c r="D16" s="25" t="e">
        <f>'Demog Contact (2)'!D16</f>
        <v>#N/A</v>
      </c>
      <c r="E16" s="27" t="e">
        <f t="shared" si="0"/>
        <v>#N/A</v>
      </c>
      <c r="F16" s="28"/>
    </row>
    <row r="17" spans="1:12" ht="12.75" customHeight="1" x14ac:dyDescent="0.2">
      <c r="A17" s="17">
        <v>23</v>
      </c>
      <c r="B17" s="24" t="s">
        <v>316</v>
      </c>
      <c r="C17" s="25" t="e">
        <f>'Demog Contact'!D17</f>
        <v>#N/A</v>
      </c>
      <c r="D17" s="25" t="e">
        <f>'Demog Contact (2)'!D17</f>
        <v>#N/A</v>
      </c>
      <c r="E17" s="27" t="e">
        <f t="shared" si="0"/>
        <v>#N/A</v>
      </c>
      <c r="F17" s="28"/>
      <c r="H17" s="52" t="str">
        <f>IF(AND(ISBLANK(AccredExpl!C$23),ISBLANK(AccredExpl!C$24),ISBLANK(AccredExpl!C$25),ISBLANK(AccredExpl!C$26),ISBLANK(AccredExpl!C$27),ISBLANK(AccredExpl!C$28),ISBLANK(AccredExpl!C$29),ISBLANK(AccredExpl!C$30),ISBLANK(AccredExpl!C$31),ISBLANK(AccredExpl!C$32),ISBLANK(AccredExpl!C$33),ISBLANK(AccredExpl!C$34),ISBLANK(AccredExpl!C$35),ISBLANK(AccredExpl!C$36),ISBLANK(AccredExpl!C$37),ISBLANK(AccredExpl!C$38)),"","Check Explanations for Meta Data Entries")</f>
        <v/>
      </c>
    </row>
    <row r="18" spans="1:12" ht="13.5" thickBot="1" x14ac:dyDescent="0.25">
      <c r="A18" s="17">
        <v>84</v>
      </c>
      <c r="B18" s="34" t="s">
        <v>353</v>
      </c>
      <c r="C18" s="35" t="e">
        <f>'Demog Contact'!D18</f>
        <v>#N/A</v>
      </c>
      <c r="D18" s="35" t="e">
        <f>'Demog Contact (2)'!D18</f>
        <v>#N/A</v>
      </c>
      <c r="E18" s="53" t="e">
        <f t="shared" si="0"/>
        <v>#N/A</v>
      </c>
      <c r="F18" s="28"/>
    </row>
    <row r="19" spans="1:12" x14ac:dyDescent="0.2">
      <c r="B19" s="54"/>
      <c r="F19" s="28"/>
    </row>
    <row r="20" spans="1:12" ht="13.5" thickBot="1" x14ac:dyDescent="0.25">
      <c r="A20" s="55">
        <v>31</v>
      </c>
      <c r="C20" s="57"/>
      <c r="D20" s="57"/>
      <c r="G20" s="55">
        <v>33</v>
      </c>
    </row>
    <row r="21" spans="1:12" x14ac:dyDescent="0.2">
      <c r="A21" s="17">
        <v>93</v>
      </c>
      <c r="B21" s="625" t="s">
        <v>280</v>
      </c>
      <c r="C21" s="626"/>
      <c r="D21" s="626"/>
      <c r="E21" s="58" t="e">
        <f>CONCATENATE("Contact ID: ",'Demog Contact (2)'!S34)</f>
        <v>#N/A</v>
      </c>
      <c r="F21" s="59"/>
      <c r="G21" s="17">
        <v>92</v>
      </c>
      <c r="H21" s="627" t="s">
        <v>304</v>
      </c>
      <c r="I21" s="628"/>
      <c r="J21" s="628"/>
      <c r="K21" s="60" t="e">
        <f>CONCATENATE("Contact ID: ",'Demog Contact (2)'!S7)</f>
        <v>#N/A</v>
      </c>
    </row>
    <row r="22" spans="1:12" x14ac:dyDescent="0.2">
      <c r="A22" s="33">
        <v>24</v>
      </c>
      <c r="B22" s="620" t="s">
        <v>376</v>
      </c>
      <c r="C22" s="612" t="e">
        <f>'Demog Contact'!D35</f>
        <v>#N/A</v>
      </c>
      <c r="D22" s="604" t="e">
        <f>'Demog Contact (2)'!D35</f>
        <v>#N/A</v>
      </c>
      <c r="E22" s="606" t="e">
        <f t="shared" ref="E22:E35" si="2">IF(EXACT(C22,D22),"",C22)</f>
        <v>#N/A</v>
      </c>
      <c r="G22" s="17">
        <v>10</v>
      </c>
      <c r="H22" s="621" t="s">
        <v>374</v>
      </c>
      <c r="I22" s="630" t="e">
        <f>'Demog Contact'!H7</f>
        <v>#N/A</v>
      </c>
      <c r="J22" s="615" t="e">
        <f>'Demog Contact (2)'!H7</f>
        <v>#N/A</v>
      </c>
      <c r="K22" s="609" t="e">
        <f>IF(EXACT(I22,J22),"",I22)</f>
        <v>#N/A</v>
      </c>
    </row>
    <row r="23" spans="1:12" ht="12.75" customHeight="1" x14ac:dyDescent="0.2">
      <c r="A23" s="33">
        <v>25</v>
      </c>
      <c r="B23" s="620" t="s">
        <v>317</v>
      </c>
      <c r="C23" s="612"/>
      <c r="D23" s="604"/>
      <c r="E23" s="605" t="str">
        <f t="shared" si="2"/>
        <v/>
      </c>
      <c r="G23" s="17">
        <v>11</v>
      </c>
      <c r="H23" s="629" t="s">
        <v>310</v>
      </c>
      <c r="I23" s="608"/>
      <c r="J23" s="604"/>
      <c r="K23" s="609"/>
    </row>
    <row r="24" spans="1:12" x14ac:dyDescent="0.2">
      <c r="A24" s="17">
        <v>26</v>
      </c>
      <c r="B24" s="61" t="s">
        <v>318</v>
      </c>
      <c r="C24" s="25" t="e">
        <f>'Demog Contact'!I35</f>
        <v>#N/A</v>
      </c>
      <c r="D24" s="25" t="e">
        <f>'Demog Contact (2)'!I35</f>
        <v>#N/A</v>
      </c>
      <c r="E24" s="27" t="e">
        <f t="shared" si="2"/>
        <v>#N/A</v>
      </c>
      <c r="G24" s="17">
        <v>12</v>
      </c>
      <c r="H24" s="62" t="s">
        <v>311</v>
      </c>
      <c r="I24" s="25" t="e">
        <f>'Demog Contact'!H8</f>
        <v>#N/A</v>
      </c>
      <c r="J24" s="25" t="e">
        <f>'Demog Contact (2)'!H8</f>
        <v>#N/A</v>
      </c>
      <c r="K24" s="47" t="e">
        <f>IF(EXACT(I24,J24),"",I24)</f>
        <v>#N/A</v>
      </c>
    </row>
    <row r="25" spans="1:12" x14ac:dyDescent="0.2">
      <c r="A25" s="17">
        <v>27</v>
      </c>
      <c r="B25" s="61" t="s">
        <v>319</v>
      </c>
      <c r="C25" s="25" t="e">
        <f>'Demog Contact'!D36</f>
        <v>#N/A</v>
      </c>
      <c r="D25" s="25" t="e">
        <f>'Demog Contact (2)'!D36</f>
        <v>#N/A</v>
      </c>
      <c r="E25" s="47" t="e">
        <f t="shared" si="2"/>
        <v>#N/A</v>
      </c>
      <c r="G25" s="17">
        <v>13</v>
      </c>
      <c r="H25" s="62" t="s">
        <v>312</v>
      </c>
      <c r="I25" s="25" t="e">
        <f>'Demog Contact'!H9</f>
        <v>#N/A</v>
      </c>
      <c r="J25" s="25" t="e">
        <f>'Demog Contact (2)'!H9</f>
        <v>#N/A</v>
      </c>
      <c r="K25" s="47" t="e">
        <f>IF(EXACT(I25,J25),"",I25)</f>
        <v>#N/A</v>
      </c>
    </row>
    <row r="26" spans="1:12" x14ac:dyDescent="0.2">
      <c r="A26" s="17">
        <v>32</v>
      </c>
      <c r="B26" s="620" t="s">
        <v>373</v>
      </c>
      <c r="C26" s="608" t="e">
        <f>'Demog Contact'!D37</f>
        <v>#N/A</v>
      </c>
      <c r="D26" s="604" t="e">
        <f>'Demog Contact (2)'!D37</f>
        <v>#N/A</v>
      </c>
      <c r="E26" s="605" t="e">
        <f t="shared" si="2"/>
        <v>#N/A</v>
      </c>
      <c r="G26" s="17">
        <v>14</v>
      </c>
      <c r="H26" s="62" t="s">
        <v>313</v>
      </c>
      <c r="I26" s="25" t="e">
        <f>'Demog Contact'!H10</f>
        <v>#N/A</v>
      </c>
      <c r="J26" s="25" t="e">
        <f>'Demog Contact (2)'!H10</f>
        <v>#N/A</v>
      </c>
      <c r="K26" s="47" t="e">
        <f>IF(EXACT(I26,J26),"",I26)</f>
        <v>#N/A</v>
      </c>
    </row>
    <row r="27" spans="1:12" x14ac:dyDescent="0.2">
      <c r="A27" s="17">
        <v>33</v>
      </c>
      <c r="B27" s="620"/>
      <c r="C27" s="608"/>
      <c r="D27" s="604"/>
      <c r="E27" s="605" t="str">
        <f t="shared" si="2"/>
        <v/>
      </c>
      <c r="G27" s="17">
        <v>15</v>
      </c>
      <c r="H27" s="621" t="s">
        <v>19</v>
      </c>
      <c r="I27" s="63" t="e">
        <f>'Demog Contact'!H11</f>
        <v>#N/A</v>
      </c>
      <c r="J27" s="604" t="e">
        <f>'Demog Contact (2)'!H11</f>
        <v>#N/A</v>
      </c>
      <c r="K27" s="605" t="e">
        <f>IF(EXACT(I27,J27),"",I27)</f>
        <v>#N/A</v>
      </c>
    </row>
    <row r="28" spans="1:12" ht="12.75" customHeight="1" thickBot="1" x14ac:dyDescent="0.25">
      <c r="A28" s="17">
        <v>34</v>
      </c>
      <c r="B28" s="61" t="s">
        <v>323</v>
      </c>
      <c r="C28" s="25" t="e">
        <f>'Demog Contact'!D38</f>
        <v>#N/A</v>
      </c>
      <c r="D28" s="25" t="e">
        <f>'Demog Contact (2)'!D38</f>
        <v>#N/A</v>
      </c>
      <c r="E28" s="47" t="e">
        <f t="shared" si="2"/>
        <v>#N/A</v>
      </c>
      <c r="G28" s="17">
        <v>16</v>
      </c>
      <c r="H28" s="622" t="s">
        <v>326</v>
      </c>
      <c r="I28" s="64" t="e">
        <v>#N/A</v>
      </c>
      <c r="J28" s="623"/>
      <c r="K28" s="624"/>
    </row>
    <row r="29" spans="1:12" x14ac:dyDescent="0.2">
      <c r="A29" s="17">
        <v>35</v>
      </c>
      <c r="B29" s="61" t="s">
        <v>324</v>
      </c>
      <c r="C29" s="25" t="e">
        <f>'Demog Contact'!D39</f>
        <v>#N/A</v>
      </c>
      <c r="D29" s="25" t="e">
        <f>'Demog Contact (2)'!D39</f>
        <v>#N/A</v>
      </c>
      <c r="E29" s="47" t="e">
        <f t="shared" si="2"/>
        <v>#N/A</v>
      </c>
      <c r="L29" s="65"/>
    </row>
    <row r="30" spans="1:12" x14ac:dyDescent="0.2">
      <c r="A30" s="17">
        <v>36</v>
      </c>
      <c r="B30" s="61" t="s">
        <v>325</v>
      </c>
      <c r="C30" s="25" t="e">
        <f>'Demog Contact'!D40</f>
        <v>#N/A</v>
      </c>
      <c r="D30" s="25" t="e">
        <f>'Demog Contact (2)'!D40</f>
        <v>#N/A</v>
      </c>
      <c r="E30" s="47" t="e">
        <f t="shared" si="2"/>
        <v>#N/A</v>
      </c>
      <c r="L30" s="65"/>
    </row>
    <row r="31" spans="1:12" x14ac:dyDescent="0.2">
      <c r="A31" s="17">
        <v>37</v>
      </c>
      <c r="B31" s="620" t="s">
        <v>17</v>
      </c>
      <c r="C31" s="603" t="e">
        <f>'Demog Contact'!D41</f>
        <v>#N/A</v>
      </c>
      <c r="D31" s="604" t="e">
        <f>'Demog Contact (2)'!D41</f>
        <v>#N/A</v>
      </c>
      <c r="E31" s="605" t="e">
        <f t="shared" si="2"/>
        <v>#N/A</v>
      </c>
      <c r="L31" s="65"/>
    </row>
    <row r="32" spans="1:12" x14ac:dyDescent="0.2">
      <c r="A32" s="17">
        <v>38</v>
      </c>
      <c r="B32" s="602"/>
      <c r="C32" s="603"/>
      <c r="D32" s="604"/>
      <c r="E32" s="605" t="str">
        <f t="shared" si="2"/>
        <v/>
      </c>
    </row>
    <row r="33" spans="1:11" x14ac:dyDescent="0.2">
      <c r="A33" s="17">
        <v>31</v>
      </c>
      <c r="B33" s="61" t="s">
        <v>322</v>
      </c>
      <c r="C33" s="25" t="e">
        <f>'Demog Contact'!I37</f>
        <v>#N/A</v>
      </c>
      <c r="D33" s="25" t="e">
        <f>'Demog Contact (2)'!I37</f>
        <v>#N/A</v>
      </c>
      <c r="E33" s="47" t="e">
        <f t="shared" si="2"/>
        <v>#N/A</v>
      </c>
    </row>
    <row r="34" spans="1:11" x14ac:dyDescent="0.2">
      <c r="A34" s="17">
        <v>28</v>
      </c>
      <c r="B34" s="61" t="s">
        <v>320</v>
      </c>
      <c r="C34" s="25" t="e">
        <f>'Demog Contact'!I38</f>
        <v>#N/A</v>
      </c>
      <c r="D34" s="25" t="e">
        <f>'Demog Contact (2)'!I38</f>
        <v>#N/A</v>
      </c>
      <c r="E34" s="66" t="e">
        <f t="shared" si="2"/>
        <v>#N/A</v>
      </c>
    </row>
    <row r="35" spans="1:11" x14ac:dyDescent="0.2">
      <c r="A35" s="17">
        <v>29</v>
      </c>
      <c r="B35" s="61" t="s">
        <v>365</v>
      </c>
      <c r="C35" s="25" t="e">
        <f>'Demog Contact'!I39</f>
        <v>#N/A</v>
      </c>
      <c r="D35" s="25" t="e">
        <f>'Demog Contact (2)'!I39</f>
        <v>#N/A</v>
      </c>
      <c r="E35" s="47" t="e">
        <f t="shared" si="2"/>
        <v>#N/A</v>
      </c>
    </row>
    <row r="36" spans="1:11" ht="13.5" thickBot="1" x14ac:dyDescent="0.25">
      <c r="A36" s="17">
        <v>30</v>
      </c>
      <c r="B36" s="67" t="s">
        <v>321</v>
      </c>
      <c r="C36" s="35" t="e">
        <f>'Demog Contact'!I40</f>
        <v>#N/A</v>
      </c>
      <c r="D36" s="35" t="e">
        <f>'Demog Contact (2)'!I40</f>
        <v>#N/A</v>
      </c>
      <c r="E36" s="68" t="e">
        <f>IF(EXACT(C36,D36),"",C36)</f>
        <v>#N/A</v>
      </c>
    </row>
    <row r="38" spans="1:11" ht="13.5" thickBot="1" x14ac:dyDescent="0.25">
      <c r="A38" s="55">
        <v>32</v>
      </c>
      <c r="G38" s="69">
        <v>32</v>
      </c>
      <c r="H38" s="70"/>
      <c r="I38" s="70"/>
      <c r="J38" s="70"/>
      <c r="K38" s="70"/>
    </row>
    <row r="39" spans="1:11" x14ac:dyDescent="0.2">
      <c r="A39" s="17">
        <v>94</v>
      </c>
      <c r="B39" s="616" t="s">
        <v>263</v>
      </c>
      <c r="C39" s="611"/>
      <c r="D39" s="611"/>
      <c r="E39" s="71" t="e">
        <f>CONCATENATE("Contact ID: ",'Demog Contact (2)'!S42)</f>
        <v>#N/A</v>
      </c>
      <c r="G39" s="33">
        <v>95</v>
      </c>
      <c r="H39" s="617" t="s">
        <v>266</v>
      </c>
      <c r="I39" s="618"/>
      <c r="J39" s="618"/>
      <c r="K39" s="72" t="e">
        <f>CONCATENATE("Contact ID: ",'Demog Contact (2)'!S50)</f>
        <v>#N/A</v>
      </c>
    </row>
    <row r="40" spans="1:11" x14ac:dyDescent="0.2">
      <c r="A40" s="17">
        <v>39</v>
      </c>
      <c r="B40" s="614" t="s">
        <v>24</v>
      </c>
      <c r="C40" s="612" t="e">
        <f>'Demog Contact'!D43</f>
        <v>#N/A</v>
      </c>
      <c r="D40" s="604" t="e">
        <f>'Demog Contact (2)'!D43</f>
        <v>#N/A</v>
      </c>
      <c r="E40" s="606" t="e">
        <f t="shared" ref="E40:E53" si="3">IF(EXACT(C40,D40),"",C40)</f>
        <v>#N/A</v>
      </c>
      <c r="G40" s="33">
        <v>54</v>
      </c>
      <c r="H40" s="613" t="s">
        <v>15</v>
      </c>
      <c r="I40" s="619" t="e">
        <f>'Demog Contact'!D51</f>
        <v>#N/A</v>
      </c>
      <c r="J40" s="615" t="e">
        <f>'Demog Contact (2)'!D51</f>
        <v>#N/A</v>
      </c>
      <c r="K40" s="606" t="e">
        <f>IF(EXACT(I40,J40),"",I40)</f>
        <v>#N/A</v>
      </c>
    </row>
    <row r="41" spans="1:11" x14ac:dyDescent="0.2">
      <c r="A41" s="17">
        <v>40</v>
      </c>
      <c r="B41" s="614" t="s">
        <v>327</v>
      </c>
      <c r="C41" s="612"/>
      <c r="D41" s="604"/>
      <c r="E41" s="605" t="str">
        <f t="shared" si="3"/>
        <v/>
      </c>
      <c r="F41" s="29"/>
      <c r="G41" s="33">
        <v>55</v>
      </c>
      <c r="H41" s="613" t="s">
        <v>335</v>
      </c>
      <c r="I41" s="603"/>
      <c r="J41" s="604"/>
      <c r="K41" s="605"/>
    </row>
    <row r="42" spans="1:11" x14ac:dyDescent="0.2">
      <c r="A42" s="17">
        <v>41</v>
      </c>
      <c r="B42" s="73" t="s">
        <v>328</v>
      </c>
      <c r="C42" s="25" t="e">
        <f>'Demog Contact'!I43</f>
        <v>#N/A</v>
      </c>
      <c r="D42" s="25" t="e">
        <f>'Demog Contact (2)'!I43</f>
        <v>#N/A</v>
      </c>
      <c r="E42" s="27" t="e">
        <f t="shared" si="3"/>
        <v>#N/A</v>
      </c>
      <c r="F42" s="74"/>
      <c r="G42" s="17">
        <v>56</v>
      </c>
      <c r="H42" s="75" t="s">
        <v>336</v>
      </c>
      <c r="I42" s="25" t="e">
        <f>'Demog Contact'!I51</f>
        <v>#N/A</v>
      </c>
      <c r="J42" s="25" t="e">
        <f>'Demog Contact (2)'!I51</f>
        <v>#N/A</v>
      </c>
      <c r="K42" s="47" t="e">
        <f>IF(EXACT(I42,J42),"",I42)</f>
        <v>#N/A</v>
      </c>
    </row>
    <row r="43" spans="1:11" x14ac:dyDescent="0.2">
      <c r="A43" s="17">
        <v>42</v>
      </c>
      <c r="B43" s="73" t="s">
        <v>329</v>
      </c>
      <c r="C43" s="25" t="e">
        <f>'Demog Contact'!D44</f>
        <v>#N/A</v>
      </c>
      <c r="D43" s="25" t="e">
        <f>'Demog Contact (2)'!D44</f>
        <v>#N/A</v>
      </c>
      <c r="E43" s="27" t="e">
        <f t="shared" si="3"/>
        <v>#N/A</v>
      </c>
      <c r="F43" s="74"/>
      <c r="G43" s="17">
        <v>57</v>
      </c>
      <c r="H43" s="75" t="s">
        <v>337</v>
      </c>
      <c r="I43" s="25" t="e">
        <f>'Demog Contact'!D52</f>
        <v>#N/A</v>
      </c>
      <c r="J43" s="25" t="e">
        <f>'Demog Contact (2)'!D52</f>
        <v>#N/A</v>
      </c>
      <c r="K43" s="47" t="e">
        <f>IF(EXACT(I43,J43),"",I43)</f>
        <v>#N/A</v>
      </c>
    </row>
    <row r="44" spans="1:11" x14ac:dyDescent="0.2">
      <c r="A44" s="17">
        <v>47</v>
      </c>
      <c r="B44" s="614" t="s">
        <v>371</v>
      </c>
      <c r="C44" s="608" t="e">
        <f>'Demog Contact'!D45</f>
        <v>#N/A</v>
      </c>
      <c r="D44" s="604" t="e">
        <f>'Demog Contact (2)'!D45</f>
        <v>#N/A</v>
      </c>
      <c r="E44" s="609" t="e">
        <f t="shared" si="3"/>
        <v>#N/A</v>
      </c>
      <c r="F44" s="74"/>
      <c r="G44" s="17">
        <v>62</v>
      </c>
      <c r="H44" s="613" t="s">
        <v>372</v>
      </c>
      <c r="I44" s="608" t="e">
        <f>'Demog Contact'!D53</f>
        <v>#N/A</v>
      </c>
      <c r="J44" s="604" t="e">
        <f>'Demog Contact (2)'!D53</f>
        <v>#N/A</v>
      </c>
      <c r="K44" s="609" t="e">
        <f>IF(EXACT(I44,J44),"",I44)</f>
        <v>#N/A</v>
      </c>
    </row>
    <row r="45" spans="1:11" x14ac:dyDescent="0.2">
      <c r="A45" s="17">
        <v>48</v>
      </c>
      <c r="B45" s="607"/>
      <c r="C45" s="608"/>
      <c r="D45" s="604"/>
      <c r="E45" s="609" t="str">
        <f t="shared" si="3"/>
        <v/>
      </c>
      <c r="F45" s="57"/>
      <c r="G45" s="17">
        <v>63</v>
      </c>
      <c r="H45" s="607"/>
      <c r="I45" s="608"/>
      <c r="J45" s="604"/>
      <c r="K45" s="609"/>
    </row>
    <row r="46" spans="1:11" x14ac:dyDescent="0.2">
      <c r="A46" s="17">
        <v>49</v>
      </c>
      <c r="B46" s="73" t="s">
        <v>332</v>
      </c>
      <c r="C46" s="25" t="e">
        <f>'Demog Contact'!D46</f>
        <v>#N/A</v>
      </c>
      <c r="D46" s="25" t="e">
        <f>'Demog Contact (2)'!D46</f>
        <v>#N/A</v>
      </c>
      <c r="E46" s="27" t="e">
        <f t="shared" si="3"/>
        <v>#N/A</v>
      </c>
      <c r="F46" s="57"/>
      <c r="G46" s="17">
        <v>64</v>
      </c>
      <c r="H46" s="75" t="s">
        <v>341</v>
      </c>
      <c r="I46" s="25" t="e">
        <f>'Demog Contact'!D54</f>
        <v>#N/A</v>
      </c>
      <c r="J46" s="25" t="e">
        <f>'Demog Contact (2)'!D54</f>
        <v>#N/A</v>
      </c>
      <c r="K46" s="47" t="e">
        <f>IF(EXACT(I46,J46),"",I46)</f>
        <v>#N/A</v>
      </c>
    </row>
    <row r="47" spans="1:11" x14ac:dyDescent="0.2">
      <c r="A47" s="17">
        <v>50</v>
      </c>
      <c r="B47" s="73" t="s">
        <v>333</v>
      </c>
      <c r="C47" s="25" t="e">
        <f>'Demog Contact'!D47</f>
        <v>#N/A</v>
      </c>
      <c r="D47" s="25" t="e">
        <f>'Demog Contact (2)'!D47</f>
        <v>#N/A</v>
      </c>
      <c r="E47" s="27" t="e">
        <f t="shared" si="3"/>
        <v>#N/A</v>
      </c>
      <c r="F47" s="57"/>
      <c r="G47" s="17">
        <v>65</v>
      </c>
      <c r="H47" s="75" t="s">
        <v>342</v>
      </c>
      <c r="I47" s="25" t="e">
        <f>'Demog Contact'!D55</f>
        <v>#N/A</v>
      </c>
      <c r="J47" s="25" t="e">
        <f>'Demog Contact (2)'!D55</f>
        <v>#N/A</v>
      </c>
      <c r="K47" s="47" t="e">
        <f>IF(EXACT(I47,J47),"",I47)</f>
        <v>#N/A</v>
      </c>
    </row>
    <row r="48" spans="1:11" x14ac:dyDescent="0.2">
      <c r="A48" s="17">
        <v>51</v>
      </c>
      <c r="B48" s="73" t="s">
        <v>334</v>
      </c>
      <c r="C48" s="25" t="e">
        <f>'Demog Contact'!D48</f>
        <v>#N/A</v>
      </c>
      <c r="D48" s="25" t="e">
        <f>'Demog Contact (2)'!D48</f>
        <v>#N/A</v>
      </c>
      <c r="E48" s="27" t="e">
        <f t="shared" si="3"/>
        <v>#N/A</v>
      </c>
      <c r="F48" s="57"/>
      <c r="G48" s="17">
        <v>66</v>
      </c>
      <c r="H48" s="75" t="s">
        <v>343</v>
      </c>
      <c r="I48" s="25" t="e">
        <f>'Demog Contact'!D56</f>
        <v>#N/A</v>
      </c>
      <c r="J48" s="25" t="e">
        <f>'Demog Contact (2)'!D56</f>
        <v>#N/A</v>
      </c>
      <c r="K48" s="47" t="e">
        <f>IF(EXACT(I48,J48),"",I48)</f>
        <v>#N/A</v>
      </c>
    </row>
    <row r="49" spans="1:11" x14ac:dyDescent="0.2">
      <c r="A49" s="17">
        <v>52</v>
      </c>
      <c r="B49" s="614" t="s">
        <v>20</v>
      </c>
      <c r="C49" s="603" t="e">
        <f>'Demog Contact'!D49</f>
        <v>#N/A</v>
      </c>
      <c r="D49" s="604" t="e">
        <f>'Demog Contact (2)'!D49</f>
        <v>#N/A</v>
      </c>
      <c r="E49" s="605" t="e">
        <f t="shared" si="3"/>
        <v>#N/A</v>
      </c>
      <c r="F49" s="57"/>
      <c r="G49" s="17">
        <v>67</v>
      </c>
      <c r="H49" s="613" t="s">
        <v>18</v>
      </c>
      <c r="I49" s="603" t="e">
        <f>'Demog Contact'!D57</f>
        <v>#N/A</v>
      </c>
      <c r="J49" s="604" t="e">
        <f>'Demog Contact (2)'!D57</f>
        <v>#N/A</v>
      </c>
      <c r="K49" s="605" t="e">
        <f>IF(EXACT(I49,J49),"",I49)</f>
        <v>#N/A</v>
      </c>
    </row>
    <row r="50" spans="1:11" x14ac:dyDescent="0.2">
      <c r="A50" s="17">
        <v>53</v>
      </c>
      <c r="B50" s="602"/>
      <c r="C50" s="603"/>
      <c r="D50" s="604"/>
      <c r="E50" s="605" t="str">
        <f t="shared" si="3"/>
        <v/>
      </c>
      <c r="F50" s="57"/>
      <c r="G50" s="17">
        <v>68</v>
      </c>
      <c r="H50" s="602"/>
      <c r="I50" s="603"/>
      <c r="J50" s="604"/>
      <c r="K50" s="605"/>
    </row>
    <row r="51" spans="1:11" x14ac:dyDescent="0.2">
      <c r="A51" s="17">
        <v>46</v>
      </c>
      <c r="B51" s="73" t="s">
        <v>331</v>
      </c>
      <c r="C51" s="25" t="e">
        <f>'Demog Contact'!I45</f>
        <v>#N/A</v>
      </c>
      <c r="D51" s="25" t="e">
        <f>'Demog Contact (2)'!I45</f>
        <v>#N/A</v>
      </c>
      <c r="E51" s="27" t="e">
        <f t="shared" si="3"/>
        <v>#N/A</v>
      </c>
      <c r="F51" s="76"/>
      <c r="G51" s="17">
        <v>61</v>
      </c>
      <c r="H51" s="75" t="s">
        <v>340</v>
      </c>
      <c r="I51" s="25" t="e">
        <f>'Demog Contact'!I53</f>
        <v>#N/A</v>
      </c>
      <c r="J51" s="25" t="e">
        <f>'Demog Contact (2)'!I53</f>
        <v>#N/A</v>
      </c>
      <c r="K51" s="47" t="e">
        <f>IF(EXACT(I51,J51),"",I51)</f>
        <v>#N/A</v>
      </c>
    </row>
    <row r="52" spans="1:11" ht="12.75" customHeight="1" x14ac:dyDescent="0.2">
      <c r="A52" s="17">
        <v>43</v>
      </c>
      <c r="B52" s="77" t="s">
        <v>362</v>
      </c>
      <c r="C52" s="78" t="e">
        <f>'Demog Contact'!I46</f>
        <v>#N/A</v>
      </c>
      <c r="D52" s="79" t="e">
        <f>'Demog Contact (2)'!I46</f>
        <v>#N/A</v>
      </c>
      <c r="E52" s="80" t="e">
        <f t="shared" si="3"/>
        <v>#N/A</v>
      </c>
      <c r="F52" s="76"/>
      <c r="G52" s="17">
        <v>58</v>
      </c>
      <c r="H52" s="75" t="s">
        <v>338</v>
      </c>
      <c r="I52" s="25" t="e">
        <f>'Demog Contact'!I54</f>
        <v>#N/A</v>
      </c>
      <c r="J52" s="25" t="e">
        <f>'Demog Contact (2)'!I54</f>
        <v>#N/A</v>
      </c>
      <c r="K52" s="66" t="e">
        <f>IF(EXACT(I52,J52),"",I52)</f>
        <v>#N/A</v>
      </c>
    </row>
    <row r="53" spans="1:11" x14ac:dyDescent="0.2">
      <c r="A53" s="17">
        <v>44</v>
      </c>
      <c r="B53" s="77" t="s">
        <v>366</v>
      </c>
      <c r="C53" s="78" t="e">
        <f>'Demog Contact'!I47</f>
        <v>#N/A</v>
      </c>
      <c r="D53" s="79" t="e">
        <f>'Demog Contact (2)'!I47</f>
        <v>#N/A</v>
      </c>
      <c r="E53" s="81" t="e">
        <f t="shared" si="3"/>
        <v>#N/A</v>
      </c>
      <c r="F53" s="57"/>
      <c r="G53" s="17">
        <v>59</v>
      </c>
      <c r="H53" s="75" t="s">
        <v>368</v>
      </c>
      <c r="I53" s="25" t="e">
        <f>'Demog Contact'!I55</f>
        <v>#N/A</v>
      </c>
      <c r="J53" s="25" t="e">
        <f>'Demog Contact (2)'!I55</f>
        <v>#N/A</v>
      </c>
      <c r="K53" s="47" t="e">
        <f>IF(EXACT(I53,J53),"",I53)</f>
        <v>#N/A</v>
      </c>
    </row>
    <row r="54" spans="1:11" ht="13.5" thickBot="1" x14ac:dyDescent="0.25">
      <c r="A54" s="17">
        <v>45</v>
      </c>
      <c r="B54" s="82" t="s">
        <v>330</v>
      </c>
      <c r="C54" s="35" t="e">
        <f>'Demog Contact'!I48</f>
        <v>#N/A</v>
      </c>
      <c r="D54" s="35" t="e">
        <f>'Demog Contact (2)'!I48</f>
        <v>#N/A</v>
      </c>
      <c r="E54" s="83" t="e">
        <f>IF(EXACT(C54,D54),"",C54)</f>
        <v>#N/A</v>
      </c>
      <c r="F54" s="57"/>
      <c r="G54" s="17">
        <v>60</v>
      </c>
      <c r="H54" s="84" t="s">
        <v>339</v>
      </c>
      <c r="I54" s="35" t="e">
        <f>'Demog Contact'!I56</f>
        <v>#N/A</v>
      </c>
      <c r="J54" s="35" t="e">
        <f>'Demog Contact (2)'!I56</f>
        <v>#N/A</v>
      </c>
      <c r="K54" s="68" t="e">
        <f>IF(EXACT(I54,J54),"",I54)</f>
        <v>#N/A</v>
      </c>
    </row>
    <row r="55" spans="1:11" x14ac:dyDescent="0.2">
      <c r="F55" s="57"/>
    </row>
    <row r="56" spans="1:11" x14ac:dyDescent="0.2">
      <c r="B56" s="85"/>
      <c r="C56" s="86"/>
      <c r="D56" s="86"/>
      <c r="E56" s="86"/>
      <c r="F56" s="86"/>
    </row>
    <row r="57" spans="1:11" ht="13.5" thickBot="1" x14ac:dyDescent="0.25">
      <c r="A57" s="55">
        <v>40</v>
      </c>
      <c r="B57" s="65"/>
      <c r="F57" s="86"/>
    </row>
    <row r="58" spans="1:11" x14ac:dyDescent="0.2">
      <c r="A58" s="87">
        <v>96</v>
      </c>
      <c r="B58" s="610" t="s">
        <v>360</v>
      </c>
      <c r="C58" s="611"/>
      <c r="D58" s="611"/>
      <c r="E58" s="88" t="e">
        <f>CONCATENATE("Contact ID: ",'Demog Contact (2)'!S58)</f>
        <v>#N/A</v>
      </c>
      <c r="H58" s="89"/>
    </row>
    <row r="59" spans="1:11" x14ac:dyDescent="0.2">
      <c r="A59" s="87">
        <v>69</v>
      </c>
      <c r="B59" s="601" t="s">
        <v>363</v>
      </c>
      <c r="C59" s="612" t="e">
        <f>'Demog Contact'!D59</f>
        <v>#N/A</v>
      </c>
      <c r="D59" s="604" t="e">
        <f>'Demog Contact (2)'!D59</f>
        <v>#N/A</v>
      </c>
      <c r="E59" s="606" t="e">
        <f t="shared" ref="E59:E72" si="4">IF(EXACT(C59,D59),"",C59)</f>
        <v>#N/A</v>
      </c>
    </row>
    <row r="60" spans="1:11" x14ac:dyDescent="0.2">
      <c r="A60" s="87">
        <v>70</v>
      </c>
      <c r="B60" s="601" t="s">
        <v>344</v>
      </c>
      <c r="C60" s="612"/>
      <c r="D60" s="604"/>
      <c r="E60" s="605" t="str">
        <f t="shared" si="4"/>
        <v/>
      </c>
    </row>
    <row r="61" spans="1:11" x14ac:dyDescent="0.2">
      <c r="A61" s="87">
        <v>71</v>
      </c>
      <c r="B61" s="90" t="s">
        <v>345</v>
      </c>
      <c r="C61" s="25" t="e">
        <f>'Demog Contact'!I59</f>
        <v>#N/A</v>
      </c>
      <c r="D61" s="25" t="e">
        <f>'Demog Contact (2)'!I59</f>
        <v>#N/A</v>
      </c>
      <c r="E61" s="27" t="e">
        <f t="shared" si="4"/>
        <v>#N/A</v>
      </c>
    </row>
    <row r="62" spans="1:11" x14ac:dyDescent="0.2">
      <c r="A62" s="87">
        <v>72</v>
      </c>
      <c r="B62" s="90" t="s">
        <v>346</v>
      </c>
      <c r="C62" s="25" t="e">
        <f>'Demog Contact'!D60</f>
        <v>#N/A</v>
      </c>
      <c r="D62" s="25" t="e">
        <f>'Demog Contact (2)'!D60</f>
        <v>#N/A</v>
      </c>
      <c r="E62" s="27" t="e">
        <f t="shared" si="4"/>
        <v>#N/A</v>
      </c>
    </row>
    <row r="63" spans="1:11" x14ac:dyDescent="0.2">
      <c r="A63" s="87">
        <v>77</v>
      </c>
      <c r="B63" s="601" t="s">
        <v>370</v>
      </c>
      <c r="C63" s="608" t="e">
        <f>'Demog Contact'!D61</f>
        <v>#N/A</v>
      </c>
      <c r="D63" s="604" t="e">
        <f>'Demog Contact (2)'!D61</f>
        <v>#N/A</v>
      </c>
      <c r="E63" s="609" t="e">
        <f t="shared" si="4"/>
        <v>#N/A</v>
      </c>
    </row>
    <row r="64" spans="1:11" x14ac:dyDescent="0.2">
      <c r="A64" s="87">
        <v>78</v>
      </c>
      <c r="B64" s="607"/>
      <c r="C64" s="608"/>
      <c r="D64" s="604"/>
      <c r="E64" s="609" t="str">
        <f t="shared" si="4"/>
        <v/>
      </c>
    </row>
    <row r="65" spans="1:10" x14ac:dyDescent="0.2">
      <c r="A65" s="87">
        <v>79</v>
      </c>
      <c r="B65" s="90" t="s">
        <v>350</v>
      </c>
      <c r="C65" s="25" t="e">
        <f>'Demog Contact'!D62</f>
        <v>#N/A</v>
      </c>
      <c r="D65" s="25" t="e">
        <f>'Demog Contact (2)'!D62</f>
        <v>#N/A</v>
      </c>
      <c r="E65" s="27" t="e">
        <f t="shared" si="4"/>
        <v>#N/A</v>
      </c>
      <c r="J65" s="20"/>
    </row>
    <row r="66" spans="1:10" x14ac:dyDescent="0.2">
      <c r="A66" s="87">
        <v>80</v>
      </c>
      <c r="B66" s="90" t="s">
        <v>351</v>
      </c>
      <c r="C66" s="25" t="e">
        <f>'Demog Contact'!D63</f>
        <v>#N/A</v>
      </c>
      <c r="D66" s="25" t="e">
        <f>'Demog Contact (2)'!D63</f>
        <v>#N/A</v>
      </c>
      <c r="E66" s="27" t="e">
        <f t="shared" si="4"/>
        <v>#N/A</v>
      </c>
    </row>
    <row r="67" spans="1:10" x14ac:dyDescent="0.2">
      <c r="A67" s="87">
        <v>81</v>
      </c>
      <c r="B67" s="90" t="s">
        <v>352</v>
      </c>
      <c r="C67" s="25" t="e">
        <f>'Demog Contact'!D64</f>
        <v>#N/A</v>
      </c>
      <c r="D67" s="25" t="e">
        <f>'Demog Contact (2)'!D64</f>
        <v>#N/A</v>
      </c>
      <c r="E67" s="27" t="e">
        <f t="shared" si="4"/>
        <v>#N/A</v>
      </c>
    </row>
    <row r="68" spans="1:10" x14ac:dyDescent="0.2">
      <c r="A68" s="87">
        <v>82</v>
      </c>
      <c r="B68" s="601" t="s">
        <v>21</v>
      </c>
      <c r="C68" s="603" t="e">
        <f>'Demog Contact'!D65</f>
        <v>#N/A</v>
      </c>
      <c r="D68" s="604" t="e">
        <f>'Demog Contact (2)'!D65</f>
        <v>#N/A</v>
      </c>
      <c r="E68" s="605" t="e">
        <f t="shared" si="4"/>
        <v>#N/A</v>
      </c>
    </row>
    <row r="69" spans="1:10" x14ac:dyDescent="0.2">
      <c r="A69" s="87">
        <v>83</v>
      </c>
      <c r="B69" s="602"/>
      <c r="C69" s="603"/>
      <c r="D69" s="604"/>
      <c r="E69" s="605" t="str">
        <f t="shared" si="4"/>
        <v/>
      </c>
    </row>
    <row r="70" spans="1:10" x14ac:dyDescent="0.2">
      <c r="A70" s="87">
        <v>76</v>
      </c>
      <c r="B70" s="90" t="s">
        <v>349</v>
      </c>
      <c r="C70" s="25" t="e">
        <f>'Demog Contact'!I61</f>
        <v>#N/A</v>
      </c>
      <c r="D70" s="25" t="e">
        <f>'Demog Contact (2)'!I61</f>
        <v>#N/A</v>
      </c>
      <c r="E70" s="27" t="e">
        <f t="shared" si="4"/>
        <v>#N/A</v>
      </c>
    </row>
    <row r="71" spans="1:10" x14ac:dyDescent="0.2">
      <c r="A71" s="87">
        <v>73</v>
      </c>
      <c r="B71" s="90" t="s">
        <v>347</v>
      </c>
      <c r="C71" s="25" t="e">
        <f>'Demog Contact'!I62</f>
        <v>#N/A</v>
      </c>
      <c r="D71" s="25" t="e">
        <f>'Demog Contact (2)'!I62</f>
        <v>#N/A</v>
      </c>
      <c r="E71" s="45" t="e">
        <f t="shared" si="4"/>
        <v>#N/A</v>
      </c>
    </row>
    <row r="72" spans="1:10" x14ac:dyDescent="0.2">
      <c r="A72" s="87">
        <v>74</v>
      </c>
      <c r="B72" s="90" t="s">
        <v>367</v>
      </c>
      <c r="C72" s="25" t="e">
        <f>'Demog Contact'!I63</f>
        <v>#N/A</v>
      </c>
      <c r="D72" s="25" t="e">
        <f>'Demog Contact (2)'!I63</f>
        <v>#N/A</v>
      </c>
      <c r="E72" s="27" t="e">
        <f t="shared" si="4"/>
        <v>#N/A</v>
      </c>
    </row>
    <row r="73" spans="1:10" ht="13.5" thickBot="1" x14ac:dyDescent="0.25">
      <c r="A73" s="87">
        <v>75</v>
      </c>
      <c r="B73" s="91" t="s">
        <v>348</v>
      </c>
      <c r="C73" s="35" t="e">
        <f>'Demog Contact'!I64</f>
        <v>#N/A</v>
      </c>
      <c r="D73" s="35" t="e">
        <f>'Demog Contact (2)'!I64</f>
        <v>#N/A</v>
      </c>
      <c r="E73" s="83" t="e">
        <f>IF(EXACT(C73,D73),"",C73)</f>
        <v>#N/A</v>
      </c>
    </row>
  </sheetData>
  <sheetProtection sheet="1"/>
  <mergeCells count="74">
    <mergeCell ref="B2:D2"/>
    <mergeCell ref="H2:K2"/>
    <mergeCell ref="B4:B5"/>
    <mergeCell ref="C4:C5"/>
    <mergeCell ref="D4:D5"/>
    <mergeCell ref="E4:E5"/>
    <mergeCell ref="B13:B14"/>
    <mergeCell ref="C13:C14"/>
    <mergeCell ref="D13:D14"/>
    <mergeCell ref="E13:E14"/>
    <mergeCell ref="B9:B10"/>
    <mergeCell ref="C9:C10"/>
    <mergeCell ref="D9:D10"/>
    <mergeCell ref="E9:E10"/>
    <mergeCell ref="B21:D21"/>
    <mergeCell ref="H21:J21"/>
    <mergeCell ref="B22:B23"/>
    <mergeCell ref="C22:C23"/>
    <mergeCell ref="D22:D23"/>
    <mergeCell ref="E22:E23"/>
    <mergeCell ref="H22:H23"/>
    <mergeCell ref="I22:I23"/>
    <mergeCell ref="J22:J23"/>
    <mergeCell ref="B31:B32"/>
    <mergeCell ref="C31:C32"/>
    <mergeCell ref="D31:D32"/>
    <mergeCell ref="E31:E32"/>
    <mergeCell ref="K22:K23"/>
    <mergeCell ref="B26:B27"/>
    <mergeCell ref="C26:C27"/>
    <mergeCell ref="D26:D27"/>
    <mergeCell ref="E26:E27"/>
    <mergeCell ref="H27:H28"/>
    <mergeCell ref="J27:J28"/>
    <mergeCell ref="K27:K28"/>
    <mergeCell ref="B39:D39"/>
    <mergeCell ref="H39:J39"/>
    <mergeCell ref="B40:B41"/>
    <mergeCell ref="C40:C41"/>
    <mergeCell ref="D40:D41"/>
    <mergeCell ref="E40:E41"/>
    <mergeCell ref="H40:H41"/>
    <mergeCell ref="I40:I41"/>
    <mergeCell ref="K40:K41"/>
    <mergeCell ref="B44:B45"/>
    <mergeCell ref="C44:C45"/>
    <mergeCell ref="D44:D45"/>
    <mergeCell ref="E44:E45"/>
    <mergeCell ref="H44:H45"/>
    <mergeCell ref="I44:I45"/>
    <mergeCell ref="J44:J45"/>
    <mergeCell ref="K44:K45"/>
    <mergeCell ref="J40:J41"/>
    <mergeCell ref="J49:J50"/>
    <mergeCell ref="K49:K50"/>
    <mergeCell ref="B49:B50"/>
    <mergeCell ref="C49:C50"/>
    <mergeCell ref="D49:D50"/>
    <mergeCell ref="E49:E50"/>
    <mergeCell ref="I49:I50"/>
    <mergeCell ref="B58:D58"/>
    <mergeCell ref="B59:B60"/>
    <mergeCell ref="C59:C60"/>
    <mergeCell ref="D59:D60"/>
    <mergeCell ref="H49:H50"/>
    <mergeCell ref="B68:B69"/>
    <mergeCell ref="C68:C69"/>
    <mergeCell ref="D68:D69"/>
    <mergeCell ref="E68:E69"/>
    <mergeCell ref="E59:E60"/>
    <mergeCell ref="B63:B64"/>
    <mergeCell ref="C63:C64"/>
    <mergeCell ref="D63:D64"/>
    <mergeCell ref="E63:E64"/>
  </mergeCells>
  <phoneticPr fontId="6" type="noConversion"/>
  <conditionalFormatting sqref="C3">
    <cfRule type="expression" dxfId="123" priority="1" stopIfTrue="1">
      <formula>$E$3=TRUE</formula>
    </cfRule>
  </conditionalFormatting>
  <pageMargins left="0.75" right="0.75" top="1" bottom="1" header="0.5" footer="0.5"/>
  <pageSetup scale="64"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34"/>
  <sheetViews>
    <sheetView zoomScaleNormal="100" workbookViewId="0">
      <selection sqref="A1:S1"/>
    </sheetView>
  </sheetViews>
  <sheetFormatPr defaultRowHeight="24.95" customHeight="1" x14ac:dyDescent="0.2"/>
  <cols>
    <col min="1" max="1" width="25.7109375" style="127" customWidth="1"/>
    <col min="2" max="2" width="5.85546875" style="127" customWidth="1"/>
    <col min="3" max="4" width="9.140625" style="127" customWidth="1"/>
    <col min="5" max="5" width="5.85546875" style="127" customWidth="1"/>
    <col min="6" max="7" width="9.140625" style="127" customWidth="1"/>
    <col min="8" max="8" width="5.85546875" style="127" customWidth="1"/>
    <col min="9" max="10" width="9.140625" style="127" customWidth="1"/>
    <col min="11" max="11" width="5.85546875" style="127" customWidth="1"/>
    <col min="12" max="13" width="9.140625" style="127" customWidth="1"/>
    <col min="14" max="14" width="5.85546875" style="127" customWidth="1"/>
    <col min="15" max="16" width="9.140625" style="127" customWidth="1"/>
    <col min="17" max="17" width="5.85546875" style="127" customWidth="1"/>
    <col min="18" max="18" width="9.140625" style="127" customWidth="1"/>
    <col min="19" max="16384" width="9.140625" style="127"/>
  </cols>
  <sheetData>
    <row r="1" spans="1:23" ht="24.95" customHeight="1" thickBot="1" x14ac:dyDescent="0.25">
      <c r="A1" s="954" t="e">
        <f>CONCATENATE('Demog Contact'!D$5," ",'Demog Contact'!D$6)</f>
        <v>#N/A</v>
      </c>
      <c r="B1" s="955"/>
      <c r="C1" s="955"/>
      <c r="D1" s="955"/>
      <c r="E1" s="955"/>
      <c r="F1" s="955"/>
      <c r="G1" s="955"/>
      <c r="H1" s="955"/>
      <c r="I1" s="955"/>
      <c r="J1" s="955"/>
      <c r="K1" s="955"/>
      <c r="L1" s="955"/>
      <c r="M1" s="955"/>
      <c r="N1" s="955"/>
      <c r="O1" s="955"/>
      <c r="P1" s="955"/>
      <c r="Q1" s="955"/>
      <c r="R1" s="955"/>
      <c r="S1" s="955"/>
    </row>
    <row r="2" spans="1:23" ht="24.95" customHeight="1" x14ac:dyDescent="0.2">
      <c r="A2" s="994" t="s">
        <v>679</v>
      </c>
      <c r="B2" s="995"/>
      <c r="C2" s="995"/>
      <c r="D2" s="996"/>
      <c r="E2" s="996"/>
      <c r="F2" s="996"/>
      <c r="G2" s="996"/>
      <c r="H2" s="996"/>
      <c r="I2" s="285"/>
      <c r="J2" s="286" t="str">
        <f>CONCATENATE("Fiscal Year ",'Demog Contact'!N1)</f>
        <v>Fiscal Year 2019</v>
      </c>
      <c r="K2" s="285"/>
      <c r="L2" s="285"/>
      <c r="M2" s="285"/>
      <c r="N2" s="963" t="s">
        <v>413</v>
      </c>
      <c r="O2" s="963"/>
      <c r="P2" s="963"/>
      <c r="Q2" s="963"/>
      <c r="R2" s="963"/>
      <c r="S2" s="964"/>
    </row>
    <row r="3" spans="1:23" ht="24.95" customHeight="1" x14ac:dyDescent="0.2">
      <c r="A3" s="932" t="s">
        <v>672</v>
      </c>
      <c r="B3" s="933"/>
      <c r="C3" s="933"/>
      <c r="D3" s="933"/>
      <c r="E3" s="933"/>
      <c r="F3" s="933"/>
      <c r="G3" s="933"/>
      <c r="H3" s="933"/>
      <c r="I3" s="933"/>
      <c r="J3" s="933"/>
      <c r="K3" s="933"/>
      <c r="L3" s="933"/>
      <c r="M3" s="933"/>
      <c r="N3" s="933"/>
      <c r="O3" s="933"/>
      <c r="P3" s="933"/>
      <c r="Q3" s="933"/>
      <c r="R3" s="933"/>
      <c r="S3" s="934"/>
    </row>
    <row r="4" spans="1:23" ht="24.95" customHeight="1" x14ac:dyDescent="0.2">
      <c r="A4" s="287"/>
      <c r="B4" s="880" t="s">
        <v>37</v>
      </c>
      <c r="C4" s="961"/>
      <c r="D4" s="962"/>
      <c r="E4" s="880" t="s">
        <v>36</v>
      </c>
      <c r="F4" s="959"/>
      <c r="G4" s="960"/>
      <c r="H4" s="880" t="s">
        <v>254</v>
      </c>
      <c r="I4" s="961"/>
      <c r="J4" s="962"/>
      <c r="K4" s="880" t="s">
        <v>253</v>
      </c>
      <c r="L4" s="959"/>
      <c r="M4" s="960"/>
      <c r="N4" s="880" t="s">
        <v>252</v>
      </c>
      <c r="O4" s="959"/>
      <c r="P4" s="960"/>
      <c r="Q4" s="880" t="s">
        <v>268</v>
      </c>
      <c r="R4" s="959"/>
      <c r="S4" s="960"/>
    </row>
    <row r="5" spans="1:23" ht="24.95" customHeight="1" x14ac:dyDescent="0.2">
      <c r="A5" s="255" t="s">
        <v>148</v>
      </c>
      <c r="B5" s="256">
        <v>7804</v>
      </c>
      <c r="C5" s="952"/>
      <c r="D5" s="953"/>
      <c r="E5" s="256">
        <v>7819</v>
      </c>
      <c r="F5" s="952"/>
      <c r="G5" s="953"/>
      <c r="H5" s="256">
        <v>7834</v>
      </c>
      <c r="I5" s="952"/>
      <c r="J5" s="953"/>
      <c r="K5" s="256">
        <v>7849</v>
      </c>
      <c r="L5" s="952"/>
      <c r="M5" s="953"/>
      <c r="N5" s="256">
        <v>7864</v>
      </c>
      <c r="O5" s="952"/>
      <c r="P5" s="953"/>
      <c r="Q5" s="256">
        <v>7879</v>
      </c>
      <c r="R5" s="952"/>
      <c r="S5" s="953"/>
    </row>
    <row r="6" spans="1:23" ht="24.95" customHeight="1" x14ac:dyDescent="0.2">
      <c r="A6" s="255" t="s">
        <v>259</v>
      </c>
      <c r="B6" s="256">
        <v>7805</v>
      </c>
      <c r="C6" s="952"/>
      <c r="D6" s="953"/>
      <c r="E6" s="256">
        <v>7820</v>
      </c>
      <c r="F6" s="952"/>
      <c r="G6" s="953"/>
      <c r="H6" s="256">
        <v>7835</v>
      </c>
      <c r="I6" s="952"/>
      <c r="J6" s="953"/>
      <c r="K6" s="256">
        <v>7850</v>
      </c>
      <c r="L6" s="952"/>
      <c r="M6" s="953"/>
      <c r="N6" s="256">
        <v>7865</v>
      </c>
      <c r="O6" s="952"/>
      <c r="P6" s="953"/>
      <c r="Q6" s="256">
        <v>7880</v>
      </c>
      <c r="R6" s="952"/>
      <c r="S6" s="953"/>
    </row>
    <row r="7" spans="1:23" ht="24.95" customHeight="1" x14ac:dyDescent="0.2">
      <c r="A7" s="255" t="s">
        <v>149</v>
      </c>
      <c r="B7" s="256">
        <v>7806</v>
      </c>
      <c r="C7" s="946"/>
      <c r="D7" s="947"/>
      <c r="E7" s="256">
        <v>7821</v>
      </c>
      <c r="F7" s="946"/>
      <c r="G7" s="947"/>
      <c r="H7" s="256">
        <v>7836</v>
      </c>
      <c r="I7" s="946"/>
      <c r="J7" s="947"/>
      <c r="K7" s="256">
        <v>7851</v>
      </c>
      <c r="L7" s="946"/>
      <c r="M7" s="947"/>
      <c r="N7" s="256">
        <v>7866</v>
      </c>
      <c r="O7" s="946"/>
      <c r="P7" s="947"/>
      <c r="Q7" s="256">
        <v>7881</v>
      </c>
      <c r="R7" s="946"/>
      <c r="S7" s="947"/>
    </row>
    <row r="8" spans="1:23" ht="24.95" customHeight="1" x14ac:dyDescent="0.2">
      <c r="A8" s="255" t="s">
        <v>210</v>
      </c>
      <c r="B8" s="256">
        <v>7807</v>
      </c>
      <c r="C8" s="946"/>
      <c r="D8" s="947"/>
      <c r="E8" s="256">
        <v>7822</v>
      </c>
      <c r="F8" s="946"/>
      <c r="G8" s="947"/>
      <c r="H8" s="256">
        <v>7837</v>
      </c>
      <c r="I8" s="946"/>
      <c r="J8" s="947"/>
      <c r="K8" s="256">
        <v>7852</v>
      </c>
      <c r="L8" s="946"/>
      <c r="M8" s="947"/>
      <c r="N8" s="256">
        <v>7867</v>
      </c>
      <c r="O8" s="946"/>
      <c r="P8" s="947"/>
      <c r="Q8" s="256">
        <v>7882</v>
      </c>
      <c r="R8" s="946"/>
      <c r="S8" s="947"/>
    </row>
    <row r="9" spans="1:23" ht="24.95" customHeight="1" x14ac:dyDescent="0.2">
      <c r="A9" s="255" t="s">
        <v>211</v>
      </c>
      <c r="B9" s="256">
        <v>7808</v>
      </c>
      <c r="C9" s="946"/>
      <c r="D9" s="947"/>
      <c r="E9" s="256">
        <v>7823</v>
      </c>
      <c r="F9" s="946"/>
      <c r="G9" s="947"/>
      <c r="H9" s="256">
        <v>7838</v>
      </c>
      <c r="I9" s="946"/>
      <c r="J9" s="947"/>
      <c r="K9" s="256">
        <v>7853</v>
      </c>
      <c r="L9" s="946"/>
      <c r="M9" s="947"/>
      <c r="N9" s="256">
        <v>7868</v>
      </c>
      <c r="O9" s="946"/>
      <c r="P9" s="947"/>
      <c r="Q9" s="256">
        <v>7883</v>
      </c>
      <c r="R9" s="946"/>
      <c r="S9" s="947"/>
    </row>
    <row r="10" spans="1:23" ht="24.95" customHeight="1" x14ac:dyDescent="0.2">
      <c r="A10" s="255" t="s">
        <v>151</v>
      </c>
      <c r="B10" s="256">
        <v>7809</v>
      </c>
      <c r="C10" s="946"/>
      <c r="D10" s="947"/>
      <c r="E10" s="256">
        <v>7824</v>
      </c>
      <c r="F10" s="946"/>
      <c r="G10" s="947"/>
      <c r="H10" s="256">
        <v>7839</v>
      </c>
      <c r="I10" s="946"/>
      <c r="J10" s="947"/>
      <c r="K10" s="256">
        <v>7854</v>
      </c>
      <c r="L10" s="946"/>
      <c r="M10" s="947"/>
      <c r="N10" s="256">
        <v>7869</v>
      </c>
      <c r="O10" s="946"/>
      <c r="P10" s="947"/>
      <c r="Q10" s="256">
        <v>7884</v>
      </c>
      <c r="R10" s="946"/>
      <c r="S10" s="947"/>
    </row>
    <row r="11" spans="1:23" ht="24.95" customHeight="1" x14ac:dyDescent="0.2">
      <c r="A11" s="255" t="s">
        <v>156</v>
      </c>
      <c r="B11" s="256">
        <v>7810</v>
      </c>
      <c r="C11" s="946"/>
      <c r="D11" s="947"/>
      <c r="E11" s="256">
        <v>7825</v>
      </c>
      <c r="F11" s="946"/>
      <c r="G11" s="947"/>
      <c r="H11" s="256">
        <v>7840</v>
      </c>
      <c r="I11" s="946"/>
      <c r="J11" s="947"/>
      <c r="K11" s="256">
        <v>7855</v>
      </c>
      <c r="L11" s="946"/>
      <c r="M11" s="947"/>
      <c r="N11" s="256">
        <v>7870</v>
      </c>
      <c r="O11" s="946"/>
      <c r="P11" s="947"/>
      <c r="Q11" s="256">
        <v>7885</v>
      </c>
      <c r="R11" s="946"/>
      <c r="S11" s="947"/>
    </row>
    <row r="12" spans="1:23" ht="24.95" customHeight="1" x14ac:dyDescent="0.2">
      <c r="A12" s="255" t="s">
        <v>160</v>
      </c>
      <c r="B12" s="256">
        <v>7811</v>
      </c>
      <c r="C12" s="946"/>
      <c r="D12" s="947"/>
      <c r="E12" s="256">
        <v>7826</v>
      </c>
      <c r="F12" s="946"/>
      <c r="G12" s="947"/>
      <c r="H12" s="256">
        <v>7841</v>
      </c>
      <c r="I12" s="946"/>
      <c r="J12" s="947"/>
      <c r="K12" s="256">
        <v>7856</v>
      </c>
      <c r="L12" s="946"/>
      <c r="M12" s="947"/>
      <c r="N12" s="256">
        <v>7871</v>
      </c>
      <c r="O12" s="946"/>
      <c r="P12" s="947"/>
      <c r="Q12" s="256">
        <v>7886</v>
      </c>
      <c r="R12" s="946"/>
      <c r="S12" s="947"/>
    </row>
    <row r="13" spans="1:23" ht="24.95" customHeight="1" x14ac:dyDescent="0.2">
      <c r="A13" s="255" t="s">
        <v>150</v>
      </c>
      <c r="B13" s="256">
        <v>7812</v>
      </c>
      <c r="C13" s="946"/>
      <c r="D13" s="947"/>
      <c r="E13" s="256">
        <v>7827</v>
      </c>
      <c r="F13" s="946"/>
      <c r="G13" s="947"/>
      <c r="H13" s="256">
        <v>7842</v>
      </c>
      <c r="I13" s="946"/>
      <c r="J13" s="947"/>
      <c r="K13" s="256">
        <v>7857</v>
      </c>
      <c r="L13" s="946"/>
      <c r="M13" s="947"/>
      <c r="N13" s="256">
        <v>7872</v>
      </c>
      <c r="O13" s="946"/>
      <c r="P13" s="947"/>
      <c r="Q13" s="256">
        <v>7887</v>
      </c>
      <c r="R13" s="946"/>
      <c r="S13" s="947"/>
    </row>
    <row r="14" spans="1:23" ht="24.95" customHeight="1" x14ac:dyDescent="0.2">
      <c r="A14" s="255" t="s">
        <v>152</v>
      </c>
      <c r="B14" s="256">
        <v>7813</v>
      </c>
      <c r="C14" s="946"/>
      <c r="D14" s="947"/>
      <c r="E14" s="256">
        <v>7828</v>
      </c>
      <c r="F14" s="946"/>
      <c r="G14" s="947"/>
      <c r="H14" s="256">
        <v>7843</v>
      </c>
      <c r="I14" s="946"/>
      <c r="J14" s="947"/>
      <c r="K14" s="256">
        <v>7858</v>
      </c>
      <c r="L14" s="946"/>
      <c r="M14" s="947"/>
      <c r="N14" s="256">
        <v>7873</v>
      </c>
      <c r="O14" s="946"/>
      <c r="P14" s="947"/>
      <c r="Q14" s="256">
        <v>7888</v>
      </c>
      <c r="R14" s="946"/>
      <c r="S14" s="947"/>
    </row>
    <row r="15" spans="1:23" ht="24.95" customHeight="1" x14ac:dyDescent="0.2">
      <c r="A15" s="258" t="s">
        <v>1982</v>
      </c>
      <c r="B15" s="256">
        <v>7814</v>
      </c>
      <c r="C15" s="948">
        <f>SUM(C16:C18)</f>
        <v>0</v>
      </c>
      <c r="D15" s="949"/>
      <c r="E15" s="256">
        <v>7829</v>
      </c>
      <c r="F15" s="948">
        <f>SUM(F16:F18)</f>
        <v>0</v>
      </c>
      <c r="G15" s="949"/>
      <c r="H15" s="256">
        <v>7844</v>
      </c>
      <c r="I15" s="948">
        <f>SUM(I16:I18)</f>
        <v>0</v>
      </c>
      <c r="J15" s="949"/>
      <c r="K15" s="256">
        <v>7859</v>
      </c>
      <c r="L15" s="948">
        <f>SUM(L16:L18)</f>
        <v>0</v>
      </c>
      <c r="M15" s="949"/>
      <c r="N15" s="256">
        <v>7874</v>
      </c>
      <c r="O15" s="948">
        <f>SUM(O16:O18)</f>
        <v>0</v>
      </c>
      <c r="P15" s="949"/>
      <c r="Q15" s="256">
        <v>7889</v>
      </c>
      <c r="R15" s="948">
        <f>SUM(R16:R18)</f>
        <v>0</v>
      </c>
      <c r="S15" s="949"/>
      <c r="T15" s="924" t="s">
        <v>680</v>
      </c>
      <c r="U15" s="924"/>
      <c r="V15" s="924"/>
      <c r="W15" s="925"/>
    </row>
    <row r="16" spans="1:23" ht="24.95" customHeight="1" x14ac:dyDescent="0.2">
      <c r="A16" s="583" t="s">
        <v>155</v>
      </c>
      <c r="B16" s="256">
        <v>7815</v>
      </c>
      <c r="C16" s="259"/>
      <c r="D16" s="935"/>
      <c r="E16" s="256">
        <v>7830</v>
      </c>
      <c r="F16" s="590"/>
      <c r="G16" s="935"/>
      <c r="H16" s="256">
        <v>7845</v>
      </c>
      <c r="I16" s="590"/>
      <c r="J16" s="935"/>
      <c r="K16" s="256">
        <v>7860</v>
      </c>
      <c r="L16" s="590"/>
      <c r="M16" s="935"/>
      <c r="N16" s="256">
        <v>7875</v>
      </c>
      <c r="O16" s="590"/>
      <c r="P16" s="935"/>
      <c r="Q16" s="256">
        <v>7890</v>
      </c>
      <c r="R16" s="590"/>
      <c r="S16" s="935"/>
      <c r="T16" s="926"/>
      <c r="U16" s="926"/>
      <c r="V16" s="926"/>
      <c r="W16" s="927"/>
    </row>
    <row r="17" spans="1:23" ht="24.95" hidden="1" customHeight="1" x14ac:dyDescent="0.2">
      <c r="A17" s="583"/>
      <c r="B17" s="256"/>
      <c r="C17" s="259"/>
      <c r="D17" s="936"/>
      <c r="E17" s="256"/>
      <c r="F17" s="590"/>
      <c r="G17" s="936"/>
      <c r="H17" s="256"/>
      <c r="I17" s="590"/>
      <c r="J17" s="936"/>
      <c r="K17" s="256"/>
      <c r="L17" s="590"/>
      <c r="M17" s="936"/>
      <c r="N17" s="256"/>
      <c r="O17" s="590"/>
      <c r="P17" s="936"/>
      <c r="Q17" s="256"/>
      <c r="R17" s="590"/>
      <c r="S17" s="936"/>
      <c r="T17" s="926"/>
      <c r="U17" s="926"/>
      <c r="V17" s="926"/>
      <c r="W17" s="927"/>
    </row>
    <row r="18" spans="1:23" ht="24.95" customHeight="1" x14ac:dyDescent="0.2">
      <c r="A18" s="583" t="s">
        <v>153</v>
      </c>
      <c r="B18" s="256">
        <v>7817</v>
      </c>
      <c r="C18" s="259"/>
      <c r="D18" s="937"/>
      <c r="E18" s="256">
        <v>7832</v>
      </c>
      <c r="F18" s="590"/>
      <c r="G18" s="937"/>
      <c r="H18" s="256">
        <v>7847</v>
      </c>
      <c r="I18" s="590"/>
      <c r="J18" s="937"/>
      <c r="K18" s="256">
        <v>7862</v>
      </c>
      <c r="L18" s="590"/>
      <c r="M18" s="937"/>
      <c r="N18" s="256">
        <v>7877</v>
      </c>
      <c r="O18" s="590"/>
      <c r="P18" s="937"/>
      <c r="Q18" s="256">
        <v>7892</v>
      </c>
      <c r="R18" s="590"/>
      <c r="S18" s="937"/>
      <c r="T18" s="928"/>
      <c r="U18" s="928"/>
      <c r="V18" s="928"/>
      <c r="W18" s="929"/>
    </row>
    <row r="19" spans="1:23" ht="24.95" customHeight="1" thickBot="1" x14ac:dyDescent="0.25">
      <c r="A19" s="288" t="s">
        <v>154</v>
      </c>
      <c r="B19" s="289">
        <v>7818</v>
      </c>
      <c r="C19" s="992">
        <f>SUM(C5:D15)</f>
        <v>0</v>
      </c>
      <c r="D19" s="993"/>
      <c r="E19" s="289">
        <v>7833</v>
      </c>
      <c r="F19" s="992">
        <f>SUM(F5:G15)</f>
        <v>0</v>
      </c>
      <c r="G19" s="993"/>
      <c r="H19" s="289">
        <v>7848</v>
      </c>
      <c r="I19" s="992">
        <f>SUM(I5:J15)</f>
        <v>0</v>
      </c>
      <c r="J19" s="993"/>
      <c r="K19" s="289">
        <v>7863</v>
      </c>
      <c r="L19" s="992">
        <f>SUM(L5:M15)</f>
        <v>0</v>
      </c>
      <c r="M19" s="993"/>
      <c r="N19" s="289">
        <v>7878</v>
      </c>
      <c r="O19" s="992">
        <f>SUM(O5:P15)</f>
        <v>0</v>
      </c>
      <c r="P19" s="993"/>
      <c r="Q19" s="289">
        <v>7893</v>
      </c>
      <c r="R19" s="992">
        <f>SUM(R5:S15)</f>
        <v>0</v>
      </c>
      <c r="S19" s="993"/>
      <c r="T19" s="290"/>
      <c r="U19" s="291"/>
      <c r="V19" s="290"/>
      <c r="W19" s="290"/>
    </row>
    <row r="20" spans="1:23" ht="24.95" customHeight="1" thickBot="1" x14ac:dyDescent="0.25">
      <c r="A20" s="292">
        <f>SUM(C19,F19,I19,L19,O19,R19)</f>
        <v>0</v>
      </c>
      <c r="B20" s="293"/>
      <c r="C20" s="197"/>
      <c r="D20" s="268"/>
      <c r="E20" s="293"/>
      <c r="F20" s="197"/>
      <c r="G20" s="268"/>
      <c r="H20" s="293"/>
      <c r="I20" s="197"/>
      <c r="J20" s="268"/>
      <c r="K20" s="293"/>
      <c r="L20" s="197"/>
      <c r="M20" s="268"/>
      <c r="N20" s="293"/>
      <c r="O20" s="197"/>
      <c r="P20" s="268"/>
      <c r="Q20" s="293"/>
      <c r="R20" s="197"/>
      <c r="S20" s="268"/>
      <c r="T20" s="290"/>
      <c r="U20" s="290"/>
      <c r="V20" s="290"/>
      <c r="W20" s="290"/>
    </row>
    <row r="21" spans="1:23" ht="24.95" customHeight="1" x14ac:dyDescent="0.2">
      <c r="A21" s="1008" t="s">
        <v>106</v>
      </c>
      <c r="B21" s="974"/>
      <c r="C21" s="974"/>
      <c r="D21" s="974"/>
      <c r="E21" s="974"/>
      <c r="F21" s="974"/>
      <c r="G21" s="974"/>
      <c r="H21" s="974"/>
      <c r="I21" s="974"/>
      <c r="J21" s="974"/>
      <c r="K21" s="974"/>
      <c r="L21" s="974"/>
      <c r="M21" s="974"/>
      <c r="N21" s="965" t="s">
        <v>413</v>
      </c>
      <c r="O21" s="965"/>
      <c r="P21" s="965"/>
      <c r="Q21" s="965"/>
      <c r="R21" s="965"/>
      <c r="S21" s="966"/>
      <c r="T21" s="203"/>
      <c r="U21" s="290"/>
      <c r="V21" s="290"/>
      <c r="W21" s="290"/>
    </row>
    <row r="22" spans="1:23" ht="24.95" customHeight="1" x14ac:dyDescent="0.2">
      <c r="A22" s="945" t="s">
        <v>101</v>
      </c>
      <c r="B22" s="933"/>
      <c r="C22" s="933"/>
      <c r="D22" s="933"/>
      <c r="E22" s="933"/>
      <c r="F22" s="933"/>
      <c r="G22" s="933"/>
      <c r="H22" s="933"/>
      <c r="I22" s="933"/>
      <c r="J22" s="933"/>
      <c r="K22" s="933"/>
      <c r="L22" s="933"/>
      <c r="M22" s="933"/>
      <c r="N22" s="933"/>
      <c r="O22" s="933"/>
      <c r="P22" s="933"/>
      <c r="Q22" s="933"/>
      <c r="R22" s="933"/>
      <c r="S22" s="934"/>
    </row>
    <row r="23" spans="1:23" ht="24.95" customHeight="1" x14ac:dyDescent="0.2">
      <c r="A23" s="294"/>
      <c r="B23" s="987" t="s">
        <v>273</v>
      </c>
      <c r="C23" s="988"/>
      <c r="D23" s="989"/>
      <c r="E23" s="987" t="s">
        <v>274</v>
      </c>
      <c r="F23" s="990"/>
      <c r="G23" s="991"/>
      <c r="H23" s="987" t="s">
        <v>275</v>
      </c>
      <c r="I23" s="1006"/>
      <c r="J23" s="1007"/>
      <c r="K23" s="987" t="s">
        <v>276</v>
      </c>
      <c r="L23" s="990"/>
      <c r="M23" s="991"/>
      <c r="N23" s="987" t="s">
        <v>277</v>
      </c>
      <c r="O23" s="990"/>
      <c r="P23" s="991"/>
      <c r="Q23" s="1001" t="s">
        <v>278</v>
      </c>
      <c r="R23" s="1002"/>
      <c r="S23" s="1003"/>
    </row>
    <row r="24" spans="1:23" ht="24.95" customHeight="1" thickBot="1" x14ac:dyDescent="0.25">
      <c r="A24" s="270" t="s">
        <v>681</v>
      </c>
      <c r="B24" s="271">
        <v>7894</v>
      </c>
      <c r="C24" s="914"/>
      <c r="D24" s="915"/>
      <c r="E24" s="271">
        <v>7895</v>
      </c>
      <c r="F24" s="914"/>
      <c r="G24" s="915"/>
      <c r="H24" s="271">
        <v>7896</v>
      </c>
      <c r="I24" s="914"/>
      <c r="J24" s="915"/>
      <c r="K24" s="271">
        <v>7897</v>
      </c>
      <c r="L24" s="914"/>
      <c r="M24" s="915"/>
      <c r="N24" s="271">
        <v>7898</v>
      </c>
      <c r="O24" s="914"/>
      <c r="P24" s="915"/>
      <c r="Q24" s="272">
        <v>7899</v>
      </c>
      <c r="R24" s="914"/>
      <c r="S24" s="915"/>
    </row>
    <row r="25" spans="1:23" ht="24.95" customHeight="1" thickBot="1" x14ac:dyDescent="0.25">
      <c r="A25" s="197"/>
      <c r="B25" s="1004" t="str">
        <f>IF(AND(C19&gt;0, ISBLANK(C24)),"Please enter the number of "&amp;B23&amp;" Scanners","")</f>
        <v/>
      </c>
      <c r="C25" s="1005"/>
      <c r="D25" s="1005"/>
      <c r="E25" s="1004" t="str">
        <f>IF(AND(F19&gt;0, ISBLANK(F24)),"Please enter the number of "&amp;E23&amp;" Scanners","")</f>
        <v/>
      </c>
      <c r="F25" s="1005"/>
      <c r="G25" s="1005"/>
      <c r="H25" s="1004" t="str">
        <f>IF(AND(I19&gt;0, ISBLANK(I24)),"Please enter the number of "&amp;H23&amp;" Scanners","")</f>
        <v/>
      </c>
      <c r="I25" s="1005"/>
      <c r="J25" s="1005"/>
      <c r="K25" s="1004" t="str">
        <f>IF(AND(L19&gt;0, ISBLANK(L24)),"Please enter the number of "&amp;K23&amp;" Scanners","")</f>
        <v/>
      </c>
      <c r="L25" s="1005"/>
      <c r="M25" s="1005"/>
      <c r="N25" s="1004" t="str">
        <f>IF(AND(O19&gt;0, ISBLANK(O24)),"Please enter the number of "&amp;N23&amp;" Scanners","")</f>
        <v/>
      </c>
      <c r="O25" s="1005"/>
      <c r="P25" s="1005"/>
      <c r="Q25" s="1004" t="str">
        <f>IF(AND(R19&gt;0, ISBLANK(R24)),"Please enter the number of "&amp;Q23&amp;" Scanners","")</f>
        <v/>
      </c>
      <c r="R25" s="1005"/>
      <c r="S25" s="1005"/>
    </row>
    <row r="26" spans="1:23" ht="24.95" customHeight="1" x14ac:dyDescent="0.2">
      <c r="A26" s="1009" t="s">
        <v>107</v>
      </c>
      <c r="B26" s="1010"/>
      <c r="C26" s="1010"/>
      <c r="D26" s="1010"/>
      <c r="E26" s="1010"/>
      <c r="F26" s="1010"/>
      <c r="G26" s="1010"/>
      <c r="H26" s="1010"/>
      <c r="I26" s="1010"/>
      <c r="J26" s="1010"/>
      <c r="K26" s="1010"/>
      <c r="L26" s="1010"/>
      <c r="M26" s="1010"/>
      <c r="N26" s="969" t="s">
        <v>413</v>
      </c>
      <c r="O26" s="969"/>
      <c r="P26" s="969"/>
      <c r="Q26" s="969"/>
      <c r="R26" s="969"/>
      <c r="S26" s="970"/>
    </row>
    <row r="27" spans="1:23" ht="24.95" customHeight="1" x14ac:dyDescent="0.2">
      <c r="A27" s="932" t="s">
        <v>676</v>
      </c>
      <c r="B27" s="933"/>
      <c r="C27" s="933"/>
      <c r="D27" s="933"/>
      <c r="E27" s="933"/>
      <c r="F27" s="933"/>
      <c r="G27" s="933"/>
      <c r="H27" s="933"/>
      <c r="I27" s="933"/>
      <c r="J27" s="933"/>
      <c r="K27" s="933"/>
      <c r="L27" s="933"/>
      <c r="M27" s="933"/>
      <c r="N27" s="933"/>
      <c r="O27" s="933"/>
      <c r="P27" s="933"/>
      <c r="Q27" s="933"/>
      <c r="R27" s="933"/>
      <c r="S27" s="934"/>
    </row>
    <row r="28" spans="1:23" ht="24.95" customHeight="1" x14ac:dyDescent="0.2">
      <c r="A28" s="274"/>
      <c r="B28" s="846" t="s">
        <v>273</v>
      </c>
      <c r="C28" s="961"/>
      <c r="D28" s="962"/>
      <c r="E28" s="700" t="s">
        <v>274</v>
      </c>
      <c r="F28" s="990"/>
      <c r="G28" s="991"/>
      <c r="H28" s="700" t="s">
        <v>275</v>
      </c>
      <c r="I28" s="988"/>
      <c r="J28" s="989"/>
      <c r="K28" s="700" t="s">
        <v>276</v>
      </c>
      <c r="L28" s="990"/>
      <c r="M28" s="991"/>
      <c r="N28" s="700" t="s">
        <v>277</v>
      </c>
      <c r="O28" s="990"/>
      <c r="P28" s="991"/>
      <c r="Q28" s="1001" t="s">
        <v>278</v>
      </c>
      <c r="R28" s="1002"/>
      <c r="S28" s="1003"/>
    </row>
    <row r="29" spans="1:23" ht="24.95" customHeight="1" x14ac:dyDescent="0.2">
      <c r="A29" s="977" t="s">
        <v>677</v>
      </c>
      <c r="B29" s="979" t="s">
        <v>269</v>
      </c>
      <c r="C29" s="985"/>
      <c r="D29" s="275" t="s">
        <v>270</v>
      </c>
      <c r="E29" s="904" t="s">
        <v>269</v>
      </c>
      <c r="F29" s="905"/>
      <c r="G29" s="275" t="s">
        <v>270</v>
      </c>
      <c r="H29" s="904" t="s">
        <v>269</v>
      </c>
      <c r="I29" s="905"/>
      <c r="J29" s="276" t="s">
        <v>270</v>
      </c>
      <c r="K29" s="904" t="s">
        <v>269</v>
      </c>
      <c r="L29" s="905"/>
      <c r="M29" s="276" t="s">
        <v>270</v>
      </c>
      <c r="N29" s="904" t="s">
        <v>269</v>
      </c>
      <c r="O29" s="905"/>
      <c r="P29" s="276" t="s">
        <v>270</v>
      </c>
      <c r="Q29" s="904" t="s">
        <v>269</v>
      </c>
      <c r="R29" s="905"/>
      <c r="S29" s="276" t="s">
        <v>270</v>
      </c>
    </row>
    <row r="30" spans="1:23" ht="24.95" customHeight="1" x14ac:dyDescent="0.2">
      <c r="A30" s="984"/>
      <c r="B30" s="986"/>
      <c r="C30" s="903"/>
      <c r="D30" s="277"/>
      <c r="E30" s="902"/>
      <c r="F30" s="903"/>
      <c r="G30" s="277"/>
      <c r="H30" s="902"/>
      <c r="I30" s="903"/>
      <c r="J30" s="277"/>
      <c r="K30" s="902"/>
      <c r="L30" s="903"/>
      <c r="M30" s="277"/>
      <c r="N30" s="902"/>
      <c r="O30" s="903"/>
      <c r="P30" s="277"/>
      <c r="Q30" s="902"/>
      <c r="R30" s="903"/>
      <c r="S30" s="277"/>
    </row>
    <row r="31" spans="1:23" s="154" customFormat="1" ht="24.95" customHeight="1" x14ac:dyDescent="0.2">
      <c r="A31" s="295"/>
      <c r="B31" s="919" t="str">
        <f>(IF(ISBLANK(D30),"","Enter Lease Details"))</f>
        <v/>
      </c>
      <c r="C31" s="983"/>
      <c r="D31" s="983"/>
      <c r="E31" s="919" t="str">
        <f>(IF(ISBLANK(G30),"","Enter Lease Details"))</f>
        <v/>
      </c>
      <c r="F31" s="920"/>
      <c r="G31" s="920"/>
      <c r="H31" s="919" t="str">
        <f>(IF(ISBLANK(J30),"","Enter Lease Details"))</f>
        <v/>
      </c>
      <c r="I31" s="920"/>
      <c r="J31" s="920"/>
      <c r="K31" s="919" t="str">
        <f>(IF(ISBLANK(M30),"","Enter Lease Details"))</f>
        <v/>
      </c>
      <c r="L31" s="920"/>
      <c r="M31" s="920"/>
      <c r="N31" s="919" t="str">
        <f>(IF(ISBLANK(P30),"","Enter Lease Details"))</f>
        <v/>
      </c>
      <c r="O31" s="920"/>
      <c r="P31" s="920"/>
      <c r="Q31" s="919" t="str">
        <f>(IF(ISBLANK(S30),"","Enter Lease Details"))</f>
        <v/>
      </c>
      <c r="R31" s="920"/>
      <c r="S31" s="923"/>
    </row>
    <row r="32" spans="1:23" ht="24.95" customHeight="1" x14ac:dyDescent="0.2">
      <c r="A32" s="977" t="s">
        <v>678</v>
      </c>
      <c r="B32" s="979" t="s">
        <v>269</v>
      </c>
      <c r="C32" s="980"/>
      <c r="D32" s="279" t="s">
        <v>270</v>
      </c>
      <c r="E32" s="999" t="s">
        <v>269</v>
      </c>
      <c r="F32" s="1000"/>
      <c r="G32" s="296" t="s">
        <v>270</v>
      </c>
      <c r="H32" s="999" t="s">
        <v>269</v>
      </c>
      <c r="I32" s="1000"/>
      <c r="J32" s="296" t="s">
        <v>270</v>
      </c>
      <c r="K32" s="999" t="s">
        <v>269</v>
      </c>
      <c r="L32" s="1000"/>
      <c r="M32" s="296" t="s">
        <v>270</v>
      </c>
      <c r="N32" s="999" t="s">
        <v>269</v>
      </c>
      <c r="O32" s="1000"/>
      <c r="P32" s="296" t="s">
        <v>270</v>
      </c>
      <c r="Q32" s="999" t="s">
        <v>269</v>
      </c>
      <c r="R32" s="1000"/>
      <c r="S32" s="296" t="s">
        <v>270</v>
      </c>
    </row>
    <row r="33" spans="1:19" ht="24.95" customHeight="1" thickBot="1" x14ac:dyDescent="0.25">
      <c r="A33" s="978"/>
      <c r="B33" s="981"/>
      <c r="C33" s="982"/>
      <c r="D33" s="281"/>
      <c r="E33" s="906"/>
      <c r="F33" s="907"/>
      <c r="G33" s="282"/>
      <c r="H33" s="906"/>
      <c r="I33" s="907"/>
      <c r="J33" s="282"/>
      <c r="K33" s="906"/>
      <c r="L33" s="907"/>
      <c r="M33" s="282"/>
      <c r="N33" s="906"/>
      <c r="O33" s="907"/>
      <c r="P33" s="282"/>
      <c r="Q33" s="906"/>
      <c r="R33" s="907"/>
      <c r="S33" s="282"/>
    </row>
    <row r="34" spans="1:19" ht="24.95" customHeight="1" x14ac:dyDescent="0.2">
      <c r="A34" s="284"/>
      <c r="B34" s="930" t="str">
        <f>(IF(ISBLANK(B33),"","Enter Lease Details"))</f>
        <v/>
      </c>
      <c r="C34" s="975"/>
      <c r="D34" s="975"/>
      <c r="E34" s="997" t="str">
        <f>(IF(ISBLANK(E33),"","Enter Lease Details"))</f>
        <v/>
      </c>
      <c r="F34" s="998"/>
      <c r="G34" s="998"/>
      <c r="H34" s="997" t="str">
        <f>(IF(ISBLANK(H33),"","Enter Lease Details"))</f>
        <v/>
      </c>
      <c r="I34" s="998"/>
      <c r="J34" s="998"/>
      <c r="K34" s="997" t="str">
        <f>(IF(ISBLANK(K33),"","Enter Lease Details"))</f>
        <v/>
      </c>
      <c r="L34" s="998"/>
      <c r="M34" s="998"/>
      <c r="N34" s="997" t="str">
        <f>(IF(ISBLANK(N33),"","Enter Lease Details"))</f>
        <v/>
      </c>
      <c r="O34" s="998"/>
      <c r="P34" s="998"/>
      <c r="Q34" s="997" t="str">
        <f>(IF(ISBLANK(Q33),"","Enter Lease Details"))</f>
        <v/>
      </c>
      <c r="R34" s="998"/>
      <c r="S34" s="998"/>
    </row>
  </sheetData>
  <sheetProtection sheet="1"/>
  <mergeCells count="157">
    <mergeCell ref="N2:S2"/>
    <mergeCell ref="A21:M21"/>
    <mergeCell ref="N21:S21"/>
    <mergeCell ref="A26:M26"/>
    <mergeCell ref="N26:S26"/>
    <mergeCell ref="N4:P4"/>
    <mergeCell ref="Q4:S4"/>
    <mergeCell ref="Q25:S25"/>
    <mergeCell ref="C8:D8"/>
    <mergeCell ref="C10:D10"/>
    <mergeCell ref="E4:G4"/>
    <mergeCell ref="H4:J4"/>
    <mergeCell ref="K4:M4"/>
    <mergeCell ref="C11:D11"/>
    <mergeCell ref="F11:G11"/>
    <mergeCell ref="E25:G25"/>
    <mergeCell ref="C7:D7"/>
    <mergeCell ref="B4:D4"/>
    <mergeCell ref="C5:D5"/>
    <mergeCell ref="F10:G10"/>
    <mergeCell ref="C6:D6"/>
    <mergeCell ref="F6:G6"/>
    <mergeCell ref="I6:J6"/>
    <mergeCell ref="I8:J8"/>
    <mergeCell ref="C9:D9"/>
    <mergeCell ref="I9:J9"/>
    <mergeCell ref="F7:G7"/>
    <mergeCell ref="I7:J7"/>
    <mergeCell ref="T15:W18"/>
    <mergeCell ref="L9:M9"/>
    <mergeCell ref="O9:P9"/>
    <mergeCell ref="R9:S9"/>
    <mergeCell ref="R11:S11"/>
    <mergeCell ref="L11:M11"/>
    <mergeCell ref="O11:P11"/>
    <mergeCell ref="O14:P14"/>
    <mergeCell ref="R13:S13"/>
    <mergeCell ref="L13:M13"/>
    <mergeCell ref="I11:J11"/>
    <mergeCell ref="F9:G9"/>
    <mergeCell ref="C12:D12"/>
    <mergeCell ref="I13:J13"/>
    <mergeCell ref="F12:G12"/>
    <mergeCell ref="I10:J10"/>
    <mergeCell ref="L10:M10"/>
    <mergeCell ref="O10:P10"/>
    <mergeCell ref="R10:S10"/>
    <mergeCell ref="F13:G13"/>
    <mergeCell ref="R5:S5"/>
    <mergeCell ref="F5:G5"/>
    <mergeCell ref="I5:J5"/>
    <mergeCell ref="L5:M5"/>
    <mergeCell ref="O5:P5"/>
    <mergeCell ref="O8:P8"/>
    <mergeCell ref="R8:S8"/>
    <mergeCell ref="L6:M6"/>
    <mergeCell ref="L8:M8"/>
    <mergeCell ref="F8:G8"/>
    <mergeCell ref="O6:P6"/>
    <mergeCell ref="R6:S6"/>
    <mergeCell ref="O7:P7"/>
    <mergeCell ref="R7:S7"/>
    <mergeCell ref="L7:M7"/>
    <mergeCell ref="C14:D14"/>
    <mergeCell ref="L14:M14"/>
    <mergeCell ref="O13:P13"/>
    <mergeCell ref="F24:G24"/>
    <mergeCell ref="I24:J24"/>
    <mergeCell ref="C13:D13"/>
    <mergeCell ref="E34:G34"/>
    <mergeCell ref="C24:D24"/>
    <mergeCell ref="H25:J25"/>
    <mergeCell ref="B31:D31"/>
    <mergeCell ref="B29:C29"/>
    <mergeCell ref="B30:C30"/>
    <mergeCell ref="I14:J14"/>
    <mergeCell ref="E28:G28"/>
    <mergeCell ref="Q23:S23"/>
    <mergeCell ref="K23:M23"/>
    <mergeCell ref="K29:L29"/>
    <mergeCell ref="B34:D34"/>
    <mergeCell ref="A32:A33"/>
    <mergeCell ref="B32:C32"/>
    <mergeCell ref="B33:C33"/>
    <mergeCell ref="B25:D25"/>
    <mergeCell ref="Q32:R32"/>
    <mergeCell ref="N29:O29"/>
    <mergeCell ref="B28:D28"/>
    <mergeCell ref="N25:P25"/>
    <mergeCell ref="R12:S12"/>
    <mergeCell ref="I12:J12"/>
    <mergeCell ref="Q34:S34"/>
    <mergeCell ref="R14:S14"/>
    <mergeCell ref="P16:P18"/>
    <mergeCell ref="S16:S18"/>
    <mergeCell ref="K25:M25"/>
    <mergeCell ref="H34:J34"/>
    <mergeCell ref="K34:M34"/>
    <mergeCell ref="Q33:R33"/>
    <mergeCell ref="R15:S15"/>
    <mergeCell ref="R19:S19"/>
    <mergeCell ref="A22:S22"/>
    <mergeCell ref="C19:D19"/>
    <mergeCell ref="D16:D18"/>
    <mergeCell ref="G16:G18"/>
    <mergeCell ref="H23:J23"/>
    <mergeCell ref="I19:J19"/>
    <mergeCell ref="A27:S27"/>
    <mergeCell ref="A29:A30"/>
    <mergeCell ref="N34:P34"/>
    <mergeCell ref="F15:G15"/>
    <mergeCell ref="N33:O33"/>
    <mergeCell ref="M16:M18"/>
    <mergeCell ref="L12:M12"/>
    <mergeCell ref="F19:G19"/>
    <mergeCell ref="L24:M24"/>
    <mergeCell ref="H28:J28"/>
    <mergeCell ref="K28:M28"/>
    <mergeCell ref="J16:J18"/>
    <mergeCell ref="L19:M19"/>
    <mergeCell ref="H30:I30"/>
    <mergeCell ref="K30:L30"/>
    <mergeCell ref="H29:I29"/>
    <mergeCell ref="E33:F33"/>
    <mergeCell ref="H33:I33"/>
    <mergeCell ref="K33:L33"/>
    <mergeCell ref="E32:F32"/>
    <mergeCell ref="H32:I32"/>
    <mergeCell ref="K32:L32"/>
    <mergeCell ref="N32:O32"/>
    <mergeCell ref="E30:F30"/>
    <mergeCell ref="E29:F29"/>
    <mergeCell ref="N30:O30"/>
    <mergeCell ref="A1:S1"/>
    <mergeCell ref="E31:G31"/>
    <mergeCell ref="H31:J31"/>
    <mergeCell ref="K31:M31"/>
    <mergeCell ref="N31:P31"/>
    <mergeCell ref="Q31:S31"/>
    <mergeCell ref="O24:P24"/>
    <mergeCell ref="R24:S24"/>
    <mergeCell ref="B23:D23"/>
    <mergeCell ref="E23:G23"/>
    <mergeCell ref="A3:S3"/>
    <mergeCell ref="C15:D15"/>
    <mergeCell ref="O19:P19"/>
    <mergeCell ref="A2:H2"/>
    <mergeCell ref="I15:J15"/>
    <mergeCell ref="L15:M15"/>
    <mergeCell ref="O15:P15"/>
    <mergeCell ref="F14:G14"/>
    <mergeCell ref="Q30:R30"/>
    <mergeCell ref="N28:P28"/>
    <mergeCell ref="O12:P12"/>
    <mergeCell ref="Q28:S28"/>
    <mergeCell ref="Q29:R29"/>
    <mergeCell ref="N23:P23"/>
  </mergeCells>
  <phoneticPr fontId="6" type="noConversion"/>
  <conditionalFormatting sqref="B33:D33">
    <cfRule type="expression" dxfId="70" priority="1" stopIfTrue="1">
      <formula>IF(ISBLANK($D$30),FALSE,TRUE)</formula>
    </cfRule>
  </conditionalFormatting>
  <conditionalFormatting sqref="E33:G33">
    <cfRule type="expression" dxfId="69" priority="2" stopIfTrue="1">
      <formula>IF(ISBLANK($G$30),FALSE,TRUE)</formula>
    </cfRule>
  </conditionalFormatting>
  <conditionalFormatting sqref="H33:J33">
    <cfRule type="expression" dxfId="68" priority="3" stopIfTrue="1">
      <formula>IF(ISBLANK($J$30),FALSE,TRUE)</formula>
    </cfRule>
  </conditionalFormatting>
  <conditionalFormatting sqref="K33:M33">
    <cfRule type="expression" dxfId="67" priority="4" stopIfTrue="1">
      <formula>IF(ISBLANK($M$30),FALSE,TRUE)</formula>
    </cfRule>
  </conditionalFormatting>
  <conditionalFormatting sqref="N33:P33">
    <cfRule type="expression" dxfId="66" priority="5" stopIfTrue="1">
      <formula>IF(ISBLANK($P$30),FALSE,TRUE)</formula>
    </cfRule>
  </conditionalFormatting>
  <conditionalFormatting sqref="Q33:S33">
    <cfRule type="expression" dxfId="65" priority="6" stopIfTrue="1">
      <formula>IF(ISBLANK($S$30),FALSE,TRUE)</formula>
    </cfRule>
  </conditionalFormatting>
  <hyperlinks>
    <hyperlink ref="A2:C2" location="def_portable" display="Section 1: Utilization - Portable Equipment"/>
    <hyperlink ref="B34" location="lease_detail" display="lease_detail"/>
    <hyperlink ref="E34" location="lease_detail" display="lease_detail"/>
    <hyperlink ref="H34" location="lease_detail" display="lease_detail"/>
    <hyperlink ref="K34" location="lease_detail" display="lease_detail"/>
    <hyperlink ref="N34" location="lease_detail" display="lease_detail"/>
    <hyperlink ref="Q34" location="lease_detail" display="lease_detail"/>
    <hyperlink ref="E31" location="lease_detail" display="lease_detail"/>
    <hyperlink ref="B31" location="lease_detail" display="lease_detail"/>
    <hyperlink ref="H31" location="lease_detail" display="lease_detail"/>
    <hyperlink ref="K31" location="lease_detail" display="lease_detail"/>
    <hyperlink ref="N31" location="lease_detail" display="lease_detail"/>
    <hyperlink ref="Q31" location="lease_detail" display="lease_detail"/>
    <hyperlink ref="N2:S2" location="text_04" display="Document Explanations if needed"/>
    <hyperlink ref="N21:S21" location="text_05" display="Document Explanations if needed"/>
    <hyperlink ref="N26:S26" location="text_06" display="Document Explanations if needed"/>
  </hyperlinks>
  <printOptions horizontalCentered="1"/>
  <pageMargins left="0.75" right="0.75" top="1" bottom="1" header="0.5" footer="0.5"/>
  <pageSetup scale="60" orientation="landscape"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35"/>
  <sheetViews>
    <sheetView zoomScaleNormal="100" workbookViewId="0">
      <selection sqref="A1:S1"/>
    </sheetView>
  </sheetViews>
  <sheetFormatPr defaultRowHeight="24.95" customHeight="1" x14ac:dyDescent="0.2"/>
  <cols>
    <col min="1" max="1" width="25.7109375" style="127" customWidth="1"/>
    <col min="2" max="2" width="5.7109375" style="127" customWidth="1"/>
    <col min="3" max="3" width="9.140625" style="127" customWidth="1"/>
    <col min="4" max="4" width="9.140625" style="127"/>
    <col min="5" max="5" width="5.85546875" style="127" customWidth="1"/>
    <col min="6" max="6" width="9.140625" style="127" customWidth="1"/>
    <col min="7" max="7" width="9.140625" style="127"/>
    <col min="8" max="8" width="5.7109375" style="127" customWidth="1"/>
    <col min="9" max="10" width="9.140625" style="127" customWidth="1"/>
    <col min="11" max="11" width="5.7109375" style="127" customWidth="1"/>
    <col min="12" max="12" width="9.140625" style="127" customWidth="1"/>
    <col min="13" max="13" width="9.140625" style="127"/>
    <col min="14" max="14" width="5.7109375" style="127" customWidth="1"/>
    <col min="15" max="15" width="9.140625" style="127" customWidth="1"/>
    <col min="16" max="16" width="9.140625" style="127"/>
    <col min="17" max="17" width="5.7109375" style="127" customWidth="1"/>
    <col min="18" max="18" width="9.140625" style="127" customWidth="1"/>
    <col min="19" max="16384" width="9.140625" style="127"/>
  </cols>
  <sheetData>
    <row r="1" spans="1:23" ht="24.95" customHeight="1" thickBot="1" x14ac:dyDescent="0.25">
      <c r="A1" s="954" t="e">
        <f>CONCATENATE('Demog Contact'!D$5," ",'Demog Contact'!D$6)</f>
        <v>#N/A</v>
      </c>
      <c r="B1" s="955"/>
      <c r="C1" s="955"/>
      <c r="D1" s="955"/>
      <c r="E1" s="955"/>
      <c r="F1" s="955"/>
      <c r="G1" s="955"/>
      <c r="H1" s="955"/>
      <c r="I1" s="955"/>
      <c r="J1" s="955"/>
      <c r="K1" s="955"/>
      <c r="L1" s="955"/>
      <c r="M1" s="955"/>
      <c r="N1" s="955"/>
      <c r="O1" s="955"/>
      <c r="P1" s="955"/>
      <c r="Q1" s="955"/>
      <c r="R1" s="955"/>
      <c r="S1" s="955"/>
    </row>
    <row r="2" spans="1:23" ht="24.95" customHeight="1" x14ac:dyDescent="0.2">
      <c r="A2" s="994" t="s">
        <v>682</v>
      </c>
      <c r="B2" s="995"/>
      <c r="C2" s="995"/>
      <c r="D2" s="996"/>
      <c r="E2" s="996"/>
      <c r="F2" s="996"/>
      <c r="G2" s="996"/>
      <c r="H2" s="996"/>
      <c r="I2" s="285"/>
      <c r="J2" s="286" t="str">
        <f>CONCATENATE("Fiscal Year ",'Demog Contact'!N1)</f>
        <v>Fiscal Year 2019</v>
      </c>
      <c r="K2" s="285"/>
      <c r="L2" s="285"/>
      <c r="M2" s="285"/>
      <c r="N2" s="963" t="s">
        <v>413</v>
      </c>
      <c r="O2" s="963"/>
      <c r="P2" s="963"/>
      <c r="Q2" s="963"/>
      <c r="R2" s="963"/>
      <c r="S2" s="964"/>
    </row>
    <row r="3" spans="1:23" ht="24.95" customHeight="1" x14ac:dyDescent="0.2">
      <c r="A3" s="945" t="s">
        <v>672</v>
      </c>
      <c r="B3" s="933"/>
      <c r="C3" s="933"/>
      <c r="D3" s="933"/>
      <c r="E3" s="933"/>
      <c r="F3" s="933"/>
      <c r="G3" s="933"/>
      <c r="H3" s="933"/>
      <c r="I3" s="933"/>
      <c r="J3" s="933"/>
      <c r="K3" s="933"/>
      <c r="L3" s="933"/>
      <c r="M3" s="933"/>
      <c r="N3" s="933"/>
      <c r="O3" s="933"/>
      <c r="P3" s="933"/>
      <c r="Q3" s="933"/>
      <c r="R3" s="933"/>
      <c r="S3" s="934"/>
    </row>
    <row r="4" spans="1:23" ht="24.95" customHeight="1" x14ac:dyDescent="0.2">
      <c r="A4" s="287"/>
      <c r="B4" s="880" t="s">
        <v>37</v>
      </c>
      <c r="C4" s="846"/>
      <c r="D4" s="1039"/>
      <c r="E4" s="880" t="s">
        <v>36</v>
      </c>
      <c r="F4" s="846"/>
      <c r="G4" s="1039"/>
      <c r="H4" s="880" t="s">
        <v>254</v>
      </c>
      <c r="I4" s="846"/>
      <c r="J4" s="1039"/>
      <c r="K4" s="880" t="s">
        <v>253</v>
      </c>
      <c r="L4" s="846"/>
      <c r="M4" s="1039"/>
      <c r="N4" s="880" t="s">
        <v>252</v>
      </c>
      <c r="O4" s="846"/>
      <c r="P4" s="1039"/>
      <c r="Q4" s="880" t="s">
        <v>268</v>
      </c>
      <c r="R4" s="846"/>
      <c r="S4" s="1039"/>
    </row>
    <row r="5" spans="1:23" ht="24.95" customHeight="1" x14ac:dyDescent="0.2">
      <c r="A5" s="255" t="s">
        <v>148</v>
      </c>
      <c r="B5" s="297">
        <v>7900</v>
      </c>
      <c r="C5" s="952"/>
      <c r="D5" s="953"/>
      <c r="E5" s="297">
        <v>7915</v>
      </c>
      <c r="F5" s="952"/>
      <c r="G5" s="953"/>
      <c r="H5" s="297">
        <v>7930</v>
      </c>
      <c r="I5" s="952"/>
      <c r="J5" s="953"/>
      <c r="K5" s="297">
        <v>7945</v>
      </c>
      <c r="L5" s="952"/>
      <c r="M5" s="953"/>
      <c r="N5" s="297">
        <v>7960</v>
      </c>
      <c r="O5" s="952"/>
      <c r="P5" s="953"/>
      <c r="Q5" s="297">
        <v>7975</v>
      </c>
      <c r="R5" s="952"/>
      <c r="S5" s="953"/>
    </row>
    <row r="6" spans="1:23" ht="24.95" customHeight="1" x14ac:dyDescent="0.2">
      <c r="A6" s="255" t="s">
        <v>259</v>
      </c>
      <c r="B6" s="297">
        <v>7901</v>
      </c>
      <c r="C6" s="952"/>
      <c r="D6" s="953"/>
      <c r="E6" s="297">
        <v>7916</v>
      </c>
      <c r="F6" s="952"/>
      <c r="G6" s="953"/>
      <c r="H6" s="297">
        <v>7931</v>
      </c>
      <c r="I6" s="952"/>
      <c r="J6" s="953"/>
      <c r="K6" s="297">
        <v>7946</v>
      </c>
      <c r="L6" s="952"/>
      <c r="M6" s="953"/>
      <c r="N6" s="297">
        <v>7961</v>
      </c>
      <c r="O6" s="952"/>
      <c r="P6" s="953"/>
      <c r="Q6" s="297">
        <v>7976</v>
      </c>
      <c r="R6" s="952"/>
      <c r="S6" s="953"/>
    </row>
    <row r="7" spans="1:23" ht="24.95" customHeight="1" x14ac:dyDescent="0.2">
      <c r="A7" s="255" t="s">
        <v>149</v>
      </c>
      <c r="B7" s="297">
        <v>7902</v>
      </c>
      <c r="C7" s="946"/>
      <c r="D7" s="947"/>
      <c r="E7" s="297">
        <v>7917</v>
      </c>
      <c r="F7" s="946"/>
      <c r="G7" s="947"/>
      <c r="H7" s="297">
        <v>7932</v>
      </c>
      <c r="I7" s="946"/>
      <c r="J7" s="947"/>
      <c r="K7" s="297">
        <v>7947</v>
      </c>
      <c r="L7" s="946"/>
      <c r="M7" s="947"/>
      <c r="N7" s="297">
        <v>7962</v>
      </c>
      <c r="O7" s="946"/>
      <c r="P7" s="947"/>
      <c r="Q7" s="297">
        <v>7977</v>
      </c>
      <c r="R7" s="946"/>
      <c r="S7" s="947"/>
    </row>
    <row r="8" spans="1:23" ht="24.95" customHeight="1" x14ac:dyDescent="0.2">
      <c r="A8" s="255" t="s">
        <v>210</v>
      </c>
      <c r="B8" s="297">
        <v>7903</v>
      </c>
      <c r="C8" s="946"/>
      <c r="D8" s="947"/>
      <c r="E8" s="297">
        <v>7918</v>
      </c>
      <c r="F8" s="946"/>
      <c r="G8" s="947"/>
      <c r="H8" s="297">
        <v>7933</v>
      </c>
      <c r="I8" s="946"/>
      <c r="J8" s="947"/>
      <c r="K8" s="297">
        <v>7948</v>
      </c>
      <c r="L8" s="946"/>
      <c r="M8" s="947"/>
      <c r="N8" s="297">
        <v>7963</v>
      </c>
      <c r="O8" s="946"/>
      <c r="P8" s="947"/>
      <c r="Q8" s="297">
        <v>7978</v>
      </c>
      <c r="R8" s="946"/>
      <c r="S8" s="947"/>
    </row>
    <row r="9" spans="1:23" ht="24.95" customHeight="1" x14ac:dyDescent="0.2">
      <c r="A9" s="255" t="s">
        <v>211</v>
      </c>
      <c r="B9" s="297">
        <v>7904</v>
      </c>
      <c r="C9" s="946"/>
      <c r="D9" s="947"/>
      <c r="E9" s="297">
        <v>7919</v>
      </c>
      <c r="F9" s="946"/>
      <c r="G9" s="947"/>
      <c r="H9" s="297">
        <v>7934</v>
      </c>
      <c r="I9" s="946"/>
      <c r="J9" s="947"/>
      <c r="K9" s="297">
        <v>7949</v>
      </c>
      <c r="L9" s="946"/>
      <c r="M9" s="947"/>
      <c r="N9" s="297">
        <v>7964</v>
      </c>
      <c r="O9" s="946"/>
      <c r="P9" s="947"/>
      <c r="Q9" s="297">
        <v>7979</v>
      </c>
      <c r="R9" s="946"/>
      <c r="S9" s="947"/>
    </row>
    <row r="10" spans="1:23" ht="24.95" customHeight="1" x14ac:dyDescent="0.2">
      <c r="A10" s="255" t="s">
        <v>151</v>
      </c>
      <c r="B10" s="297">
        <v>7905</v>
      </c>
      <c r="C10" s="946"/>
      <c r="D10" s="947"/>
      <c r="E10" s="297">
        <v>7920</v>
      </c>
      <c r="F10" s="946"/>
      <c r="G10" s="947"/>
      <c r="H10" s="297">
        <v>7935</v>
      </c>
      <c r="I10" s="946"/>
      <c r="J10" s="947"/>
      <c r="K10" s="297">
        <v>7950</v>
      </c>
      <c r="L10" s="946"/>
      <c r="M10" s="947"/>
      <c r="N10" s="297">
        <v>7965</v>
      </c>
      <c r="O10" s="946"/>
      <c r="P10" s="947"/>
      <c r="Q10" s="297">
        <v>7980</v>
      </c>
      <c r="R10" s="946"/>
      <c r="S10" s="947"/>
    </row>
    <row r="11" spans="1:23" ht="24.95" customHeight="1" x14ac:dyDescent="0.2">
      <c r="A11" s="255" t="s">
        <v>156</v>
      </c>
      <c r="B11" s="297">
        <v>7906</v>
      </c>
      <c r="C11" s="946"/>
      <c r="D11" s="947"/>
      <c r="E11" s="297">
        <v>7921</v>
      </c>
      <c r="F11" s="946"/>
      <c r="G11" s="947"/>
      <c r="H11" s="297">
        <v>7936</v>
      </c>
      <c r="I11" s="946"/>
      <c r="J11" s="947"/>
      <c r="K11" s="297">
        <v>7951</v>
      </c>
      <c r="L11" s="946"/>
      <c r="M11" s="947"/>
      <c r="N11" s="297">
        <v>7966</v>
      </c>
      <c r="O11" s="946"/>
      <c r="P11" s="947"/>
      <c r="Q11" s="297">
        <v>7981</v>
      </c>
      <c r="R11" s="946"/>
      <c r="S11" s="947"/>
    </row>
    <row r="12" spans="1:23" ht="24.95" customHeight="1" x14ac:dyDescent="0.2">
      <c r="A12" s="255" t="s">
        <v>160</v>
      </c>
      <c r="B12" s="297">
        <v>7907</v>
      </c>
      <c r="C12" s="946"/>
      <c r="D12" s="947"/>
      <c r="E12" s="297">
        <v>7922</v>
      </c>
      <c r="F12" s="946"/>
      <c r="G12" s="947"/>
      <c r="H12" s="297">
        <v>7937</v>
      </c>
      <c r="I12" s="946"/>
      <c r="J12" s="947"/>
      <c r="K12" s="297">
        <v>7952</v>
      </c>
      <c r="L12" s="946"/>
      <c r="M12" s="947"/>
      <c r="N12" s="297">
        <v>7967</v>
      </c>
      <c r="O12" s="946"/>
      <c r="P12" s="947"/>
      <c r="Q12" s="297">
        <v>7982</v>
      </c>
      <c r="R12" s="946"/>
      <c r="S12" s="947"/>
    </row>
    <row r="13" spans="1:23" ht="24.95" customHeight="1" x14ac:dyDescent="0.2">
      <c r="A13" s="255" t="s">
        <v>150</v>
      </c>
      <c r="B13" s="297">
        <v>7908</v>
      </c>
      <c r="C13" s="946"/>
      <c r="D13" s="947"/>
      <c r="E13" s="297">
        <v>7923</v>
      </c>
      <c r="F13" s="946"/>
      <c r="G13" s="947"/>
      <c r="H13" s="297">
        <v>7938</v>
      </c>
      <c r="I13" s="946"/>
      <c r="J13" s="947"/>
      <c r="K13" s="297">
        <v>7953</v>
      </c>
      <c r="L13" s="946"/>
      <c r="M13" s="947"/>
      <c r="N13" s="297">
        <v>7968</v>
      </c>
      <c r="O13" s="946"/>
      <c r="P13" s="947"/>
      <c r="Q13" s="297">
        <v>7983</v>
      </c>
      <c r="R13" s="946"/>
      <c r="S13" s="947"/>
    </row>
    <row r="14" spans="1:23" ht="24.95" customHeight="1" x14ac:dyDescent="0.2">
      <c r="A14" s="255" t="s">
        <v>152</v>
      </c>
      <c r="B14" s="297">
        <v>7909</v>
      </c>
      <c r="C14" s="946"/>
      <c r="D14" s="947"/>
      <c r="E14" s="297">
        <v>7924</v>
      </c>
      <c r="F14" s="946"/>
      <c r="G14" s="947"/>
      <c r="H14" s="297">
        <v>7939</v>
      </c>
      <c r="I14" s="946"/>
      <c r="J14" s="947"/>
      <c r="K14" s="297">
        <v>7954</v>
      </c>
      <c r="L14" s="946"/>
      <c r="M14" s="947"/>
      <c r="N14" s="297">
        <v>7969</v>
      </c>
      <c r="O14" s="946"/>
      <c r="P14" s="947"/>
      <c r="Q14" s="297">
        <v>7984</v>
      </c>
      <c r="R14" s="946"/>
      <c r="S14" s="947"/>
    </row>
    <row r="15" spans="1:23" ht="24.95" customHeight="1" x14ac:dyDescent="0.2">
      <c r="A15" s="258" t="s">
        <v>1982</v>
      </c>
      <c r="B15" s="297">
        <v>7910</v>
      </c>
      <c r="C15" s="948">
        <f>SUM(C16:C18)</f>
        <v>0</v>
      </c>
      <c r="D15" s="949"/>
      <c r="E15" s="297">
        <v>7925</v>
      </c>
      <c r="F15" s="948">
        <f>SUM(F16:F18)</f>
        <v>0</v>
      </c>
      <c r="G15" s="949"/>
      <c r="H15" s="297">
        <v>7940</v>
      </c>
      <c r="I15" s="948">
        <f>SUM(I16:I18)</f>
        <v>0</v>
      </c>
      <c r="J15" s="949"/>
      <c r="K15" s="297">
        <v>7955</v>
      </c>
      <c r="L15" s="948">
        <f>SUM(L16:L18)</f>
        <v>0</v>
      </c>
      <c r="M15" s="949"/>
      <c r="N15" s="297">
        <v>7970</v>
      </c>
      <c r="O15" s="948">
        <f>SUM(O16:O18)</f>
        <v>0</v>
      </c>
      <c r="P15" s="949"/>
      <c r="Q15" s="297">
        <v>7985</v>
      </c>
      <c r="R15" s="948">
        <f>SUM(R16:R18)</f>
        <v>0</v>
      </c>
      <c r="S15" s="949"/>
      <c r="T15" s="924" t="s">
        <v>680</v>
      </c>
      <c r="U15" s="924"/>
      <c r="V15" s="924"/>
      <c r="W15" s="925"/>
    </row>
    <row r="16" spans="1:23" ht="24.95" customHeight="1" x14ac:dyDescent="0.2">
      <c r="A16" s="583" t="s">
        <v>155</v>
      </c>
      <c r="B16" s="297">
        <v>7911</v>
      </c>
      <c r="C16" s="259"/>
      <c r="D16" s="935"/>
      <c r="E16" s="297">
        <v>7926</v>
      </c>
      <c r="F16" s="590"/>
      <c r="G16" s="935"/>
      <c r="H16" s="297">
        <v>7941</v>
      </c>
      <c r="I16" s="590"/>
      <c r="J16" s="935"/>
      <c r="K16" s="297">
        <v>7956</v>
      </c>
      <c r="L16" s="590"/>
      <c r="M16" s="935"/>
      <c r="N16" s="297">
        <v>7971</v>
      </c>
      <c r="O16" s="590"/>
      <c r="P16" s="935"/>
      <c r="Q16" s="297">
        <v>7986</v>
      </c>
      <c r="R16" s="590"/>
      <c r="S16" s="935"/>
      <c r="T16" s="926"/>
      <c r="U16" s="926"/>
      <c r="V16" s="926"/>
      <c r="W16" s="927"/>
    </row>
    <row r="17" spans="1:23" ht="24.95" hidden="1" customHeight="1" x14ac:dyDescent="0.2">
      <c r="A17" s="583"/>
      <c r="B17" s="297"/>
      <c r="C17" s="259"/>
      <c r="D17" s="936"/>
      <c r="E17" s="297"/>
      <c r="F17" s="590"/>
      <c r="G17" s="936"/>
      <c r="H17" s="297"/>
      <c r="I17" s="590"/>
      <c r="J17" s="936"/>
      <c r="K17" s="297"/>
      <c r="L17" s="590"/>
      <c r="M17" s="936"/>
      <c r="N17" s="297"/>
      <c r="O17" s="590"/>
      <c r="P17" s="936"/>
      <c r="Q17" s="297"/>
      <c r="R17" s="590"/>
      <c r="S17" s="936"/>
      <c r="T17" s="926"/>
      <c r="U17" s="926"/>
      <c r="V17" s="926"/>
      <c r="W17" s="927"/>
    </row>
    <row r="18" spans="1:23" ht="24.95" customHeight="1" x14ac:dyDescent="0.2">
      <c r="A18" s="583" t="s">
        <v>153</v>
      </c>
      <c r="B18" s="297">
        <v>7913</v>
      </c>
      <c r="C18" s="259"/>
      <c r="D18" s="937"/>
      <c r="E18" s="297">
        <v>7928</v>
      </c>
      <c r="F18" s="590"/>
      <c r="G18" s="937"/>
      <c r="H18" s="297">
        <v>7943</v>
      </c>
      <c r="I18" s="590"/>
      <c r="J18" s="937"/>
      <c r="K18" s="297">
        <v>7958</v>
      </c>
      <c r="L18" s="590"/>
      <c r="M18" s="937"/>
      <c r="N18" s="297">
        <v>7973</v>
      </c>
      <c r="O18" s="590"/>
      <c r="P18" s="937"/>
      <c r="Q18" s="297">
        <v>7988</v>
      </c>
      <c r="R18" s="590"/>
      <c r="S18" s="937"/>
      <c r="T18" s="928"/>
      <c r="U18" s="928"/>
      <c r="V18" s="928"/>
      <c r="W18" s="929"/>
    </row>
    <row r="19" spans="1:23" ht="24.95" customHeight="1" thickBot="1" x14ac:dyDescent="0.25">
      <c r="A19" s="288" t="s">
        <v>154</v>
      </c>
      <c r="B19" s="298">
        <v>7914</v>
      </c>
      <c r="C19" s="992">
        <f>SUM(C5:D15)</f>
        <v>0</v>
      </c>
      <c r="D19" s="993"/>
      <c r="E19" s="298">
        <v>7929</v>
      </c>
      <c r="F19" s="992">
        <f>SUM(F5:G15)</f>
        <v>0</v>
      </c>
      <c r="G19" s="993"/>
      <c r="H19" s="298">
        <v>7944</v>
      </c>
      <c r="I19" s="992">
        <f>SUM(I5:J15)</f>
        <v>0</v>
      </c>
      <c r="J19" s="993"/>
      <c r="K19" s="298">
        <v>7959</v>
      </c>
      <c r="L19" s="992">
        <f>SUM(L5:M15)</f>
        <v>0</v>
      </c>
      <c r="M19" s="993"/>
      <c r="N19" s="298">
        <v>7974</v>
      </c>
      <c r="O19" s="992">
        <f>SUM(O5:P15)</f>
        <v>0</v>
      </c>
      <c r="P19" s="1038"/>
      <c r="Q19" s="299">
        <v>7989</v>
      </c>
      <c r="R19" s="992">
        <f>SUM(R5:S15)</f>
        <v>0</v>
      </c>
      <c r="S19" s="993"/>
      <c r="T19" s="290"/>
      <c r="U19" s="290"/>
      <c r="V19" s="290"/>
      <c r="W19" s="290"/>
    </row>
    <row r="20" spans="1:23" ht="24.75" customHeight="1" thickBot="1" x14ac:dyDescent="0.25">
      <c r="A20" s="300">
        <f>SUM(C19,F19,I19,L19,O19,R19)</f>
        <v>0</v>
      </c>
      <c r="B20" s="265"/>
      <c r="C20" s="266"/>
      <c r="D20" s="267"/>
      <c r="E20" s="265"/>
      <c r="F20" s="266"/>
      <c r="G20" s="267"/>
      <c r="H20" s="265"/>
      <c r="I20" s="266"/>
      <c r="J20" s="267"/>
      <c r="K20" s="265"/>
      <c r="L20" s="266"/>
      <c r="M20" s="267"/>
      <c r="N20" s="265"/>
      <c r="O20" s="266"/>
      <c r="P20" s="267"/>
      <c r="Q20" s="265"/>
      <c r="R20" s="266"/>
      <c r="S20" s="267"/>
      <c r="T20" s="203"/>
      <c r="U20" s="290"/>
      <c r="V20" s="290"/>
      <c r="W20" s="290"/>
    </row>
    <row r="21" spans="1:23" ht="24.95" customHeight="1" x14ac:dyDescent="0.2">
      <c r="A21" s="1008" t="s">
        <v>108</v>
      </c>
      <c r="B21" s="974"/>
      <c r="C21" s="974"/>
      <c r="D21" s="974"/>
      <c r="E21" s="974"/>
      <c r="F21" s="974"/>
      <c r="G21" s="974"/>
      <c r="H21" s="974"/>
      <c r="I21" s="974"/>
      <c r="J21" s="974"/>
      <c r="K21" s="974"/>
      <c r="L21" s="974"/>
      <c r="M21" s="974"/>
      <c r="N21" s="965" t="s">
        <v>413</v>
      </c>
      <c r="O21" s="965"/>
      <c r="P21" s="965"/>
      <c r="Q21" s="965"/>
      <c r="R21" s="965"/>
      <c r="S21" s="966"/>
    </row>
    <row r="22" spans="1:23" ht="24.95" customHeight="1" x14ac:dyDescent="0.2">
      <c r="A22" s="932" t="s">
        <v>683</v>
      </c>
      <c r="B22" s="933"/>
      <c r="C22" s="933"/>
      <c r="D22" s="933"/>
      <c r="E22" s="933"/>
      <c r="F22" s="933"/>
      <c r="G22" s="933"/>
      <c r="H22" s="933"/>
      <c r="I22" s="933"/>
      <c r="J22" s="933"/>
      <c r="K22" s="933"/>
      <c r="L22" s="933"/>
      <c r="M22" s="933"/>
      <c r="N22" s="933"/>
      <c r="O22" s="933"/>
      <c r="P22" s="933"/>
      <c r="Q22" s="933"/>
      <c r="R22" s="933"/>
      <c r="S22" s="934"/>
    </row>
    <row r="23" spans="1:23" ht="24.95" customHeight="1" x14ac:dyDescent="0.2">
      <c r="A23" s="301"/>
      <c r="B23" s="704" t="s">
        <v>273</v>
      </c>
      <c r="C23" s="1034"/>
      <c r="D23" s="1035"/>
      <c r="E23" s="704" t="s">
        <v>274</v>
      </c>
      <c r="F23" s="1022"/>
      <c r="G23" s="1023"/>
      <c r="H23" s="704" t="s">
        <v>275</v>
      </c>
      <c r="I23" s="1029"/>
      <c r="J23" s="1030"/>
      <c r="K23" s="704" t="s">
        <v>276</v>
      </c>
      <c r="L23" s="1022"/>
      <c r="M23" s="1023"/>
      <c r="N23" s="704" t="s">
        <v>277</v>
      </c>
      <c r="O23" s="1022"/>
      <c r="P23" s="1023"/>
      <c r="Q23" s="704" t="s">
        <v>278</v>
      </c>
      <c r="R23" s="1022"/>
      <c r="S23" s="1023"/>
    </row>
    <row r="24" spans="1:23" ht="24.95" customHeight="1" thickBot="1" x14ac:dyDescent="0.25">
      <c r="A24" s="270" t="s">
        <v>684</v>
      </c>
      <c r="B24" s="302">
        <v>7197</v>
      </c>
      <c r="C24" s="914"/>
      <c r="D24" s="915"/>
      <c r="E24" s="302">
        <v>7201</v>
      </c>
      <c r="F24" s="914"/>
      <c r="G24" s="915"/>
      <c r="H24" s="302">
        <v>7314</v>
      </c>
      <c r="I24" s="914"/>
      <c r="J24" s="915"/>
      <c r="K24" s="302">
        <v>7191</v>
      </c>
      <c r="L24" s="914"/>
      <c r="M24" s="915"/>
      <c r="N24" s="302">
        <v>7321</v>
      </c>
      <c r="O24" s="914"/>
      <c r="P24" s="915"/>
      <c r="Q24" s="302">
        <v>7220</v>
      </c>
      <c r="R24" s="914"/>
      <c r="S24" s="915"/>
    </row>
    <row r="25" spans="1:23" ht="25.5" customHeight="1" thickBot="1" x14ac:dyDescent="0.25">
      <c r="A25" s="303"/>
      <c r="B25" s="1036" t="str">
        <f>IF(AND(C19&gt;0, ISBLANK(C24)),"Please enter the number of "&amp;B23&amp;" Scanners","")</f>
        <v/>
      </c>
      <c r="C25" s="1037"/>
      <c r="D25" s="1037"/>
      <c r="E25" s="1036" t="str">
        <f>IF(AND(F19&gt;0, ISBLANK(F24)),"Please enter the number of "&amp;E23&amp;" Scanners","")</f>
        <v/>
      </c>
      <c r="F25" s="1037"/>
      <c r="G25" s="1037"/>
      <c r="H25" s="1036" t="str">
        <f>IF(AND(I19&gt;0, ISBLANK(I24)),"Please enter the number of "&amp;H23&amp;" Scanners","")</f>
        <v/>
      </c>
      <c r="I25" s="1037"/>
      <c r="J25" s="1037"/>
      <c r="K25" s="1036" t="str">
        <f>IF(AND(L19&gt;0, ISBLANK(L24)),"Please enter the number of "&amp;K23&amp;" Scanners","")</f>
        <v/>
      </c>
      <c r="L25" s="1037"/>
      <c r="M25" s="1037"/>
      <c r="N25" s="1036" t="str">
        <f>IF(AND(O19&gt;0, ISBLANK(O24)),"Please enter the number of "&amp;N23&amp;" Scanners","")</f>
        <v/>
      </c>
      <c r="O25" s="1037"/>
      <c r="P25" s="1037"/>
      <c r="Q25" s="909" t="str">
        <f>IF(AND(R19&gt;0, ISBLANK(R24)),"Please enter the number of "&amp;Q23&amp;" Scanners","")</f>
        <v/>
      </c>
      <c r="R25" s="976"/>
      <c r="S25" s="976"/>
    </row>
    <row r="26" spans="1:23" ht="24.95" customHeight="1" x14ac:dyDescent="0.2">
      <c r="A26" s="1009" t="s">
        <v>109</v>
      </c>
      <c r="B26" s="1010"/>
      <c r="C26" s="1010"/>
      <c r="D26" s="1010"/>
      <c r="E26" s="1010"/>
      <c r="F26" s="1010"/>
      <c r="G26" s="1010"/>
      <c r="H26" s="1010"/>
      <c r="I26" s="1010"/>
      <c r="J26" s="1010"/>
      <c r="K26" s="1010"/>
      <c r="L26" s="1010"/>
      <c r="M26" s="1010"/>
      <c r="N26" s="969" t="s">
        <v>413</v>
      </c>
      <c r="O26" s="969"/>
      <c r="P26" s="969"/>
      <c r="Q26" s="969"/>
      <c r="R26" s="969"/>
      <c r="S26" s="970"/>
    </row>
    <row r="27" spans="1:23" ht="24.95" customHeight="1" x14ac:dyDescent="0.2">
      <c r="A27" s="932" t="s">
        <v>676</v>
      </c>
      <c r="B27" s="933"/>
      <c r="C27" s="933"/>
      <c r="D27" s="933"/>
      <c r="E27" s="933"/>
      <c r="F27" s="933"/>
      <c r="G27" s="933"/>
      <c r="H27" s="933"/>
      <c r="I27" s="933"/>
      <c r="J27" s="933"/>
      <c r="K27" s="933"/>
      <c r="L27" s="933"/>
      <c r="M27" s="933"/>
      <c r="N27" s="933"/>
      <c r="O27" s="933"/>
      <c r="P27" s="933"/>
      <c r="Q27" s="933"/>
      <c r="R27" s="933"/>
      <c r="S27" s="934"/>
    </row>
    <row r="28" spans="1:23" ht="24.95" customHeight="1" x14ac:dyDescent="0.2">
      <c r="A28" s="304"/>
      <c r="B28" s="846" t="s">
        <v>273</v>
      </c>
      <c r="C28" s="1011"/>
      <c r="D28" s="1012"/>
      <c r="E28" s="1021" t="s">
        <v>274</v>
      </c>
      <c r="F28" s="1022"/>
      <c r="G28" s="1022"/>
      <c r="H28" s="1021" t="s">
        <v>275</v>
      </c>
      <c r="I28" s="1034"/>
      <c r="J28" s="1034"/>
      <c r="K28" s="1021" t="s">
        <v>276</v>
      </c>
      <c r="L28" s="1022"/>
      <c r="M28" s="1022"/>
      <c r="N28" s="1021" t="s">
        <v>277</v>
      </c>
      <c r="O28" s="1022"/>
      <c r="P28" s="1022"/>
      <c r="Q28" s="1021" t="s">
        <v>278</v>
      </c>
      <c r="R28" s="1022"/>
      <c r="S28" s="1023"/>
    </row>
    <row r="29" spans="1:23" ht="24.95" customHeight="1" x14ac:dyDescent="0.2">
      <c r="A29" s="1027" t="s">
        <v>677</v>
      </c>
      <c r="B29" s="979" t="s">
        <v>269</v>
      </c>
      <c r="C29" s="980"/>
      <c r="D29" s="276" t="s">
        <v>270</v>
      </c>
      <c r="E29" s="979" t="s">
        <v>269</v>
      </c>
      <c r="F29" s="1020"/>
      <c r="G29" s="276" t="s">
        <v>270</v>
      </c>
      <c r="H29" s="904" t="s">
        <v>269</v>
      </c>
      <c r="I29" s="905"/>
      <c r="J29" s="276" t="s">
        <v>270</v>
      </c>
      <c r="K29" s="904" t="s">
        <v>269</v>
      </c>
      <c r="L29" s="905"/>
      <c r="M29" s="276" t="s">
        <v>270</v>
      </c>
      <c r="N29" s="904" t="s">
        <v>269</v>
      </c>
      <c r="O29" s="905"/>
      <c r="P29" s="276" t="s">
        <v>270</v>
      </c>
      <c r="Q29" s="904" t="s">
        <v>269</v>
      </c>
      <c r="R29" s="905"/>
      <c r="S29" s="276" t="s">
        <v>270</v>
      </c>
    </row>
    <row r="30" spans="1:23" ht="24.95" customHeight="1" x14ac:dyDescent="0.2">
      <c r="A30" s="1028"/>
      <c r="B30" s="986"/>
      <c r="C30" s="903"/>
      <c r="D30" s="277"/>
      <c r="E30" s="1018"/>
      <c r="F30" s="1019"/>
      <c r="G30" s="277"/>
      <c r="H30" s="1018"/>
      <c r="I30" s="1019"/>
      <c r="J30" s="277"/>
      <c r="K30" s="1018"/>
      <c r="L30" s="1019"/>
      <c r="M30" s="277"/>
      <c r="N30" s="1018"/>
      <c r="O30" s="1019"/>
      <c r="P30" s="277"/>
      <c r="Q30" s="1018"/>
      <c r="R30" s="1019"/>
      <c r="S30" s="277"/>
    </row>
    <row r="31" spans="1:23" s="154" customFormat="1" ht="27.75" customHeight="1" x14ac:dyDescent="0.2">
      <c r="A31" s="305"/>
      <c r="B31" s="1015" t="str">
        <f>(IF(ISBLANK(D30),"","Enter Lease Details"))</f>
        <v/>
      </c>
      <c r="C31" s="1033"/>
      <c r="D31" s="1033"/>
      <c r="E31" s="1015" t="str">
        <f>(IF(ISBLANK(G30),"","Enter Lease Details"))</f>
        <v/>
      </c>
      <c r="F31" s="1016"/>
      <c r="G31" s="1016"/>
      <c r="H31" s="1015" t="str">
        <f>(IF(ISBLANK(J30),"","Enter Lease Details"))</f>
        <v/>
      </c>
      <c r="I31" s="1016"/>
      <c r="J31" s="1016"/>
      <c r="K31" s="1015" t="str">
        <f>(IF(ISBLANK(M30),"","Enter Lease Details"))</f>
        <v/>
      </c>
      <c r="L31" s="1016"/>
      <c r="M31" s="1016"/>
      <c r="N31" s="1015" t="str">
        <f>(IF(ISBLANK(P30),"","Enter Lease Details"))</f>
        <v/>
      </c>
      <c r="O31" s="1016"/>
      <c r="P31" s="1016"/>
      <c r="Q31" s="1015" t="str">
        <f>(IF(ISBLANK(S30),"","Enter Lease Details"))</f>
        <v/>
      </c>
      <c r="R31" s="1016"/>
      <c r="S31" s="1017"/>
      <c r="T31" s="293"/>
    </row>
    <row r="32" spans="1:23" s="154" customFormat="1" ht="27.75" customHeight="1" x14ac:dyDescent="0.2">
      <c r="A32" s="306"/>
      <c r="B32" s="1013" t="str">
        <f>(IF(AND(ISBLANK(D30),(C19&gt;0)),"Enter Any Mobile Locations",""))</f>
        <v/>
      </c>
      <c r="C32" s="1014"/>
      <c r="D32" s="1014"/>
      <c r="E32" s="1013" t="str">
        <f>(IF(AND(ISBLANK(G30),(F19&gt;0)),"Enter Any Mobile Locations",""))</f>
        <v/>
      </c>
      <c r="F32" s="1014"/>
      <c r="G32" s="1014"/>
      <c r="H32" s="1013" t="str">
        <f>(IF(AND(ISBLANK(J30),(I19&gt;0)),"Enter Any Mobile Locations",""))</f>
        <v/>
      </c>
      <c r="I32" s="1014"/>
      <c r="J32" s="1014"/>
      <c r="K32" s="1013" t="str">
        <f>(IF(AND(ISBLANK(M30),(L19&gt;0)),"Enter Any Mobile Locations",""))</f>
        <v/>
      </c>
      <c r="L32" s="1014"/>
      <c r="M32" s="1014"/>
      <c r="N32" s="1013" t="str">
        <f>(IF(AND(ISBLANK(P30),(O19&gt;0)),"Enter Any Mobile Locations",""))</f>
        <v/>
      </c>
      <c r="O32" s="1014"/>
      <c r="P32" s="1014"/>
      <c r="Q32" s="1013" t="str">
        <f>(IF(AND(ISBLANK(S30),(R19&gt;0)),"Enter Any Mobile Locations",""))</f>
        <v/>
      </c>
      <c r="R32" s="1014"/>
      <c r="S32" s="1026"/>
      <c r="T32" s="293"/>
    </row>
    <row r="33" spans="1:19" ht="24.95" customHeight="1" x14ac:dyDescent="0.2">
      <c r="A33" s="1027" t="s">
        <v>678</v>
      </c>
      <c r="B33" s="1024" t="s">
        <v>269</v>
      </c>
      <c r="C33" s="1032"/>
      <c r="D33" s="276" t="s">
        <v>270</v>
      </c>
      <c r="E33" s="1024" t="s">
        <v>269</v>
      </c>
      <c r="F33" s="1025"/>
      <c r="G33" s="276" t="s">
        <v>270</v>
      </c>
      <c r="H33" s="1024" t="s">
        <v>269</v>
      </c>
      <c r="I33" s="1025"/>
      <c r="J33" s="276" t="s">
        <v>270</v>
      </c>
      <c r="K33" s="1024" t="s">
        <v>269</v>
      </c>
      <c r="L33" s="1025"/>
      <c r="M33" s="276" t="s">
        <v>270</v>
      </c>
      <c r="N33" s="999" t="s">
        <v>269</v>
      </c>
      <c r="O33" s="1000"/>
      <c r="P33" s="275" t="s">
        <v>270</v>
      </c>
      <c r="Q33" s="999" t="s">
        <v>269</v>
      </c>
      <c r="R33" s="1000"/>
      <c r="S33" s="296" t="s">
        <v>270</v>
      </c>
    </row>
    <row r="34" spans="1:19" ht="24.95" customHeight="1" thickBot="1" x14ac:dyDescent="0.25">
      <c r="A34" s="1031"/>
      <c r="B34" s="981"/>
      <c r="C34" s="982"/>
      <c r="D34" s="282"/>
      <c r="E34" s="906"/>
      <c r="F34" s="907"/>
      <c r="G34" s="282"/>
      <c r="H34" s="906"/>
      <c r="I34" s="907"/>
      <c r="J34" s="282"/>
      <c r="K34" s="906"/>
      <c r="L34" s="907"/>
      <c r="M34" s="282"/>
      <c r="N34" s="906"/>
      <c r="O34" s="907"/>
      <c r="P34" s="282"/>
      <c r="Q34" s="906"/>
      <c r="R34" s="907"/>
      <c r="S34" s="282"/>
    </row>
    <row r="35" spans="1:19" ht="24.95" customHeight="1" x14ac:dyDescent="0.2">
      <c r="A35" s="284"/>
      <c r="B35" s="930" t="str">
        <f>IF(ISBLANK(B34),"","Enter Lease Details")</f>
        <v/>
      </c>
      <c r="C35" s="975"/>
      <c r="D35" s="975"/>
      <c r="E35" s="997" t="str">
        <f>(IF(ISBLANK(E34),"","Enter Lease Details"))</f>
        <v/>
      </c>
      <c r="F35" s="998"/>
      <c r="G35" s="998"/>
      <c r="H35" s="997" t="str">
        <f>(IF(ISBLANK(H34),"","Enter Lease Details"))</f>
        <v/>
      </c>
      <c r="I35" s="998"/>
      <c r="J35" s="998"/>
      <c r="K35" s="997" t="str">
        <f>(IF(ISBLANK(K34),"","Enter Lease Details"))</f>
        <v/>
      </c>
      <c r="L35" s="998"/>
      <c r="M35" s="998"/>
      <c r="N35" s="997" t="str">
        <f>(IF(ISBLANK(N34),"","Enter Lease Details"))</f>
        <v/>
      </c>
      <c r="O35" s="998"/>
      <c r="P35" s="998"/>
      <c r="Q35" s="997" t="str">
        <f>(IF(ISBLANK(Q34),"","Enter Lease Details"))</f>
        <v/>
      </c>
      <c r="R35" s="998"/>
      <c r="S35" s="998"/>
    </row>
  </sheetData>
  <sheetProtection sheet="1"/>
  <mergeCells count="163">
    <mergeCell ref="R7:S7"/>
    <mergeCell ref="C8:D8"/>
    <mergeCell ref="N25:P25"/>
    <mergeCell ref="E25:G25"/>
    <mergeCell ref="H25:J25"/>
    <mergeCell ref="C6:D6"/>
    <mergeCell ref="F6:G6"/>
    <mergeCell ref="I6:J6"/>
    <mergeCell ref="K25:M25"/>
    <mergeCell ref="L11:M11"/>
    <mergeCell ref="A21:M21"/>
    <mergeCell ref="O8:P8"/>
    <mergeCell ref="L7:M7"/>
    <mergeCell ref="L8:M8"/>
    <mergeCell ref="C7:D7"/>
    <mergeCell ref="F7:G7"/>
    <mergeCell ref="I7:J7"/>
    <mergeCell ref="O7:P7"/>
    <mergeCell ref="R9:S9"/>
    <mergeCell ref="O10:P10"/>
    <mergeCell ref="R10:S10"/>
    <mergeCell ref="O9:P9"/>
    <mergeCell ref="R13:S13"/>
    <mergeCell ref="F8:G8"/>
    <mergeCell ref="H4:J4"/>
    <mergeCell ref="K4:M4"/>
    <mergeCell ref="N2:S2"/>
    <mergeCell ref="O5:P5"/>
    <mergeCell ref="R5:S5"/>
    <mergeCell ref="R6:S6"/>
    <mergeCell ref="A2:H2"/>
    <mergeCell ref="B4:D4"/>
    <mergeCell ref="E4:G4"/>
    <mergeCell ref="C5:D5"/>
    <mergeCell ref="F5:G5"/>
    <mergeCell ref="I5:J5"/>
    <mergeCell ref="N4:P4"/>
    <mergeCell ref="Q4:S4"/>
    <mergeCell ref="O6:P6"/>
    <mergeCell ref="L6:M6"/>
    <mergeCell ref="L5:M5"/>
    <mergeCell ref="C11:D11"/>
    <mergeCell ref="F11:G11"/>
    <mergeCell ref="I11:J11"/>
    <mergeCell ref="R8:S8"/>
    <mergeCell ref="I12:J12"/>
    <mergeCell ref="L12:M12"/>
    <mergeCell ref="R15:S15"/>
    <mergeCell ref="C12:D12"/>
    <mergeCell ref="F12:G12"/>
    <mergeCell ref="O12:P12"/>
    <mergeCell ref="R12:S12"/>
    <mergeCell ref="O11:P11"/>
    <mergeCell ref="R11:S11"/>
    <mergeCell ref="C10:D10"/>
    <mergeCell ref="F10:G10"/>
    <mergeCell ref="I10:J10"/>
    <mergeCell ref="L10:M10"/>
    <mergeCell ref="I8:J8"/>
    <mergeCell ref="C9:D9"/>
    <mergeCell ref="F9:G9"/>
    <mergeCell ref="I9:J9"/>
    <mergeCell ref="L9:M9"/>
    <mergeCell ref="D16:D18"/>
    <mergeCell ref="G16:G18"/>
    <mergeCell ref="J16:J18"/>
    <mergeCell ref="M16:M18"/>
    <mergeCell ref="O13:P13"/>
    <mergeCell ref="C14:D14"/>
    <mergeCell ref="F14:G14"/>
    <mergeCell ref="I14:J14"/>
    <mergeCell ref="C13:D13"/>
    <mergeCell ref="F13:G13"/>
    <mergeCell ref="I13:J13"/>
    <mergeCell ref="L13:M13"/>
    <mergeCell ref="C15:D15"/>
    <mergeCell ref="F15:G15"/>
    <mergeCell ref="I15:J15"/>
    <mergeCell ref="L15:M15"/>
    <mergeCell ref="O15:P15"/>
    <mergeCell ref="A22:S22"/>
    <mergeCell ref="B23:D23"/>
    <mergeCell ref="Q25:S25"/>
    <mergeCell ref="B25:D25"/>
    <mergeCell ref="O24:P24"/>
    <mergeCell ref="A1:S1"/>
    <mergeCell ref="N35:P35"/>
    <mergeCell ref="Q35:S35"/>
    <mergeCell ref="E35:G35"/>
    <mergeCell ref="H35:J35"/>
    <mergeCell ref="K35:M35"/>
    <mergeCell ref="E33:F33"/>
    <mergeCell ref="L24:M24"/>
    <mergeCell ref="A3:S3"/>
    <mergeCell ref="C24:D24"/>
    <mergeCell ref="K32:M32"/>
    <mergeCell ref="O14:P14"/>
    <mergeCell ref="R14:S14"/>
    <mergeCell ref="P16:P18"/>
    <mergeCell ref="S16:S18"/>
    <mergeCell ref="R19:S19"/>
    <mergeCell ref="L14:M14"/>
    <mergeCell ref="O19:P19"/>
    <mergeCell ref="C19:D19"/>
    <mergeCell ref="A29:A30"/>
    <mergeCell ref="H23:J23"/>
    <mergeCell ref="K23:M23"/>
    <mergeCell ref="N23:P23"/>
    <mergeCell ref="A26:M26"/>
    <mergeCell ref="N26:S26"/>
    <mergeCell ref="A33:A34"/>
    <mergeCell ref="B33:C33"/>
    <mergeCell ref="B34:C34"/>
    <mergeCell ref="B31:D31"/>
    <mergeCell ref="A27:S27"/>
    <mergeCell ref="E28:G28"/>
    <mergeCell ref="H28:J28"/>
    <mergeCell ref="Q23:S23"/>
    <mergeCell ref="E23:G23"/>
    <mergeCell ref="R24:S24"/>
    <mergeCell ref="K30:L30"/>
    <mergeCell ref="N30:O30"/>
    <mergeCell ref="Q30:R30"/>
    <mergeCell ref="T15:W18"/>
    <mergeCell ref="E31:G31"/>
    <mergeCell ref="H31:J31"/>
    <mergeCell ref="K31:M31"/>
    <mergeCell ref="N31:P31"/>
    <mergeCell ref="K28:M28"/>
    <mergeCell ref="I24:J24"/>
    <mergeCell ref="Q33:R33"/>
    <mergeCell ref="E34:F34"/>
    <mergeCell ref="H34:I34"/>
    <mergeCell ref="K34:L34"/>
    <mergeCell ref="N34:O34"/>
    <mergeCell ref="Q34:R34"/>
    <mergeCell ref="N32:P32"/>
    <mergeCell ref="H33:I33"/>
    <mergeCell ref="K33:L33"/>
    <mergeCell ref="H32:J32"/>
    <mergeCell ref="F24:G24"/>
    <mergeCell ref="N28:P28"/>
    <mergeCell ref="Q32:S32"/>
    <mergeCell ref="F19:G19"/>
    <mergeCell ref="I19:J19"/>
    <mergeCell ref="L19:M19"/>
    <mergeCell ref="N21:S21"/>
    <mergeCell ref="B35:D35"/>
    <mergeCell ref="B28:D28"/>
    <mergeCell ref="B32:D32"/>
    <mergeCell ref="E32:G32"/>
    <mergeCell ref="B29:C29"/>
    <mergeCell ref="B30:C30"/>
    <mergeCell ref="Q31:S31"/>
    <mergeCell ref="Q29:R29"/>
    <mergeCell ref="H30:I30"/>
    <mergeCell ref="N33:O33"/>
    <mergeCell ref="N29:O29"/>
    <mergeCell ref="E29:F29"/>
    <mergeCell ref="E30:F30"/>
    <mergeCell ref="H29:I29"/>
    <mergeCell ref="K29:L29"/>
    <mergeCell ref="Q28:S28"/>
  </mergeCells>
  <phoneticPr fontId="6" type="noConversion"/>
  <conditionalFormatting sqref="B34:D34">
    <cfRule type="expression" dxfId="64" priority="1" stopIfTrue="1">
      <formula>IF(ISBLANK($D$30),FALSE,TRUE)</formula>
    </cfRule>
  </conditionalFormatting>
  <conditionalFormatting sqref="E34:G34">
    <cfRule type="expression" dxfId="63" priority="2" stopIfTrue="1">
      <formula>IF(ISBLANK($G$30),FALSE,TRUE)</formula>
    </cfRule>
  </conditionalFormatting>
  <conditionalFormatting sqref="H34:J34">
    <cfRule type="expression" dxfId="62" priority="3" stopIfTrue="1">
      <formula>IF(ISBLANK($J$30),FALSE,TRUE)</formula>
    </cfRule>
  </conditionalFormatting>
  <conditionalFormatting sqref="K34:M34">
    <cfRule type="expression" dxfId="61" priority="4" stopIfTrue="1">
      <formula>IF(ISBLANK($M$30),FALSE,TRUE)</formula>
    </cfRule>
  </conditionalFormatting>
  <conditionalFormatting sqref="N34:P34">
    <cfRule type="expression" dxfId="60" priority="5" stopIfTrue="1">
      <formula>IF(ISBLANK($P$30),FALSE,TRUE)</formula>
    </cfRule>
  </conditionalFormatting>
  <conditionalFormatting sqref="Q34:S34">
    <cfRule type="expression" dxfId="59" priority="6" stopIfTrue="1">
      <formula>IF(ISBLANK($S$30),FALSE,TRUE)</formula>
    </cfRule>
  </conditionalFormatting>
  <hyperlinks>
    <hyperlink ref="A2:C2" location="def_mobile" display="Section 1: Utilization - Mobile Equipment"/>
    <hyperlink ref="B35" location="lease_detail" display="lease_detail"/>
    <hyperlink ref="E35" location="lease_detail" display="lease_detail"/>
    <hyperlink ref="H35" location="lease_detail" display="lease_detail"/>
    <hyperlink ref="K35" location="lease_detail" display="lease_detail"/>
    <hyperlink ref="N35" location="lease_detail" display="lease_detail"/>
    <hyperlink ref="Q35" location="lease_detail" display="lease_detail"/>
    <hyperlink ref="E31" location="lease_detail" display="lease_detail"/>
    <hyperlink ref="B31" location="lease_detail" display="lease_detail"/>
    <hyperlink ref="H31" location="lease_detail" display="lease_detail"/>
    <hyperlink ref="K31" location="lease_detail" display="lease_detail"/>
    <hyperlink ref="N31" location="lease_detail" display="lease_detail"/>
    <hyperlink ref="Q31" location="lease_detail" display="lease_detail"/>
    <hyperlink ref="B32" location="lease_detail" display="lease_detail"/>
    <hyperlink ref="B32:D32" location="mobile_locations" display="mobile_locations"/>
    <hyperlink ref="E32" location="lease_detail" display="lease_detail"/>
    <hyperlink ref="E32:G32" location="mobile_locations" display="mobile_locations"/>
    <hyperlink ref="H32" location="lease_detail" display="lease_detail"/>
    <hyperlink ref="H32:J32" location="mobile_locations" display="mobile_locations"/>
    <hyperlink ref="K32" location="lease_detail" display="lease_detail"/>
    <hyperlink ref="K32:M32" location="mobile_locations" display="mobile_locations"/>
    <hyperlink ref="N32" location="lease_detail" display="lease_detail"/>
    <hyperlink ref="N32:P32" location="mobile_locations" display="mobile_locations"/>
    <hyperlink ref="Q32" location="lease_detail" display="lease_detail"/>
    <hyperlink ref="Q32:S32" location="mobile_locations" display="mobile_locations"/>
    <hyperlink ref="N2:S2" location="text_07" display="Document Explanations if needed"/>
    <hyperlink ref="N21:S21" location="text_08" display="Document Explanations if needed"/>
    <hyperlink ref="N26:S26" location="text_09" display="Document Explanations if needed"/>
  </hyperlinks>
  <printOptions horizontalCentered="1"/>
  <pageMargins left="0.75" right="0.75" top="1" bottom="1" header="0.5" footer="0.5"/>
  <pageSetup scale="58" orientation="landscape"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P48"/>
  <sheetViews>
    <sheetView zoomScaleNormal="100" workbookViewId="0">
      <selection activeCell="J6" sqref="J6"/>
    </sheetView>
  </sheetViews>
  <sheetFormatPr defaultRowHeight="12.75" x14ac:dyDescent="0.2"/>
  <cols>
    <col min="1" max="1" width="3.7109375" style="127" customWidth="1"/>
    <col min="2" max="3" width="4.42578125" style="127" customWidth="1"/>
    <col min="4" max="4" width="3.7109375" style="127" customWidth="1"/>
    <col min="5" max="5" width="3.28515625" style="127" bestFit="1" customWidth="1"/>
    <col min="6" max="6" width="6.140625" style="127" customWidth="1"/>
    <col min="7" max="7" width="3.28515625" style="127" bestFit="1" customWidth="1"/>
    <col min="8" max="8" width="5.42578125" style="127" customWidth="1"/>
    <col min="9" max="9" width="3.28515625" style="127" bestFit="1" customWidth="1"/>
    <col min="10" max="10" width="11.85546875" style="127" customWidth="1"/>
    <col min="11" max="13" width="12.85546875" style="127" customWidth="1"/>
    <col min="14" max="14" width="15.140625" style="127" customWidth="1"/>
    <col min="15" max="15" width="11.85546875" style="127" customWidth="1"/>
    <col min="16" max="16" width="15.140625" style="127" customWidth="1"/>
    <col min="17" max="17" width="15.85546875" style="127" customWidth="1"/>
    <col min="18" max="18" width="15.140625" style="127" customWidth="1"/>
    <col min="19" max="19" width="9.140625" style="127"/>
    <col min="20" max="20" width="5.7109375" style="127" bestFit="1" customWidth="1"/>
    <col min="21" max="21" width="6.28515625" style="127" bestFit="1" customWidth="1"/>
    <col min="22" max="23" width="12.7109375" style="127" bestFit="1" customWidth="1"/>
    <col min="24" max="24" width="10" style="127" bestFit="1" customWidth="1"/>
    <col min="25" max="16384" width="9.140625" style="127"/>
  </cols>
  <sheetData>
    <row r="1" spans="1:42" ht="24.95" customHeight="1" thickBot="1" x14ac:dyDescent="0.25">
      <c r="A1" s="954" t="e">
        <f>CONCATENATE('Demog Contact'!D$5," ",'Demog Contact'!D$6)</f>
        <v>#N/A</v>
      </c>
      <c r="B1" s="954"/>
      <c r="C1" s="954"/>
      <c r="D1" s="954"/>
      <c r="E1" s="1040"/>
      <c r="F1" s="1040"/>
      <c r="G1" s="1040"/>
      <c r="H1" s="1040"/>
      <c r="I1" s="1040"/>
      <c r="J1" s="1040"/>
      <c r="K1" s="1040"/>
      <c r="L1" s="1040"/>
      <c r="M1" s="1040"/>
      <c r="N1" s="1040"/>
      <c r="O1" s="1040"/>
      <c r="P1" s="1040"/>
      <c r="Q1" s="1040"/>
      <c r="R1" s="1040"/>
      <c r="S1" s="1040"/>
      <c r="T1" s="1040"/>
      <c r="U1" s="1040"/>
      <c r="V1" s="1040"/>
      <c r="W1" s="1040"/>
    </row>
    <row r="2" spans="1:42" s="291" customFormat="1" ht="24.95" customHeight="1" x14ac:dyDescent="0.2">
      <c r="A2" s="1008" t="s">
        <v>110</v>
      </c>
      <c r="B2" s="974"/>
      <c r="C2" s="974"/>
      <c r="D2" s="974"/>
      <c r="E2" s="974"/>
      <c r="F2" s="974"/>
      <c r="G2" s="974"/>
      <c r="H2" s="974"/>
      <c r="I2" s="974"/>
      <c r="J2" s="974"/>
      <c r="K2" s="974"/>
      <c r="L2" s="974"/>
      <c r="M2" s="974"/>
      <c r="N2" s="1050" t="str">
        <f>CONCATENATE("Fiscal Year ",'Demog Contact'!N1)</f>
        <v>Fiscal Year 2019</v>
      </c>
      <c r="O2" s="1050"/>
      <c r="P2" s="1050"/>
      <c r="Q2" s="965" t="s">
        <v>413</v>
      </c>
      <c r="R2" s="965"/>
      <c r="S2" s="965"/>
      <c r="T2" s="965"/>
      <c r="U2" s="965"/>
      <c r="V2" s="965"/>
      <c r="W2" s="966"/>
    </row>
    <row r="3" spans="1:42" ht="24.95" customHeight="1" x14ac:dyDescent="0.2">
      <c r="A3" s="1041" t="s">
        <v>685</v>
      </c>
      <c r="B3" s="1042"/>
      <c r="C3" s="1042"/>
      <c r="D3" s="1042"/>
      <c r="E3" s="1043"/>
      <c r="F3" s="1043"/>
      <c r="G3" s="1043"/>
      <c r="H3" s="1043"/>
      <c r="I3" s="1043"/>
      <c r="J3" s="1043"/>
      <c r="K3" s="1043"/>
      <c r="L3" s="1043"/>
      <c r="M3" s="1043"/>
      <c r="N3" s="1043"/>
      <c r="O3" s="1043"/>
      <c r="P3" s="1043"/>
      <c r="Q3" s="1043"/>
      <c r="R3" s="1043"/>
      <c r="S3" s="1043"/>
      <c r="T3" s="1043"/>
      <c r="U3" s="1043"/>
      <c r="V3" s="1043"/>
      <c r="W3" s="1044"/>
    </row>
    <row r="4" spans="1:42" ht="30" customHeight="1" x14ac:dyDescent="0.2">
      <c r="A4" s="1045" t="s">
        <v>99</v>
      </c>
      <c r="B4" s="1001"/>
      <c r="C4" s="1046"/>
      <c r="D4" s="1047" t="s">
        <v>100</v>
      </c>
      <c r="E4" s="1048"/>
      <c r="F4" s="1048"/>
      <c r="G4" s="1048"/>
      <c r="H4" s="1048"/>
      <c r="I4" s="1048"/>
      <c r="J4" s="1049" t="s">
        <v>116</v>
      </c>
      <c r="K4" s="1049"/>
      <c r="L4" s="307"/>
      <c r="M4" s="307"/>
      <c r="N4" s="308"/>
      <c r="O4" s="308"/>
      <c r="P4" s="308"/>
      <c r="Q4" s="308"/>
      <c r="R4" s="308"/>
      <c r="S4" s="308"/>
      <c r="T4" s="308"/>
      <c r="U4" s="308"/>
      <c r="V4" s="308"/>
      <c r="W4" s="309"/>
    </row>
    <row r="5" spans="1:42" ht="65.25" customHeight="1" thickBot="1" x14ac:dyDescent="0.25">
      <c r="A5" s="310" t="s">
        <v>92</v>
      </c>
      <c r="B5" s="311" t="s">
        <v>93</v>
      </c>
      <c r="C5" s="312" t="s">
        <v>94</v>
      </c>
      <c r="D5" s="313" t="s">
        <v>273</v>
      </c>
      <c r="E5" s="314" t="s">
        <v>274</v>
      </c>
      <c r="F5" s="315" t="s">
        <v>275</v>
      </c>
      <c r="G5" s="314" t="s">
        <v>276</v>
      </c>
      <c r="H5" s="315" t="s">
        <v>277</v>
      </c>
      <c r="I5" s="316" t="s">
        <v>278</v>
      </c>
      <c r="J5" s="317" t="s">
        <v>686</v>
      </c>
      <c r="K5" s="317" t="s">
        <v>687</v>
      </c>
      <c r="L5" s="318" t="s">
        <v>98</v>
      </c>
      <c r="M5" s="319" t="s">
        <v>240</v>
      </c>
      <c r="N5" s="319" t="s">
        <v>272</v>
      </c>
      <c r="O5" s="320" t="s">
        <v>87</v>
      </c>
      <c r="P5" s="319" t="s">
        <v>51</v>
      </c>
      <c r="Q5" s="319" t="s">
        <v>52</v>
      </c>
      <c r="R5" s="319" t="s">
        <v>127</v>
      </c>
      <c r="S5" s="319" t="s">
        <v>128</v>
      </c>
      <c r="T5" s="319" t="s">
        <v>136</v>
      </c>
      <c r="U5" s="319" t="s">
        <v>42</v>
      </c>
      <c r="V5" s="321" t="s">
        <v>271</v>
      </c>
      <c r="W5" s="322" t="s">
        <v>45</v>
      </c>
      <c r="AF5" s="323"/>
      <c r="AH5" s="324"/>
      <c r="AI5" s="324"/>
      <c r="AK5" s="324"/>
      <c r="AL5" s="324"/>
      <c r="AN5" s="324"/>
      <c r="AO5" s="324"/>
      <c r="AP5" s="325"/>
    </row>
    <row r="6" spans="1:42" x14ac:dyDescent="0.2">
      <c r="A6" s="326"/>
      <c r="B6" s="327"/>
      <c r="C6" s="327"/>
      <c r="D6" s="327"/>
      <c r="E6" s="327"/>
      <c r="F6" s="327"/>
      <c r="G6" s="327"/>
      <c r="H6" s="327"/>
      <c r="I6" s="327"/>
      <c r="J6" s="328"/>
      <c r="K6" s="328"/>
      <c r="L6" s="327"/>
      <c r="M6" s="328"/>
      <c r="N6" s="329" t="str">
        <f t="shared" ref="N6:N48" si="0">IF(AND(ISBLANK($J6),ISBLANK($K6)),"",VLOOKUP(MAX($J6,$K6),lease_id_list,2,FALSE))</f>
        <v/>
      </c>
      <c r="O6" s="328" t="str">
        <f t="shared" ref="O6:O48" si="1">IF(AND(ISBLANK($J6),ISBLANK($K6)),"",VLOOKUP(MAX($J6,$K6),lease_id_list,7,FALSE))</f>
        <v/>
      </c>
      <c r="P6" s="328"/>
      <c r="Q6" s="328"/>
      <c r="R6" s="328" t="str">
        <f t="shared" ref="R6:R48" si="2">IF(AND(ISBLANK($J6),ISBLANK($K6)),"",VLOOKUP(MAX($J6,$K6),lease_id_list,4,FALSE))</f>
        <v/>
      </c>
      <c r="S6" s="328" t="str">
        <f t="shared" ref="S6:S48" si="3">IF(AND(ISBLANK($J6),ISBLANK($K6)),"",VLOOKUP(MAX($J6,$K6),lease_id_list,3,FALSE))</f>
        <v/>
      </c>
      <c r="T6" s="328" t="str">
        <f t="shared" ref="T6:T48" si="4">IF(AND(ISBLANK($J6),ISBLANK($K6)),"",VLOOKUP(MAX($J6,$K6),lease_id_list,5,FALSE))</f>
        <v/>
      </c>
      <c r="U6" s="328" t="str">
        <f t="shared" ref="U6:U48" si="5">IF(AND(ISBLANK($J6),ISBLANK($K6)),"",VLOOKUP(MAX($J6,$K6),lease_id_list,6,FALSE))</f>
        <v/>
      </c>
      <c r="V6" s="328"/>
      <c r="W6" s="330"/>
    </row>
    <row r="7" spans="1:42" x14ac:dyDescent="0.2">
      <c r="A7" s="331"/>
      <c r="B7" s="328"/>
      <c r="C7" s="328"/>
      <c r="D7" s="328"/>
      <c r="E7" s="328"/>
      <c r="F7" s="328"/>
      <c r="G7" s="328"/>
      <c r="H7" s="328"/>
      <c r="I7" s="328"/>
      <c r="J7" s="328"/>
      <c r="K7" s="328"/>
      <c r="L7" s="328"/>
      <c r="M7" s="328"/>
      <c r="N7" s="329" t="str">
        <f t="shared" si="0"/>
        <v/>
      </c>
      <c r="O7" s="328" t="str">
        <f t="shared" si="1"/>
        <v/>
      </c>
      <c r="P7" s="328"/>
      <c r="Q7" s="328"/>
      <c r="R7" s="328" t="str">
        <f t="shared" si="2"/>
        <v/>
      </c>
      <c r="S7" s="328" t="str">
        <f t="shared" si="3"/>
        <v/>
      </c>
      <c r="T7" s="328" t="str">
        <f t="shared" si="4"/>
        <v/>
      </c>
      <c r="U7" s="328" t="str">
        <f t="shared" si="5"/>
        <v/>
      </c>
      <c r="V7" s="328"/>
      <c r="W7" s="330"/>
    </row>
    <row r="8" spans="1:42" x14ac:dyDescent="0.2">
      <c r="A8" s="331"/>
      <c r="B8" s="328"/>
      <c r="C8" s="328"/>
      <c r="D8" s="328"/>
      <c r="E8" s="328"/>
      <c r="F8" s="328"/>
      <c r="G8" s="328"/>
      <c r="H8" s="328"/>
      <c r="I8" s="328"/>
      <c r="J8" s="328"/>
      <c r="K8" s="328"/>
      <c r="L8" s="328"/>
      <c r="M8" s="328"/>
      <c r="N8" s="329" t="str">
        <f t="shared" si="0"/>
        <v/>
      </c>
      <c r="O8" s="328" t="str">
        <f t="shared" si="1"/>
        <v/>
      </c>
      <c r="P8" s="328"/>
      <c r="Q8" s="328"/>
      <c r="R8" s="328" t="str">
        <f t="shared" si="2"/>
        <v/>
      </c>
      <c r="S8" s="328" t="str">
        <f t="shared" si="3"/>
        <v/>
      </c>
      <c r="T8" s="328" t="str">
        <f t="shared" si="4"/>
        <v/>
      </c>
      <c r="U8" s="328" t="str">
        <f t="shared" si="5"/>
        <v/>
      </c>
      <c r="V8" s="328"/>
      <c r="W8" s="330"/>
    </row>
    <row r="9" spans="1:42" x14ac:dyDescent="0.2">
      <c r="A9" s="331"/>
      <c r="B9" s="328"/>
      <c r="C9" s="328"/>
      <c r="D9" s="328"/>
      <c r="E9" s="328"/>
      <c r="F9" s="328"/>
      <c r="G9" s="328"/>
      <c r="H9" s="328"/>
      <c r="I9" s="328"/>
      <c r="J9" s="328"/>
      <c r="K9" s="328"/>
      <c r="L9" s="328"/>
      <c r="M9" s="328"/>
      <c r="N9" s="329" t="str">
        <f t="shared" si="0"/>
        <v/>
      </c>
      <c r="O9" s="328" t="str">
        <f t="shared" si="1"/>
        <v/>
      </c>
      <c r="P9" s="328"/>
      <c r="Q9" s="328"/>
      <c r="R9" s="328" t="str">
        <f t="shared" si="2"/>
        <v/>
      </c>
      <c r="S9" s="328" t="str">
        <f t="shared" si="3"/>
        <v/>
      </c>
      <c r="T9" s="328" t="str">
        <f t="shared" si="4"/>
        <v/>
      </c>
      <c r="U9" s="328" t="str">
        <f t="shared" si="5"/>
        <v/>
      </c>
      <c r="V9" s="328"/>
      <c r="W9" s="330"/>
    </row>
    <row r="10" spans="1:42" x14ac:dyDescent="0.2">
      <c r="A10" s="331"/>
      <c r="B10" s="328"/>
      <c r="C10" s="328"/>
      <c r="D10" s="328"/>
      <c r="E10" s="328"/>
      <c r="F10" s="328"/>
      <c r="G10" s="328"/>
      <c r="H10" s="328"/>
      <c r="I10" s="328"/>
      <c r="J10" s="328"/>
      <c r="K10" s="328"/>
      <c r="L10" s="328"/>
      <c r="M10" s="328"/>
      <c r="N10" s="329" t="str">
        <f t="shared" si="0"/>
        <v/>
      </c>
      <c r="O10" s="328" t="str">
        <f t="shared" si="1"/>
        <v/>
      </c>
      <c r="P10" s="328"/>
      <c r="Q10" s="328"/>
      <c r="R10" s="328" t="str">
        <f t="shared" si="2"/>
        <v/>
      </c>
      <c r="S10" s="328" t="str">
        <f t="shared" si="3"/>
        <v/>
      </c>
      <c r="T10" s="328" t="str">
        <f t="shared" si="4"/>
        <v/>
      </c>
      <c r="U10" s="328" t="str">
        <f t="shared" si="5"/>
        <v/>
      </c>
      <c r="V10" s="328"/>
      <c r="W10" s="330"/>
    </row>
    <row r="11" spans="1:42" x14ac:dyDescent="0.2">
      <c r="A11" s="331"/>
      <c r="B11" s="328"/>
      <c r="C11" s="328"/>
      <c r="D11" s="328"/>
      <c r="E11" s="328"/>
      <c r="F11" s="328"/>
      <c r="G11" s="328"/>
      <c r="H11" s="328"/>
      <c r="I11" s="328"/>
      <c r="J11" s="328"/>
      <c r="K11" s="328"/>
      <c r="L11" s="328"/>
      <c r="M11" s="328"/>
      <c r="N11" s="329" t="str">
        <f t="shared" si="0"/>
        <v/>
      </c>
      <c r="O11" s="328" t="str">
        <f t="shared" si="1"/>
        <v/>
      </c>
      <c r="P11" s="328"/>
      <c r="Q11" s="328"/>
      <c r="R11" s="328" t="str">
        <f t="shared" si="2"/>
        <v/>
      </c>
      <c r="S11" s="328" t="str">
        <f t="shared" si="3"/>
        <v/>
      </c>
      <c r="T11" s="328" t="str">
        <f t="shared" si="4"/>
        <v/>
      </c>
      <c r="U11" s="328" t="str">
        <f t="shared" si="5"/>
        <v/>
      </c>
      <c r="V11" s="328"/>
      <c r="W11" s="330"/>
    </row>
    <row r="12" spans="1:42" x14ac:dyDescent="0.2">
      <c r="A12" s="331"/>
      <c r="B12" s="328"/>
      <c r="C12" s="328"/>
      <c r="D12" s="328"/>
      <c r="E12" s="328"/>
      <c r="F12" s="328"/>
      <c r="G12" s="328"/>
      <c r="H12" s="328"/>
      <c r="I12" s="328"/>
      <c r="J12" s="328"/>
      <c r="K12" s="328"/>
      <c r="L12" s="328"/>
      <c r="M12" s="328"/>
      <c r="N12" s="329" t="str">
        <f t="shared" si="0"/>
        <v/>
      </c>
      <c r="O12" s="328" t="str">
        <f t="shared" si="1"/>
        <v/>
      </c>
      <c r="P12" s="328"/>
      <c r="Q12" s="328"/>
      <c r="R12" s="328" t="str">
        <f t="shared" si="2"/>
        <v/>
      </c>
      <c r="S12" s="328" t="str">
        <f t="shared" si="3"/>
        <v/>
      </c>
      <c r="T12" s="328" t="str">
        <f t="shared" si="4"/>
        <v/>
      </c>
      <c r="U12" s="328" t="str">
        <f t="shared" si="5"/>
        <v/>
      </c>
      <c r="V12" s="328"/>
      <c r="W12" s="330"/>
    </row>
    <row r="13" spans="1:42" x14ac:dyDescent="0.2">
      <c r="A13" s="331"/>
      <c r="B13" s="328"/>
      <c r="C13" s="328"/>
      <c r="D13" s="328"/>
      <c r="E13" s="328"/>
      <c r="F13" s="328"/>
      <c r="G13" s="328"/>
      <c r="H13" s="328"/>
      <c r="I13" s="328"/>
      <c r="J13" s="328"/>
      <c r="K13" s="328"/>
      <c r="L13" s="328"/>
      <c r="M13" s="328"/>
      <c r="N13" s="329" t="str">
        <f t="shared" si="0"/>
        <v/>
      </c>
      <c r="O13" s="328" t="str">
        <f t="shared" si="1"/>
        <v/>
      </c>
      <c r="P13" s="328"/>
      <c r="Q13" s="328"/>
      <c r="R13" s="328" t="str">
        <f t="shared" si="2"/>
        <v/>
      </c>
      <c r="S13" s="328" t="str">
        <f t="shared" si="3"/>
        <v/>
      </c>
      <c r="T13" s="328" t="str">
        <f t="shared" si="4"/>
        <v/>
      </c>
      <c r="U13" s="328" t="str">
        <f t="shared" si="5"/>
        <v/>
      </c>
      <c r="V13" s="328"/>
      <c r="W13" s="330"/>
    </row>
    <row r="14" spans="1:42" x14ac:dyDescent="0.2">
      <c r="A14" s="331"/>
      <c r="B14" s="328"/>
      <c r="C14" s="328"/>
      <c r="D14" s="328"/>
      <c r="E14" s="328"/>
      <c r="F14" s="328"/>
      <c r="G14" s="328"/>
      <c r="H14" s="328"/>
      <c r="I14" s="328"/>
      <c r="J14" s="328"/>
      <c r="K14" s="328"/>
      <c r="L14" s="328"/>
      <c r="M14" s="328"/>
      <c r="N14" s="329" t="str">
        <f t="shared" si="0"/>
        <v/>
      </c>
      <c r="O14" s="328" t="str">
        <f t="shared" si="1"/>
        <v/>
      </c>
      <c r="P14" s="328"/>
      <c r="Q14" s="328"/>
      <c r="R14" s="328" t="str">
        <f t="shared" si="2"/>
        <v/>
      </c>
      <c r="S14" s="328" t="str">
        <f t="shared" si="3"/>
        <v/>
      </c>
      <c r="T14" s="328" t="str">
        <f t="shared" si="4"/>
        <v/>
      </c>
      <c r="U14" s="328" t="str">
        <f t="shared" si="5"/>
        <v/>
      </c>
      <c r="V14" s="328"/>
      <c r="W14" s="330"/>
    </row>
    <row r="15" spans="1:42" x14ac:dyDescent="0.2">
      <c r="A15" s="331"/>
      <c r="B15" s="328"/>
      <c r="C15" s="328"/>
      <c r="D15" s="328"/>
      <c r="E15" s="328"/>
      <c r="F15" s="328"/>
      <c r="G15" s="328"/>
      <c r="H15" s="328"/>
      <c r="I15" s="328"/>
      <c r="J15" s="328"/>
      <c r="K15" s="328"/>
      <c r="L15" s="328"/>
      <c r="M15" s="328"/>
      <c r="N15" s="329" t="str">
        <f t="shared" si="0"/>
        <v/>
      </c>
      <c r="O15" s="328" t="str">
        <f t="shared" si="1"/>
        <v/>
      </c>
      <c r="P15" s="328"/>
      <c r="Q15" s="328"/>
      <c r="R15" s="328" t="str">
        <f t="shared" si="2"/>
        <v/>
      </c>
      <c r="S15" s="328" t="str">
        <f t="shared" si="3"/>
        <v/>
      </c>
      <c r="T15" s="328" t="str">
        <f t="shared" si="4"/>
        <v/>
      </c>
      <c r="U15" s="328" t="str">
        <f t="shared" si="5"/>
        <v/>
      </c>
      <c r="V15" s="328"/>
      <c r="W15" s="330"/>
    </row>
    <row r="16" spans="1:42" x14ac:dyDescent="0.2">
      <c r="A16" s="331"/>
      <c r="B16" s="328"/>
      <c r="C16" s="328"/>
      <c r="D16" s="328"/>
      <c r="E16" s="328"/>
      <c r="F16" s="328"/>
      <c r="G16" s="328"/>
      <c r="H16" s="328"/>
      <c r="I16" s="328"/>
      <c r="J16" s="328"/>
      <c r="K16" s="328"/>
      <c r="L16" s="328"/>
      <c r="M16" s="328"/>
      <c r="N16" s="329" t="str">
        <f t="shared" si="0"/>
        <v/>
      </c>
      <c r="O16" s="328" t="str">
        <f t="shared" si="1"/>
        <v/>
      </c>
      <c r="P16" s="328"/>
      <c r="Q16" s="328"/>
      <c r="R16" s="328" t="str">
        <f t="shared" si="2"/>
        <v/>
      </c>
      <c r="S16" s="328" t="str">
        <f t="shared" si="3"/>
        <v/>
      </c>
      <c r="T16" s="328" t="str">
        <f t="shared" si="4"/>
        <v/>
      </c>
      <c r="U16" s="328" t="str">
        <f t="shared" si="5"/>
        <v/>
      </c>
      <c r="V16" s="328"/>
      <c r="W16" s="330"/>
    </row>
    <row r="17" spans="1:23" x14ac:dyDescent="0.2">
      <c r="A17" s="331"/>
      <c r="B17" s="328"/>
      <c r="C17" s="328"/>
      <c r="D17" s="328"/>
      <c r="E17" s="328"/>
      <c r="F17" s="328"/>
      <c r="G17" s="328"/>
      <c r="H17" s="328"/>
      <c r="I17" s="328"/>
      <c r="J17" s="328"/>
      <c r="K17" s="328"/>
      <c r="L17" s="328"/>
      <c r="M17" s="328"/>
      <c r="N17" s="329" t="str">
        <f t="shared" si="0"/>
        <v/>
      </c>
      <c r="O17" s="328" t="str">
        <f t="shared" si="1"/>
        <v/>
      </c>
      <c r="P17" s="328"/>
      <c r="Q17" s="328"/>
      <c r="R17" s="328" t="str">
        <f t="shared" si="2"/>
        <v/>
      </c>
      <c r="S17" s="328" t="str">
        <f t="shared" si="3"/>
        <v/>
      </c>
      <c r="T17" s="328" t="str">
        <f t="shared" si="4"/>
        <v/>
      </c>
      <c r="U17" s="328" t="str">
        <f t="shared" si="5"/>
        <v/>
      </c>
      <c r="V17" s="328"/>
      <c r="W17" s="330"/>
    </row>
    <row r="18" spans="1:23" x14ac:dyDescent="0.2">
      <c r="A18" s="331"/>
      <c r="B18" s="328"/>
      <c r="C18" s="328"/>
      <c r="D18" s="328"/>
      <c r="E18" s="328"/>
      <c r="F18" s="328"/>
      <c r="G18" s="328"/>
      <c r="H18" s="328"/>
      <c r="I18" s="328"/>
      <c r="J18" s="328"/>
      <c r="K18" s="328"/>
      <c r="L18" s="328"/>
      <c r="M18" s="328"/>
      <c r="N18" s="329" t="str">
        <f t="shared" si="0"/>
        <v/>
      </c>
      <c r="O18" s="328" t="str">
        <f t="shared" si="1"/>
        <v/>
      </c>
      <c r="P18" s="328"/>
      <c r="Q18" s="328"/>
      <c r="R18" s="328" t="str">
        <f t="shared" si="2"/>
        <v/>
      </c>
      <c r="S18" s="328" t="str">
        <f t="shared" si="3"/>
        <v/>
      </c>
      <c r="T18" s="328" t="str">
        <f t="shared" si="4"/>
        <v/>
      </c>
      <c r="U18" s="328" t="str">
        <f t="shared" si="5"/>
        <v/>
      </c>
      <c r="V18" s="328"/>
      <c r="W18" s="330"/>
    </row>
    <row r="19" spans="1:23" x14ac:dyDescent="0.2">
      <c r="A19" s="331"/>
      <c r="B19" s="328"/>
      <c r="C19" s="328"/>
      <c r="D19" s="328"/>
      <c r="E19" s="328"/>
      <c r="F19" s="328"/>
      <c r="G19" s="328"/>
      <c r="H19" s="328"/>
      <c r="I19" s="328"/>
      <c r="J19" s="328"/>
      <c r="K19" s="328"/>
      <c r="L19" s="328"/>
      <c r="M19" s="328"/>
      <c r="N19" s="329" t="str">
        <f t="shared" si="0"/>
        <v/>
      </c>
      <c r="O19" s="328" t="str">
        <f t="shared" si="1"/>
        <v/>
      </c>
      <c r="P19" s="328"/>
      <c r="Q19" s="328"/>
      <c r="R19" s="328" t="str">
        <f t="shared" si="2"/>
        <v/>
      </c>
      <c r="S19" s="328" t="str">
        <f t="shared" si="3"/>
        <v/>
      </c>
      <c r="T19" s="328" t="str">
        <f t="shared" si="4"/>
        <v/>
      </c>
      <c r="U19" s="328" t="str">
        <f t="shared" si="5"/>
        <v/>
      </c>
      <c r="V19" s="328"/>
      <c r="W19" s="330"/>
    </row>
    <row r="20" spans="1:23" x14ac:dyDescent="0.2">
      <c r="A20" s="331"/>
      <c r="B20" s="328"/>
      <c r="C20" s="328"/>
      <c r="D20" s="328"/>
      <c r="E20" s="328"/>
      <c r="F20" s="328"/>
      <c r="G20" s="328"/>
      <c r="H20" s="328"/>
      <c r="I20" s="328"/>
      <c r="J20" s="328"/>
      <c r="K20" s="328"/>
      <c r="L20" s="328"/>
      <c r="M20" s="328"/>
      <c r="N20" s="329" t="str">
        <f t="shared" si="0"/>
        <v/>
      </c>
      <c r="O20" s="328" t="str">
        <f t="shared" si="1"/>
        <v/>
      </c>
      <c r="P20" s="328"/>
      <c r="Q20" s="328"/>
      <c r="R20" s="328" t="str">
        <f t="shared" si="2"/>
        <v/>
      </c>
      <c r="S20" s="328" t="str">
        <f t="shared" si="3"/>
        <v/>
      </c>
      <c r="T20" s="328" t="str">
        <f t="shared" si="4"/>
        <v/>
      </c>
      <c r="U20" s="328" t="str">
        <f t="shared" si="5"/>
        <v/>
      </c>
      <c r="V20" s="328"/>
      <c r="W20" s="330"/>
    </row>
    <row r="21" spans="1:23" x14ac:dyDescent="0.2">
      <c r="A21" s="331"/>
      <c r="B21" s="328"/>
      <c r="C21" s="328"/>
      <c r="D21" s="328"/>
      <c r="E21" s="328"/>
      <c r="F21" s="328"/>
      <c r="G21" s="328"/>
      <c r="H21" s="328"/>
      <c r="I21" s="328"/>
      <c r="J21" s="328"/>
      <c r="K21" s="328"/>
      <c r="L21" s="328"/>
      <c r="M21" s="328"/>
      <c r="N21" s="329" t="str">
        <f t="shared" si="0"/>
        <v/>
      </c>
      <c r="O21" s="328" t="str">
        <f t="shared" si="1"/>
        <v/>
      </c>
      <c r="P21" s="328"/>
      <c r="Q21" s="328"/>
      <c r="R21" s="328" t="str">
        <f t="shared" si="2"/>
        <v/>
      </c>
      <c r="S21" s="328" t="str">
        <f t="shared" si="3"/>
        <v/>
      </c>
      <c r="T21" s="328" t="str">
        <f t="shared" si="4"/>
        <v/>
      </c>
      <c r="U21" s="328" t="str">
        <f t="shared" si="5"/>
        <v/>
      </c>
      <c r="V21" s="328"/>
      <c r="W21" s="330"/>
    </row>
    <row r="22" spans="1:23" x14ac:dyDescent="0.2">
      <c r="A22" s="331"/>
      <c r="B22" s="328"/>
      <c r="C22" s="328"/>
      <c r="D22" s="328"/>
      <c r="E22" s="328"/>
      <c r="F22" s="328"/>
      <c r="G22" s="328"/>
      <c r="H22" s="328"/>
      <c r="I22" s="328"/>
      <c r="J22" s="328"/>
      <c r="K22" s="328"/>
      <c r="L22" s="328"/>
      <c r="M22" s="328"/>
      <c r="N22" s="329" t="str">
        <f t="shared" si="0"/>
        <v/>
      </c>
      <c r="O22" s="328" t="str">
        <f t="shared" si="1"/>
        <v/>
      </c>
      <c r="P22" s="328"/>
      <c r="Q22" s="328"/>
      <c r="R22" s="328" t="str">
        <f t="shared" si="2"/>
        <v/>
      </c>
      <c r="S22" s="328" t="str">
        <f t="shared" si="3"/>
        <v/>
      </c>
      <c r="T22" s="328" t="str">
        <f t="shared" si="4"/>
        <v/>
      </c>
      <c r="U22" s="328" t="str">
        <f t="shared" si="5"/>
        <v/>
      </c>
      <c r="V22" s="328"/>
      <c r="W22" s="330"/>
    </row>
    <row r="23" spans="1:23" x14ac:dyDescent="0.2">
      <c r="A23" s="331"/>
      <c r="B23" s="328"/>
      <c r="C23" s="328"/>
      <c r="D23" s="328"/>
      <c r="E23" s="328"/>
      <c r="F23" s="328"/>
      <c r="G23" s="328"/>
      <c r="H23" s="328"/>
      <c r="I23" s="328"/>
      <c r="J23" s="328"/>
      <c r="K23" s="328"/>
      <c r="L23" s="328"/>
      <c r="M23" s="328"/>
      <c r="N23" s="329" t="str">
        <f t="shared" si="0"/>
        <v/>
      </c>
      <c r="O23" s="328" t="str">
        <f t="shared" si="1"/>
        <v/>
      </c>
      <c r="P23" s="328"/>
      <c r="Q23" s="328"/>
      <c r="R23" s="328" t="str">
        <f t="shared" si="2"/>
        <v/>
      </c>
      <c r="S23" s="328" t="str">
        <f t="shared" si="3"/>
        <v/>
      </c>
      <c r="T23" s="328" t="str">
        <f t="shared" si="4"/>
        <v/>
      </c>
      <c r="U23" s="328" t="str">
        <f t="shared" si="5"/>
        <v/>
      </c>
      <c r="V23" s="328"/>
      <c r="W23" s="330"/>
    </row>
    <row r="24" spans="1:23" x14ac:dyDescent="0.2">
      <c r="A24" s="331"/>
      <c r="B24" s="328"/>
      <c r="C24" s="328"/>
      <c r="D24" s="328"/>
      <c r="E24" s="328"/>
      <c r="F24" s="328"/>
      <c r="G24" s="328"/>
      <c r="H24" s="328"/>
      <c r="I24" s="328"/>
      <c r="J24" s="328"/>
      <c r="K24" s="328"/>
      <c r="L24" s="328"/>
      <c r="M24" s="328"/>
      <c r="N24" s="329" t="str">
        <f t="shared" si="0"/>
        <v/>
      </c>
      <c r="O24" s="328" t="str">
        <f t="shared" si="1"/>
        <v/>
      </c>
      <c r="P24" s="328"/>
      <c r="Q24" s="328"/>
      <c r="R24" s="328" t="str">
        <f t="shared" si="2"/>
        <v/>
      </c>
      <c r="S24" s="328" t="str">
        <f t="shared" si="3"/>
        <v/>
      </c>
      <c r="T24" s="328" t="str">
        <f t="shared" si="4"/>
        <v/>
      </c>
      <c r="U24" s="328" t="str">
        <f t="shared" si="5"/>
        <v/>
      </c>
      <c r="V24" s="328"/>
      <c r="W24" s="330"/>
    </row>
    <row r="25" spans="1:23" x14ac:dyDescent="0.2">
      <c r="A25" s="331"/>
      <c r="B25" s="328"/>
      <c r="C25" s="328"/>
      <c r="D25" s="328"/>
      <c r="E25" s="328"/>
      <c r="F25" s="328"/>
      <c r="G25" s="328"/>
      <c r="H25" s="328"/>
      <c r="I25" s="328"/>
      <c r="J25" s="328"/>
      <c r="K25" s="328"/>
      <c r="L25" s="328"/>
      <c r="M25" s="328"/>
      <c r="N25" s="329" t="str">
        <f t="shared" si="0"/>
        <v/>
      </c>
      <c r="O25" s="328" t="str">
        <f t="shared" si="1"/>
        <v/>
      </c>
      <c r="P25" s="328"/>
      <c r="Q25" s="328"/>
      <c r="R25" s="328" t="str">
        <f t="shared" si="2"/>
        <v/>
      </c>
      <c r="S25" s="328" t="str">
        <f t="shared" si="3"/>
        <v/>
      </c>
      <c r="T25" s="328" t="str">
        <f t="shared" si="4"/>
        <v/>
      </c>
      <c r="U25" s="328" t="str">
        <f t="shared" si="5"/>
        <v/>
      </c>
      <c r="V25" s="328"/>
      <c r="W25" s="330"/>
    </row>
    <row r="26" spans="1:23" x14ac:dyDescent="0.2">
      <c r="A26" s="331"/>
      <c r="B26" s="328"/>
      <c r="C26" s="328"/>
      <c r="D26" s="328"/>
      <c r="E26" s="328"/>
      <c r="F26" s="328"/>
      <c r="G26" s="328"/>
      <c r="H26" s="328"/>
      <c r="I26" s="328"/>
      <c r="J26" s="328"/>
      <c r="K26" s="328"/>
      <c r="L26" s="328"/>
      <c r="M26" s="328"/>
      <c r="N26" s="329" t="str">
        <f t="shared" si="0"/>
        <v/>
      </c>
      <c r="O26" s="328" t="str">
        <f t="shared" si="1"/>
        <v/>
      </c>
      <c r="P26" s="328"/>
      <c r="Q26" s="328"/>
      <c r="R26" s="328" t="str">
        <f t="shared" si="2"/>
        <v/>
      </c>
      <c r="S26" s="328" t="str">
        <f t="shared" si="3"/>
        <v/>
      </c>
      <c r="T26" s="328" t="str">
        <f t="shared" si="4"/>
        <v/>
      </c>
      <c r="U26" s="328" t="str">
        <f t="shared" si="5"/>
        <v/>
      </c>
      <c r="V26" s="328"/>
      <c r="W26" s="330"/>
    </row>
    <row r="27" spans="1:23" x14ac:dyDescent="0.2">
      <c r="A27" s="331"/>
      <c r="B27" s="328"/>
      <c r="C27" s="328"/>
      <c r="D27" s="328"/>
      <c r="E27" s="328"/>
      <c r="F27" s="328"/>
      <c r="G27" s="328"/>
      <c r="H27" s="328"/>
      <c r="I27" s="328"/>
      <c r="J27" s="328"/>
      <c r="K27" s="328"/>
      <c r="L27" s="328"/>
      <c r="M27" s="328"/>
      <c r="N27" s="329" t="str">
        <f t="shared" si="0"/>
        <v/>
      </c>
      <c r="O27" s="328" t="str">
        <f t="shared" si="1"/>
        <v/>
      </c>
      <c r="P27" s="328"/>
      <c r="Q27" s="328"/>
      <c r="R27" s="328" t="str">
        <f t="shared" si="2"/>
        <v/>
      </c>
      <c r="S27" s="328" t="str">
        <f t="shared" si="3"/>
        <v/>
      </c>
      <c r="T27" s="328" t="str">
        <f t="shared" si="4"/>
        <v/>
      </c>
      <c r="U27" s="328" t="str">
        <f t="shared" si="5"/>
        <v/>
      </c>
      <c r="V27" s="328"/>
      <c r="W27" s="330"/>
    </row>
    <row r="28" spans="1:23" x14ac:dyDescent="0.2">
      <c r="A28" s="331"/>
      <c r="B28" s="328"/>
      <c r="C28" s="328"/>
      <c r="D28" s="328"/>
      <c r="E28" s="328"/>
      <c r="F28" s="328"/>
      <c r="G28" s="328"/>
      <c r="H28" s="328"/>
      <c r="I28" s="328"/>
      <c r="J28" s="328"/>
      <c r="K28" s="328"/>
      <c r="L28" s="328"/>
      <c r="M28" s="328"/>
      <c r="N28" s="329" t="str">
        <f t="shared" si="0"/>
        <v/>
      </c>
      <c r="O28" s="328" t="str">
        <f t="shared" si="1"/>
        <v/>
      </c>
      <c r="P28" s="328"/>
      <c r="Q28" s="328"/>
      <c r="R28" s="328" t="str">
        <f t="shared" si="2"/>
        <v/>
      </c>
      <c r="S28" s="328" t="str">
        <f t="shared" si="3"/>
        <v/>
      </c>
      <c r="T28" s="328" t="str">
        <f t="shared" si="4"/>
        <v/>
      </c>
      <c r="U28" s="328" t="str">
        <f t="shared" si="5"/>
        <v/>
      </c>
      <c r="V28" s="328"/>
      <c r="W28" s="330"/>
    </row>
    <row r="29" spans="1:23" x14ac:dyDescent="0.2">
      <c r="A29" s="331"/>
      <c r="B29" s="328"/>
      <c r="C29" s="328"/>
      <c r="D29" s="328"/>
      <c r="E29" s="328"/>
      <c r="F29" s="328"/>
      <c r="G29" s="328"/>
      <c r="H29" s="328"/>
      <c r="I29" s="328"/>
      <c r="J29" s="328"/>
      <c r="K29" s="328"/>
      <c r="L29" s="328"/>
      <c r="M29" s="328"/>
      <c r="N29" s="329" t="str">
        <f t="shared" si="0"/>
        <v/>
      </c>
      <c r="O29" s="328" t="str">
        <f t="shared" si="1"/>
        <v/>
      </c>
      <c r="P29" s="328"/>
      <c r="Q29" s="328"/>
      <c r="R29" s="328" t="str">
        <f t="shared" si="2"/>
        <v/>
      </c>
      <c r="S29" s="328" t="str">
        <f t="shared" si="3"/>
        <v/>
      </c>
      <c r="T29" s="328" t="str">
        <f t="shared" si="4"/>
        <v/>
      </c>
      <c r="U29" s="328" t="str">
        <f t="shared" si="5"/>
        <v/>
      </c>
      <c r="V29" s="328"/>
      <c r="W29" s="330"/>
    </row>
    <row r="30" spans="1:23" x14ac:dyDescent="0.2">
      <c r="A30" s="331"/>
      <c r="B30" s="328"/>
      <c r="C30" s="328"/>
      <c r="D30" s="328"/>
      <c r="E30" s="328"/>
      <c r="F30" s="328"/>
      <c r="G30" s="328"/>
      <c r="H30" s="328"/>
      <c r="I30" s="328"/>
      <c r="J30" s="328"/>
      <c r="K30" s="328"/>
      <c r="L30" s="328"/>
      <c r="M30" s="328"/>
      <c r="N30" s="329" t="str">
        <f t="shared" si="0"/>
        <v/>
      </c>
      <c r="O30" s="328" t="str">
        <f t="shared" si="1"/>
        <v/>
      </c>
      <c r="P30" s="328"/>
      <c r="Q30" s="328"/>
      <c r="R30" s="328" t="str">
        <f t="shared" si="2"/>
        <v/>
      </c>
      <c r="S30" s="328" t="str">
        <f t="shared" si="3"/>
        <v/>
      </c>
      <c r="T30" s="328" t="str">
        <f t="shared" si="4"/>
        <v/>
      </c>
      <c r="U30" s="328" t="str">
        <f t="shared" si="5"/>
        <v/>
      </c>
      <c r="V30" s="328"/>
      <c r="W30" s="330"/>
    </row>
    <row r="31" spans="1:23" x14ac:dyDescent="0.2">
      <c r="A31" s="331"/>
      <c r="B31" s="328"/>
      <c r="C31" s="328"/>
      <c r="D31" s="328"/>
      <c r="E31" s="328"/>
      <c r="F31" s="328"/>
      <c r="G31" s="328"/>
      <c r="H31" s="328"/>
      <c r="I31" s="328"/>
      <c r="J31" s="328"/>
      <c r="K31" s="328"/>
      <c r="L31" s="328"/>
      <c r="M31" s="328"/>
      <c r="N31" s="329" t="str">
        <f t="shared" si="0"/>
        <v/>
      </c>
      <c r="O31" s="328" t="str">
        <f t="shared" si="1"/>
        <v/>
      </c>
      <c r="P31" s="328"/>
      <c r="Q31" s="328"/>
      <c r="R31" s="328" t="str">
        <f t="shared" si="2"/>
        <v/>
      </c>
      <c r="S31" s="328" t="str">
        <f t="shared" si="3"/>
        <v/>
      </c>
      <c r="T31" s="328" t="str">
        <f t="shared" si="4"/>
        <v/>
      </c>
      <c r="U31" s="328" t="str">
        <f t="shared" si="5"/>
        <v/>
      </c>
      <c r="V31" s="328"/>
      <c r="W31" s="330"/>
    </row>
    <row r="32" spans="1:23" x14ac:dyDescent="0.2">
      <c r="A32" s="331"/>
      <c r="B32" s="328"/>
      <c r="C32" s="328"/>
      <c r="D32" s="328"/>
      <c r="E32" s="328"/>
      <c r="F32" s="328"/>
      <c r="G32" s="328"/>
      <c r="H32" s="328"/>
      <c r="I32" s="328"/>
      <c r="J32" s="328"/>
      <c r="K32" s="328"/>
      <c r="L32" s="328"/>
      <c r="M32" s="328"/>
      <c r="N32" s="329" t="str">
        <f t="shared" si="0"/>
        <v/>
      </c>
      <c r="O32" s="328" t="str">
        <f t="shared" si="1"/>
        <v/>
      </c>
      <c r="P32" s="328"/>
      <c r="Q32" s="328"/>
      <c r="R32" s="328" t="str">
        <f t="shared" si="2"/>
        <v/>
      </c>
      <c r="S32" s="328" t="str">
        <f t="shared" si="3"/>
        <v/>
      </c>
      <c r="T32" s="328" t="str">
        <f t="shared" si="4"/>
        <v/>
      </c>
      <c r="U32" s="328" t="str">
        <f t="shared" si="5"/>
        <v/>
      </c>
      <c r="V32" s="328"/>
      <c r="W32" s="330"/>
    </row>
    <row r="33" spans="1:23" x14ac:dyDescent="0.2">
      <c r="A33" s="331"/>
      <c r="B33" s="328"/>
      <c r="C33" s="328"/>
      <c r="D33" s="328"/>
      <c r="E33" s="328"/>
      <c r="F33" s="328"/>
      <c r="G33" s="328"/>
      <c r="H33" s="328"/>
      <c r="I33" s="328"/>
      <c r="J33" s="328"/>
      <c r="K33" s="328"/>
      <c r="L33" s="328"/>
      <c r="M33" s="328"/>
      <c r="N33" s="329" t="str">
        <f t="shared" si="0"/>
        <v/>
      </c>
      <c r="O33" s="328" t="str">
        <f t="shared" si="1"/>
        <v/>
      </c>
      <c r="P33" s="328"/>
      <c r="Q33" s="328"/>
      <c r="R33" s="328" t="str">
        <f t="shared" si="2"/>
        <v/>
      </c>
      <c r="S33" s="328" t="str">
        <f t="shared" si="3"/>
        <v/>
      </c>
      <c r="T33" s="328" t="str">
        <f t="shared" si="4"/>
        <v/>
      </c>
      <c r="U33" s="328" t="str">
        <f t="shared" si="5"/>
        <v/>
      </c>
      <c r="V33" s="328"/>
      <c r="W33" s="330"/>
    </row>
    <row r="34" spans="1:23" x14ac:dyDescent="0.2">
      <c r="A34" s="331"/>
      <c r="B34" s="328"/>
      <c r="C34" s="328"/>
      <c r="D34" s="328"/>
      <c r="E34" s="328"/>
      <c r="F34" s="328"/>
      <c r="G34" s="328"/>
      <c r="H34" s="328"/>
      <c r="I34" s="328"/>
      <c r="J34" s="328"/>
      <c r="K34" s="328"/>
      <c r="L34" s="328"/>
      <c r="M34" s="328"/>
      <c r="N34" s="329" t="str">
        <f t="shared" si="0"/>
        <v/>
      </c>
      <c r="O34" s="328" t="str">
        <f t="shared" si="1"/>
        <v/>
      </c>
      <c r="P34" s="328"/>
      <c r="Q34" s="328"/>
      <c r="R34" s="328" t="str">
        <f t="shared" si="2"/>
        <v/>
      </c>
      <c r="S34" s="328" t="str">
        <f t="shared" si="3"/>
        <v/>
      </c>
      <c r="T34" s="328" t="str">
        <f t="shared" si="4"/>
        <v/>
      </c>
      <c r="U34" s="328" t="str">
        <f t="shared" si="5"/>
        <v/>
      </c>
      <c r="V34" s="328"/>
      <c r="W34" s="330"/>
    </row>
    <row r="35" spans="1:23" x14ac:dyDescent="0.2">
      <c r="A35" s="331"/>
      <c r="B35" s="328"/>
      <c r="C35" s="328"/>
      <c r="D35" s="328"/>
      <c r="E35" s="328"/>
      <c r="F35" s="328"/>
      <c r="G35" s="328"/>
      <c r="H35" s="328"/>
      <c r="I35" s="328"/>
      <c r="J35" s="328"/>
      <c r="K35" s="328"/>
      <c r="L35" s="328"/>
      <c r="M35" s="328"/>
      <c r="N35" s="329" t="str">
        <f t="shared" si="0"/>
        <v/>
      </c>
      <c r="O35" s="328" t="str">
        <f t="shared" si="1"/>
        <v/>
      </c>
      <c r="P35" s="328"/>
      <c r="Q35" s="328"/>
      <c r="R35" s="328" t="str">
        <f t="shared" si="2"/>
        <v/>
      </c>
      <c r="S35" s="328" t="str">
        <f t="shared" si="3"/>
        <v/>
      </c>
      <c r="T35" s="328" t="str">
        <f t="shared" si="4"/>
        <v/>
      </c>
      <c r="U35" s="328" t="str">
        <f t="shared" si="5"/>
        <v/>
      </c>
      <c r="V35" s="328"/>
      <c r="W35" s="330"/>
    </row>
    <row r="36" spans="1:23" x14ac:dyDescent="0.2">
      <c r="A36" s="331"/>
      <c r="B36" s="328"/>
      <c r="C36" s="328"/>
      <c r="D36" s="328"/>
      <c r="E36" s="328"/>
      <c r="F36" s="328"/>
      <c r="G36" s="328"/>
      <c r="H36" s="328"/>
      <c r="I36" s="328"/>
      <c r="J36" s="328"/>
      <c r="K36" s="328"/>
      <c r="L36" s="328"/>
      <c r="M36" s="328"/>
      <c r="N36" s="329" t="str">
        <f t="shared" si="0"/>
        <v/>
      </c>
      <c r="O36" s="328" t="str">
        <f t="shared" si="1"/>
        <v/>
      </c>
      <c r="P36" s="328"/>
      <c r="Q36" s="328"/>
      <c r="R36" s="328" t="str">
        <f t="shared" si="2"/>
        <v/>
      </c>
      <c r="S36" s="328" t="str">
        <f t="shared" si="3"/>
        <v/>
      </c>
      <c r="T36" s="328" t="str">
        <f t="shared" si="4"/>
        <v/>
      </c>
      <c r="U36" s="328" t="str">
        <f t="shared" si="5"/>
        <v/>
      </c>
      <c r="V36" s="328"/>
      <c r="W36" s="330"/>
    </row>
    <row r="37" spans="1:23" x14ac:dyDescent="0.2">
      <c r="A37" s="331"/>
      <c r="B37" s="328"/>
      <c r="C37" s="328"/>
      <c r="D37" s="328"/>
      <c r="E37" s="328"/>
      <c r="F37" s="328"/>
      <c r="G37" s="328"/>
      <c r="H37" s="328"/>
      <c r="I37" s="328"/>
      <c r="J37" s="328"/>
      <c r="K37" s="328"/>
      <c r="L37" s="328"/>
      <c r="M37" s="328"/>
      <c r="N37" s="329" t="str">
        <f t="shared" si="0"/>
        <v/>
      </c>
      <c r="O37" s="328" t="str">
        <f t="shared" si="1"/>
        <v/>
      </c>
      <c r="P37" s="328"/>
      <c r="Q37" s="328"/>
      <c r="R37" s="328" t="str">
        <f t="shared" si="2"/>
        <v/>
      </c>
      <c r="S37" s="328" t="str">
        <f t="shared" si="3"/>
        <v/>
      </c>
      <c r="T37" s="328" t="str">
        <f t="shared" si="4"/>
        <v/>
      </c>
      <c r="U37" s="328" t="str">
        <f t="shared" si="5"/>
        <v/>
      </c>
      <c r="V37" s="328"/>
      <c r="W37" s="330"/>
    </row>
    <row r="38" spans="1:23" x14ac:dyDescent="0.2">
      <c r="A38" s="331"/>
      <c r="B38" s="328"/>
      <c r="C38" s="328"/>
      <c r="D38" s="328"/>
      <c r="E38" s="328"/>
      <c r="F38" s="328"/>
      <c r="G38" s="328"/>
      <c r="H38" s="328"/>
      <c r="I38" s="328"/>
      <c r="J38" s="328"/>
      <c r="K38" s="328"/>
      <c r="L38" s="328"/>
      <c r="M38" s="328"/>
      <c r="N38" s="329" t="str">
        <f t="shared" si="0"/>
        <v/>
      </c>
      <c r="O38" s="328" t="str">
        <f t="shared" si="1"/>
        <v/>
      </c>
      <c r="P38" s="328"/>
      <c r="Q38" s="328"/>
      <c r="R38" s="328" t="str">
        <f t="shared" si="2"/>
        <v/>
      </c>
      <c r="S38" s="328" t="str">
        <f t="shared" si="3"/>
        <v/>
      </c>
      <c r="T38" s="328" t="str">
        <f t="shared" si="4"/>
        <v/>
      </c>
      <c r="U38" s="328" t="str">
        <f t="shared" si="5"/>
        <v/>
      </c>
      <c r="V38" s="328"/>
      <c r="W38" s="330"/>
    </row>
    <row r="39" spans="1:23" x14ac:dyDescent="0.2">
      <c r="A39" s="331"/>
      <c r="B39" s="328"/>
      <c r="C39" s="328"/>
      <c r="D39" s="328"/>
      <c r="E39" s="328"/>
      <c r="F39" s="328"/>
      <c r="G39" s="328"/>
      <c r="H39" s="328"/>
      <c r="I39" s="328"/>
      <c r="J39" s="328"/>
      <c r="K39" s="328"/>
      <c r="L39" s="328"/>
      <c r="M39" s="328"/>
      <c r="N39" s="329" t="str">
        <f t="shared" si="0"/>
        <v/>
      </c>
      <c r="O39" s="328" t="str">
        <f t="shared" si="1"/>
        <v/>
      </c>
      <c r="P39" s="328"/>
      <c r="Q39" s="328"/>
      <c r="R39" s="328" t="str">
        <f t="shared" si="2"/>
        <v/>
      </c>
      <c r="S39" s="328" t="str">
        <f t="shared" si="3"/>
        <v/>
      </c>
      <c r="T39" s="328" t="str">
        <f t="shared" si="4"/>
        <v/>
      </c>
      <c r="U39" s="328" t="str">
        <f t="shared" si="5"/>
        <v/>
      </c>
      <c r="V39" s="328"/>
      <c r="W39" s="330"/>
    </row>
    <row r="40" spans="1:23" x14ac:dyDescent="0.2">
      <c r="A40" s="331"/>
      <c r="B40" s="328"/>
      <c r="C40" s="328"/>
      <c r="D40" s="328"/>
      <c r="E40" s="328"/>
      <c r="F40" s="328"/>
      <c r="G40" s="328"/>
      <c r="H40" s="328"/>
      <c r="I40" s="328"/>
      <c r="J40" s="328"/>
      <c r="K40" s="328"/>
      <c r="L40" s="328"/>
      <c r="M40" s="328"/>
      <c r="N40" s="329" t="str">
        <f t="shared" si="0"/>
        <v/>
      </c>
      <c r="O40" s="328" t="str">
        <f t="shared" si="1"/>
        <v/>
      </c>
      <c r="P40" s="328"/>
      <c r="Q40" s="328"/>
      <c r="R40" s="328" t="str">
        <f t="shared" si="2"/>
        <v/>
      </c>
      <c r="S40" s="328" t="str">
        <f t="shared" si="3"/>
        <v/>
      </c>
      <c r="T40" s="328" t="str">
        <f t="shared" si="4"/>
        <v/>
      </c>
      <c r="U40" s="328" t="str">
        <f t="shared" si="5"/>
        <v/>
      </c>
      <c r="V40" s="328"/>
      <c r="W40" s="330"/>
    </row>
    <row r="41" spans="1:23" x14ac:dyDescent="0.2">
      <c r="A41" s="331"/>
      <c r="B41" s="328"/>
      <c r="C41" s="328"/>
      <c r="D41" s="328"/>
      <c r="E41" s="328"/>
      <c r="F41" s="328"/>
      <c r="G41" s="328"/>
      <c r="H41" s="328"/>
      <c r="I41" s="328"/>
      <c r="J41" s="328"/>
      <c r="K41" s="328"/>
      <c r="L41" s="328"/>
      <c r="M41" s="328"/>
      <c r="N41" s="329" t="str">
        <f t="shared" si="0"/>
        <v/>
      </c>
      <c r="O41" s="328" t="str">
        <f t="shared" si="1"/>
        <v/>
      </c>
      <c r="P41" s="328"/>
      <c r="Q41" s="328"/>
      <c r="R41" s="328" t="str">
        <f t="shared" si="2"/>
        <v/>
      </c>
      <c r="S41" s="328" t="str">
        <f t="shared" si="3"/>
        <v/>
      </c>
      <c r="T41" s="328" t="str">
        <f t="shared" si="4"/>
        <v/>
      </c>
      <c r="U41" s="328" t="str">
        <f t="shared" si="5"/>
        <v/>
      </c>
      <c r="V41" s="328"/>
      <c r="W41" s="330"/>
    </row>
    <row r="42" spans="1:23" x14ac:dyDescent="0.2">
      <c r="A42" s="331"/>
      <c r="B42" s="328"/>
      <c r="C42" s="328"/>
      <c r="D42" s="328"/>
      <c r="E42" s="328"/>
      <c r="F42" s="328"/>
      <c r="G42" s="328"/>
      <c r="H42" s="328"/>
      <c r="I42" s="328"/>
      <c r="J42" s="328"/>
      <c r="K42" s="328"/>
      <c r="L42" s="328"/>
      <c r="M42" s="328"/>
      <c r="N42" s="329" t="str">
        <f t="shared" si="0"/>
        <v/>
      </c>
      <c r="O42" s="328" t="str">
        <f t="shared" si="1"/>
        <v/>
      </c>
      <c r="P42" s="328"/>
      <c r="Q42" s="328"/>
      <c r="R42" s="328" t="str">
        <f t="shared" si="2"/>
        <v/>
      </c>
      <c r="S42" s="328" t="str">
        <f t="shared" si="3"/>
        <v/>
      </c>
      <c r="T42" s="328" t="str">
        <f t="shared" si="4"/>
        <v/>
      </c>
      <c r="U42" s="328" t="str">
        <f t="shared" si="5"/>
        <v/>
      </c>
      <c r="V42" s="328"/>
      <c r="W42" s="330"/>
    </row>
    <row r="43" spans="1:23" x14ac:dyDescent="0.2">
      <c r="A43" s="331"/>
      <c r="B43" s="328"/>
      <c r="C43" s="328"/>
      <c r="D43" s="328"/>
      <c r="E43" s="328"/>
      <c r="F43" s="328"/>
      <c r="G43" s="328"/>
      <c r="H43" s="328"/>
      <c r="I43" s="328"/>
      <c r="J43" s="328"/>
      <c r="K43" s="328"/>
      <c r="L43" s="328"/>
      <c r="M43" s="328"/>
      <c r="N43" s="329" t="str">
        <f t="shared" si="0"/>
        <v/>
      </c>
      <c r="O43" s="328" t="str">
        <f t="shared" si="1"/>
        <v/>
      </c>
      <c r="P43" s="328"/>
      <c r="Q43" s="328"/>
      <c r="R43" s="328" t="str">
        <f t="shared" si="2"/>
        <v/>
      </c>
      <c r="S43" s="328" t="str">
        <f t="shared" si="3"/>
        <v/>
      </c>
      <c r="T43" s="328" t="str">
        <f t="shared" si="4"/>
        <v/>
      </c>
      <c r="U43" s="328" t="str">
        <f t="shared" si="5"/>
        <v/>
      </c>
      <c r="V43" s="328"/>
      <c r="W43" s="330"/>
    </row>
    <row r="44" spans="1:23" x14ac:dyDescent="0.2">
      <c r="A44" s="331"/>
      <c r="B44" s="328"/>
      <c r="C44" s="328"/>
      <c r="D44" s="328"/>
      <c r="E44" s="328"/>
      <c r="F44" s="328"/>
      <c r="G44" s="328"/>
      <c r="H44" s="328"/>
      <c r="I44" s="328"/>
      <c r="J44" s="328"/>
      <c r="K44" s="328"/>
      <c r="L44" s="328"/>
      <c r="M44" s="328"/>
      <c r="N44" s="329" t="str">
        <f t="shared" si="0"/>
        <v/>
      </c>
      <c r="O44" s="328" t="str">
        <f t="shared" si="1"/>
        <v/>
      </c>
      <c r="P44" s="328"/>
      <c r="Q44" s="328"/>
      <c r="R44" s="328" t="str">
        <f t="shared" si="2"/>
        <v/>
      </c>
      <c r="S44" s="328" t="str">
        <f t="shared" si="3"/>
        <v/>
      </c>
      <c r="T44" s="328" t="str">
        <f t="shared" si="4"/>
        <v/>
      </c>
      <c r="U44" s="328" t="str">
        <f t="shared" si="5"/>
        <v/>
      </c>
      <c r="V44" s="328"/>
      <c r="W44" s="330"/>
    </row>
    <row r="45" spans="1:23" x14ac:dyDescent="0.2">
      <c r="A45" s="331"/>
      <c r="B45" s="328"/>
      <c r="C45" s="328"/>
      <c r="D45" s="328"/>
      <c r="E45" s="328"/>
      <c r="F45" s="328"/>
      <c r="G45" s="328"/>
      <c r="H45" s="328"/>
      <c r="I45" s="328"/>
      <c r="J45" s="328"/>
      <c r="K45" s="328"/>
      <c r="L45" s="328"/>
      <c r="M45" s="328"/>
      <c r="N45" s="329" t="str">
        <f t="shared" si="0"/>
        <v/>
      </c>
      <c r="O45" s="328" t="str">
        <f t="shared" si="1"/>
        <v/>
      </c>
      <c r="P45" s="328"/>
      <c r="Q45" s="328"/>
      <c r="R45" s="328" t="str">
        <f t="shared" si="2"/>
        <v/>
      </c>
      <c r="S45" s="328" t="str">
        <f t="shared" si="3"/>
        <v/>
      </c>
      <c r="T45" s="328" t="str">
        <f t="shared" si="4"/>
        <v/>
      </c>
      <c r="U45" s="328" t="str">
        <f t="shared" si="5"/>
        <v/>
      </c>
      <c r="V45" s="328"/>
      <c r="W45" s="330"/>
    </row>
    <row r="46" spans="1:23" x14ac:dyDescent="0.2">
      <c r="A46" s="331"/>
      <c r="B46" s="328"/>
      <c r="C46" s="328"/>
      <c r="D46" s="328"/>
      <c r="E46" s="328"/>
      <c r="F46" s="328"/>
      <c r="G46" s="328"/>
      <c r="H46" s="328"/>
      <c r="I46" s="328"/>
      <c r="J46" s="328"/>
      <c r="K46" s="328"/>
      <c r="L46" s="328"/>
      <c r="M46" s="328"/>
      <c r="N46" s="329" t="str">
        <f t="shared" si="0"/>
        <v/>
      </c>
      <c r="O46" s="328" t="str">
        <f t="shared" si="1"/>
        <v/>
      </c>
      <c r="P46" s="328"/>
      <c r="Q46" s="328"/>
      <c r="R46" s="328" t="str">
        <f t="shared" si="2"/>
        <v/>
      </c>
      <c r="S46" s="328" t="str">
        <f t="shared" si="3"/>
        <v/>
      </c>
      <c r="T46" s="328" t="str">
        <f t="shared" si="4"/>
        <v/>
      </c>
      <c r="U46" s="328" t="str">
        <f t="shared" si="5"/>
        <v/>
      </c>
      <c r="V46" s="328"/>
      <c r="W46" s="330"/>
    </row>
    <row r="47" spans="1:23" x14ac:dyDescent="0.2">
      <c r="A47" s="331"/>
      <c r="B47" s="328"/>
      <c r="C47" s="328"/>
      <c r="D47" s="328"/>
      <c r="E47" s="328"/>
      <c r="F47" s="328"/>
      <c r="G47" s="328"/>
      <c r="H47" s="328"/>
      <c r="I47" s="328"/>
      <c r="J47" s="328"/>
      <c r="K47" s="328"/>
      <c r="L47" s="328"/>
      <c r="M47" s="328"/>
      <c r="N47" s="329" t="str">
        <f t="shared" si="0"/>
        <v/>
      </c>
      <c r="O47" s="328" t="str">
        <f t="shared" si="1"/>
        <v/>
      </c>
      <c r="P47" s="328"/>
      <c r="Q47" s="328"/>
      <c r="R47" s="328" t="str">
        <f t="shared" si="2"/>
        <v/>
      </c>
      <c r="S47" s="328" t="str">
        <f t="shared" si="3"/>
        <v/>
      </c>
      <c r="T47" s="328" t="str">
        <f t="shared" si="4"/>
        <v/>
      </c>
      <c r="U47" s="328" t="str">
        <f t="shared" si="5"/>
        <v/>
      </c>
      <c r="V47" s="328"/>
      <c r="W47" s="330"/>
    </row>
    <row r="48" spans="1:23" ht="13.5" thickBot="1" x14ac:dyDescent="0.25">
      <c r="A48" s="332"/>
      <c r="B48" s="333"/>
      <c r="C48" s="333"/>
      <c r="D48" s="333"/>
      <c r="E48" s="333"/>
      <c r="F48" s="333"/>
      <c r="G48" s="333"/>
      <c r="H48" s="333"/>
      <c r="I48" s="333"/>
      <c r="J48" s="333"/>
      <c r="K48" s="333"/>
      <c r="L48" s="333"/>
      <c r="M48" s="333"/>
      <c r="N48" s="334" t="str">
        <f t="shared" si="0"/>
        <v/>
      </c>
      <c r="O48" s="333" t="str">
        <f t="shared" si="1"/>
        <v/>
      </c>
      <c r="P48" s="333"/>
      <c r="Q48" s="333"/>
      <c r="R48" s="333" t="str">
        <f t="shared" si="2"/>
        <v/>
      </c>
      <c r="S48" s="333" t="str">
        <f t="shared" si="3"/>
        <v/>
      </c>
      <c r="T48" s="333" t="str">
        <f t="shared" si="4"/>
        <v/>
      </c>
      <c r="U48" s="333" t="str">
        <f t="shared" si="5"/>
        <v/>
      </c>
      <c r="V48" s="333"/>
      <c r="W48" s="335"/>
    </row>
  </sheetData>
  <sheetProtection sheet="1"/>
  <mergeCells count="8">
    <mergeCell ref="A1:W1"/>
    <mergeCell ref="A3:W3"/>
    <mergeCell ref="A4:C4"/>
    <mergeCell ref="D4:I4"/>
    <mergeCell ref="Q2:W2"/>
    <mergeCell ref="J4:K4"/>
    <mergeCell ref="A2:M2"/>
    <mergeCell ref="N2:P2"/>
  </mergeCells>
  <phoneticPr fontId="6" type="noConversion"/>
  <hyperlinks>
    <hyperlink ref="O5" location="defs_NPI" display="NPI"/>
    <hyperlink ref="K5" location="find_lease_entity" display="Equipment Leased From Entity Listed (find HCCIS ID)"/>
    <hyperlink ref="J5" location="find_lease_entity" display="Equipment Leased To Entity Listed (find HCCIS ID)"/>
    <hyperlink ref="Q2:W2" location="text_10" display="Document Explanations if needed"/>
  </hyperlinks>
  <printOptions horizontalCentered="1"/>
  <pageMargins left="0.75" right="0.75" top="1" bottom="1" header="0.5" footer="0.5"/>
  <pageSetup scale="59" orientation="landscape"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O300"/>
  <sheetViews>
    <sheetView topLeftCell="E1" zoomScaleNormal="100" workbookViewId="0">
      <selection activeCell="V18" sqref="V18"/>
    </sheetView>
  </sheetViews>
  <sheetFormatPr defaultRowHeight="12.75" x14ac:dyDescent="0.2"/>
  <cols>
    <col min="1" max="4" width="9.140625" style="127" hidden="1" customWidth="1"/>
    <col min="5" max="5" width="3.7109375" style="127" customWidth="1"/>
    <col min="6" max="6" width="3.28515625" style="127" bestFit="1" customWidth="1"/>
    <col min="7" max="7" width="6.140625" style="127" customWidth="1"/>
    <col min="8" max="8" width="3.28515625" style="127" bestFit="1" customWidth="1"/>
    <col min="9" max="9" width="5.42578125" style="127" customWidth="1"/>
    <col min="10" max="10" width="3.28515625" style="127" bestFit="1" customWidth="1"/>
    <col min="11" max="11" width="16.42578125" style="127" customWidth="1"/>
    <col min="12" max="13" width="16.140625" style="127" customWidth="1"/>
    <col min="14" max="14" width="11" style="127" bestFit="1" customWidth="1"/>
    <col min="15" max="15" width="15.140625" style="127" customWidth="1"/>
    <col min="16" max="16" width="15.85546875" style="127" customWidth="1"/>
    <col min="17" max="17" width="15.140625" style="127" customWidth="1"/>
    <col min="18" max="18" width="9.140625" style="127"/>
    <col min="19" max="19" width="5.7109375" style="127" bestFit="1" customWidth="1"/>
    <col min="20" max="20" width="6.28515625" style="127" bestFit="1" customWidth="1"/>
    <col min="21" max="22" width="12.7109375" style="127" bestFit="1" customWidth="1"/>
    <col min="23" max="23" width="10" style="127" hidden="1" customWidth="1"/>
    <col min="24" max="26" width="9.140625" style="127" customWidth="1"/>
    <col min="27" max="32" width="9.140625" style="336" hidden="1" customWidth="1"/>
    <col min="33" max="16384" width="9.140625" style="127"/>
  </cols>
  <sheetData>
    <row r="1" spans="1:41" ht="24.95" customHeight="1" thickBot="1" x14ac:dyDescent="0.25">
      <c r="E1" s="954" t="e">
        <f>CONCATENATE('Demog Contact'!D$5," ",'Demog Contact'!D$6)</f>
        <v>#N/A</v>
      </c>
      <c r="F1" s="1040"/>
      <c r="G1" s="1040"/>
      <c r="H1" s="1040"/>
      <c r="I1" s="1040"/>
      <c r="J1" s="1040"/>
      <c r="K1" s="1040"/>
      <c r="L1" s="1040"/>
      <c r="M1" s="1040"/>
      <c r="N1" s="1040"/>
      <c r="O1" s="1040"/>
      <c r="P1" s="1040"/>
      <c r="Q1" s="1040"/>
      <c r="R1" s="1040"/>
      <c r="S1" s="1040"/>
      <c r="T1" s="1040"/>
      <c r="U1" s="1040"/>
      <c r="V1" s="1040"/>
    </row>
    <row r="2" spans="1:41" s="291" customFormat="1" ht="24.95" customHeight="1" x14ac:dyDescent="0.2">
      <c r="E2" s="1008" t="s">
        <v>111</v>
      </c>
      <c r="F2" s="974"/>
      <c r="G2" s="974"/>
      <c r="H2" s="974"/>
      <c r="I2" s="974"/>
      <c r="J2" s="974"/>
      <c r="K2" s="974"/>
      <c r="L2" s="974"/>
      <c r="M2" s="974"/>
      <c r="N2" s="1050" t="str">
        <f>CONCATENATE("Fiscal Year ",'Demog Contact'!N1)</f>
        <v>Fiscal Year 2019</v>
      </c>
      <c r="O2" s="1050"/>
      <c r="P2" s="1050"/>
      <c r="Q2" s="965" t="s">
        <v>413</v>
      </c>
      <c r="R2" s="965"/>
      <c r="S2" s="965"/>
      <c r="T2" s="965"/>
      <c r="U2" s="965"/>
      <c r="V2" s="966"/>
      <c r="AA2" s="336"/>
      <c r="AB2" s="336"/>
      <c r="AC2" s="336"/>
      <c r="AD2" s="336"/>
      <c r="AE2" s="336"/>
      <c r="AF2" s="336"/>
    </row>
    <row r="3" spans="1:41" ht="24.95" customHeight="1" x14ac:dyDescent="0.2">
      <c r="E3" s="1051" t="s">
        <v>688</v>
      </c>
      <c r="F3" s="1052"/>
      <c r="G3" s="1052"/>
      <c r="H3" s="1052"/>
      <c r="I3" s="1052"/>
      <c r="J3" s="1052"/>
      <c r="K3" s="1052"/>
      <c r="L3" s="1052"/>
      <c r="M3" s="1052"/>
      <c r="N3" s="1052"/>
      <c r="O3" s="1052"/>
      <c r="P3" s="1052"/>
      <c r="Q3" s="1052"/>
      <c r="R3" s="1052"/>
      <c r="S3" s="1052"/>
      <c r="T3" s="1052"/>
      <c r="U3" s="1052"/>
      <c r="V3" s="1053"/>
    </row>
    <row r="4" spans="1:41" ht="30" customHeight="1" x14ac:dyDescent="0.2">
      <c r="A4" s="337" t="s">
        <v>30</v>
      </c>
      <c r="B4" s="338" t="s">
        <v>171</v>
      </c>
      <c r="C4" s="337"/>
      <c r="D4" s="337"/>
      <c r="E4" s="1057" t="s">
        <v>95</v>
      </c>
      <c r="F4" s="1058"/>
      <c r="G4" s="1058"/>
      <c r="H4" s="1058"/>
      <c r="I4" s="1058"/>
      <c r="J4" s="1059"/>
      <c r="K4" s="1054"/>
      <c r="L4" s="1055"/>
      <c r="M4" s="1055"/>
      <c r="N4" s="1055"/>
      <c r="O4" s="1055"/>
      <c r="P4" s="1055"/>
      <c r="Q4" s="1055"/>
      <c r="R4" s="1055"/>
      <c r="S4" s="1055"/>
      <c r="T4" s="1055"/>
      <c r="U4" s="1055"/>
      <c r="V4" s="1056"/>
    </row>
    <row r="5" spans="1:41" ht="65.25" customHeight="1" x14ac:dyDescent="0.2">
      <c r="A5" s="337"/>
      <c r="B5" s="337" t="s">
        <v>27</v>
      </c>
      <c r="C5" s="337" t="s">
        <v>28</v>
      </c>
      <c r="D5" s="337" t="s">
        <v>29</v>
      </c>
      <c r="E5" s="339" t="s">
        <v>273</v>
      </c>
      <c r="F5" s="340" t="s">
        <v>274</v>
      </c>
      <c r="G5" s="341" t="s">
        <v>275</v>
      </c>
      <c r="H5" s="340" t="s">
        <v>276</v>
      </c>
      <c r="I5" s="341" t="s">
        <v>277</v>
      </c>
      <c r="J5" s="340" t="s">
        <v>278</v>
      </c>
      <c r="K5" s="319" t="s">
        <v>90</v>
      </c>
      <c r="L5" s="319" t="s">
        <v>91</v>
      </c>
      <c r="M5" s="319" t="s">
        <v>272</v>
      </c>
      <c r="N5" s="320" t="s">
        <v>87</v>
      </c>
      <c r="O5" s="319" t="s">
        <v>51</v>
      </c>
      <c r="P5" s="319" t="s">
        <v>52</v>
      </c>
      <c r="Q5" s="319" t="s">
        <v>127</v>
      </c>
      <c r="R5" s="319" t="s">
        <v>128</v>
      </c>
      <c r="S5" s="319" t="s">
        <v>136</v>
      </c>
      <c r="T5" s="319" t="s">
        <v>42</v>
      </c>
      <c r="U5" s="321" t="s">
        <v>271</v>
      </c>
      <c r="V5" s="322" t="s">
        <v>45</v>
      </c>
      <c r="W5" s="337" t="s">
        <v>31</v>
      </c>
      <c r="AA5" s="336" t="s">
        <v>493</v>
      </c>
      <c r="AB5" s="336" t="s">
        <v>494</v>
      </c>
      <c r="AC5" s="336" t="s">
        <v>495</v>
      </c>
      <c r="AD5" s="336" t="s">
        <v>496</v>
      </c>
      <c r="AE5" s="324" t="s">
        <v>497</v>
      </c>
      <c r="AF5" s="336" t="s">
        <v>498</v>
      </c>
      <c r="AG5" s="324"/>
      <c r="AH5" s="324"/>
      <c r="AJ5" s="324"/>
      <c r="AK5" s="324"/>
      <c r="AM5" s="324"/>
      <c r="AN5" s="324"/>
      <c r="AO5" s="325"/>
    </row>
    <row r="6" spans="1:41" x14ac:dyDescent="0.2">
      <c r="B6" s="127">
        <f t="shared" ref="B6:B37" si="0">start</f>
        <v>0</v>
      </c>
      <c r="C6" s="127">
        <v>2016</v>
      </c>
      <c r="D6" s="127">
        <v>49</v>
      </c>
      <c r="E6" s="342"/>
      <c r="F6" s="343"/>
      <c r="G6" s="343"/>
      <c r="H6" s="343"/>
      <c r="I6" s="343"/>
      <c r="J6" s="343"/>
      <c r="K6" s="344"/>
      <c r="L6" s="344"/>
      <c r="M6" s="329"/>
      <c r="N6" s="344"/>
      <c r="O6" s="329"/>
      <c r="P6" s="329"/>
      <c r="Q6" s="329"/>
      <c r="R6" s="329"/>
      <c r="S6" s="329"/>
      <c r="T6" s="344"/>
      <c r="U6" s="344"/>
      <c r="V6" s="345"/>
      <c r="W6" s="127">
        <v>20</v>
      </c>
      <c r="AA6" s="336" t="str">
        <f>IF(NOT(ISBLANK(E6)),L6,"")</f>
        <v/>
      </c>
      <c r="AB6" s="336" t="str">
        <f>IF(NOT(ISBLANK(F6)),L6,"")</f>
        <v/>
      </c>
      <c r="AC6" s="336" t="str">
        <f>IF(NOT(ISBLANK(G6)),L6,"")</f>
        <v/>
      </c>
      <c r="AD6" s="336" t="str">
        <f>IF(NOT(ISBLANK(H6)),L6,"")</f>
        <v/>
      </c>
      <c r="AE6" s="336" t="str">
        <f>IF(NOT(ISBLANK(I6)),L6,"")</f>
        <v/>
      </c>
      <c r="AF6" s="336" t="str">
        <f>IF(NOT(ISBLANK(J6)),L6,"")</f>
        <v/>
      </c>
    </row>
    <row r="7" spans="1:41" x14ac:dyDescent="0.2">
      <c r="B7" s="127">
        <f t="shared" si="0"/>
        <v>0</v>
      </c>
      <c r="C7" s="127">
        <v>2016</v>
      </c>
      <c r="D7" s="127">
        <v>49</v>
      </c>
      <c r="E7" s="342"/>
      <c r="F7" s="343"/>
      <c r="G7" s="343"/>
      <c r="H7" s="343"/>
      <c r="I7" s="343"/>
      <c r="J7" s="343"/>
      <c r="K7" s="344"/>
      <c r="L7" s="344"/>
      <c r="M7" s="329"/>
      <c r="N7" s="344"/>
      <c r="O7" s="329"/>
      <c r="P7" s="329"/>
      <c r="Q7" s="329"/>
      <c r="R7" s="329"/>
      <c r="S7" s="329"/>
      <c r="T7" s="344"/>
      <c r="U7" s="344"/>
      <c r="V7" s="345"/>
      <c r="W7" s="127">
        <v>20</v>
      </c>
      <c r="AA7" s="336" t="str">
        <f>IF(NOT(ISBLANK(E7)),L7,"")</f>
        <v/>
      </c>
      <c r="AB7" s="336" t="str">
        <f t="shared" ref="AB7:AB70" si="1">IF(NOT(ISBLANK(F7)),L7,"")</f>
        <v/>
      </c>
      <c r="AC7" s="336" t="str">
        <f t="shared" ref="AC7:AC70" si="2">IF(NOT(ISBLANK(G7)),L7,"")</f>
        <v/>
      </c>
      <c r="AD7" s="336" t="str">
        <f t="shared" ref="AD7:AD70" si="3">IF(NOT(ISBLANK(H7)),L7,"")</f>
        <v/>
      </c>
      <c r="AE7" s="336" t="str">
        <f t="shared" ref="AE7:AE70" si="4">IF(NOT(ISBLANK(I7)),L7,"")</f>
        <v/>
      </c>
      <c r="AF7" s="336" t="str">
        <f t="shared" ref="AF7:AF70" si="5">IF(NOT(ISBLANK(J7)),L7,"")</f>
        <v/>
      </c>
    </row>
    <row r="8" spans="1:41" x14ac:dyDescent="0.2">
      <c r="B8" s="127">
        <f t="shared" si="0"/>
        <v>0</v>
      </c>
      <c r="C8" s="127">
        <v>2016</v>
      </c>
      <c r="D8" s="127">
        <v>49</v>
      </c>
      <c r="E8" s="342"/>
      <c r="F8" s="343"/>
      <c r="G8" s="343"/>
      <c r="H8" s="343"/>
      <c r="I8" s="343"/>
      <c r="J8" s="343"/>
      <c r="K8" s="344"/>
      <c r="L8" s="344"/>
      <c r="M8" s="329"/>
      <c r="N8" s="344"/>
      <c r="O8" s="329"/>
      <c r="P8" s="329"/>
      <c r="Q8" s="329"/>
      <c r="R8" s="329"/>
      <c r="S8" s="329"/>
      <c r="T8" s="344"/>
      <c r="U8" s="344"/>
      <c r="V8" s="345"/>
      <c r="W8" s="127">
        <v>20</v>
      </c>
      <c r="AA8" s="336" t="str">
        <f t="shared" ref="AA8:AA71" si="6">IF(NOT(ISBLANK(E8)),L8,"")</f>
        <v/>
      </c>
      <c r="AB8" s="336" t="str">
        <f t="shared" si="1"/>
        <v/>
      </c>
      <c r="AC8" s="336" t="str">
        <f t="shared" si="2"/>
        <v/>
      </c>
      <c r="AD8" s="336" t="str">
        <f t="shared" si="3"/>
        <v/>
      </c>
      <c r="AE8" s="336" t="str">
        <f t="shared" si="4"/>
        <v/>
      </c>
      <c r="AF8" s="336" t="str">
        <f t="shared" si="5"/>
        <v/>
      </c>
    </row>
    <row r="9" spans="1:41" x14ac:dyDescent="0.2">
      <c r="B9" s="127">
        <f t="shared" si="0"/>
        <v>0</v>
      </c>
      <c r="C9" s="127">
        <v>2016</v>
      </c>
      <c r="D9" s="127">
        <v>49</v>
      </c>
      <c r="E9" s="342"/>
      <c r="F9" s="343"/>
      <c r="G9" s="343"/>
      <c r="H9" s="343"/>
      <c r="I9" s="343"/>
      <c r="J9" s="343"/>
      <c r="K9" s="344"/>
      <c r="L9" s="344"/>
      <c r="M9" s="329"/>
      <c r="N9" s="344"/>
      <c r="O9" s="329"/>
      <c r="P9" s="329"/>
      <c r="Q9" s="329"/>
      <c r="R9" s="329"/>
      <c r="S9" s="329"/>
      <c r="T9" s="344"/>
      <c r="U9" s="344"/>
      <c r="V9" s="345"/>
      <c r="W9" s="127">
        <v>20</v>
      </c>
      <c r="AA9" s="336" t="str">
        <f t="shared" si="6"/>
        <v/>
      </c>
      <c r="AB9" s="336" t="str">
        <f t="shared" si="1"/>
        <v/>
      </c>
      <c r="AC9" s="336" t="str">
        <f t="shared" si="2"/>
        <v/>
      </c>
      <c r="AD9" s="336" t="str">
        <f t="shared" si="3"/>
        <v/>
      </c>
      <c r="AE9" s="336" t="str">
        <f t="shared" si="4"/>
        <v/>
      </c>
      <c r="AF9" s="336" t="str">
        <f t="shared" si="5"/>
        <v/>
      </c>
    </row>
    <row r="10" spans="1:41" x14ac:dyDescent="0.2">
      <c r="B10" s="127">
        <f t="shared" si="0"/>
        <v>0</v>
      </c>
      <c r="C10" s="127">
        <v>2016</v>
      </c>
      <c r="D10" s="127">
        <v>49</v>
      </c>
      <c r="E10" s="342"/>
      <c r="F10" s="343"/>
      <c r="G10" s="343"/>
      <c r="H10" s="343"/>
      <c r="I10" s="343"/>
      <c r="J10" s="343"/>
      <c r="K10" s="344"/>
      <c r="L10" s="344"/>
      <c r="M10" s="329"/>
      <c r="N10" s="344"/>
      <c r="O10" s="329"/>
      <c r="P10" s="329"/>
      <c r="Q10" s="329"/>
      <c r="R10" s="329"/>
      <c r="S10" s="329"/>
      <c r="T10" s="344"/>
      <c r="U10" s="344"/>
      <c r="V10" s="345"/>
      <c r="W10" s="127">
        <v>20</v>
      </c>
      <c r="AA10" s="336" t="str">
        <f t="shared" si="6"/>
        <v/>
      </c>
      <c r="AB10" s="336" t="str">
        <f t="shared" si="1"/>
        <v/>
      </c>
      <c r="AC10" s="336" t="str">
        <f t="shared" si="2"/>
        <v/>
      </c>
      <c r="AD10" s="336" t="str">
        <f t="shared" si="3"/>
        <v/>
      </c>
      <c r="AE10" s="336" t="str">
        <f t="shared" si="4"/>
        <v/>
      </c>
      <c r="AF10" s="336" t="str">
        <f t="shared" si="5"/>
        <v/>
      </c>
    </row>
    <row r="11" spans="1:41" x14ac:dyDescent="0.2">
      <c r="B11" s="127">
        <f t="shared" si="0"/>
        <v>0</v>
      </c>
      <c r="C11" s="127">
        <v>2016</v>
      </c>
      <c r="D11" s="127">
        <v>49</v>
      </c>
      <c r="E11" s="342"/>
      <c r="F11" s="343"/>
      <c r="G11" s="343"/>
      <c r="H11" s="343"/>
      <c r="I11" s="343"/>
      <c r="J11" s="343"/>
      <c r="K11" s="344"/>
      <c r="L11" s="344"/>
      <c r="M11" s="329"/>
      <c r="N11" s="344"/>
      <c r="O11" s="329"/>
      <c r="P11" s="329"/>
      <c r="Q11" s="329"/>
      <c r="R11" s="329"/>
      <c r="S11" s="329"/>
      <c r="T11" s="344"/>
      <c r="U11" s="344"/>
      <c r="V11" s="345"/>
      <c r="W11" s="127">
        <v>20</v>
      </c>
      <c r="AA11" s="336" t="str">
        <f t="shared" si="6"/>
        <v/>
      </c>
      <c r="AB11" s="336" t="str">
        <f t="shared" si="1"/>
        <v/>
      </c>
      <c r="AC11" s="336" t="str">
        <f t="shared" si="2"/>
        <v/>
      </c>
      <c r="AD11" s="336" t="str">
        <f t="shared" si="3"/>
        <v/>
      </c>
      <c r="AE11" s="336" t="str">
        <f t="shared" si="4"/>
        <v/>
      </c>
      <c r="AF11" s="336" t="str">
        <f t="shared" si="5"/>
        <v/>
      </c>
    </row>
    <row r="12" spans="1:41" x14ac:dyDescent="0.2">
      <c r="B12" s="127">
        <f t="shared" si="0"/>
        <v>0</v>
      </c>
      <c r="C12" s="127">
        <v>2016</v>
      </c>
      <c r="D12" s="127">
        <v>49</v>
      </c>
      <c r="E12" s="342"/>
      <c r="F12" s="343"/>
      <c r="G12" s="343"/>
      <c r="H12" s="343"/>
      <c r="I12" s="343"/>
      <c r="J12" s="343"/>
      <c r="K12" s="344"/>
      <c r="L12" s="344"/>
      <c r="M12" s="329"/>
      <c r="N12" s="344"/>
      <c r="O12" s="329"/>
      <c r="P12" s="329"/>
      <c r="Q12" s="329"/>
      <c r="R12" s="329"/>
      <c r="S12" s="329"/>
      <c r="T12" s="344"/>
      <c r="U12" s="344"/>
      <c r="V12" s="345"/>
      <c r="W12" s="127">
        <v>20</v>
      </c>
      <c r="AA12" s="336" t="str">
        <f t="shared" si="6"/>
        <v/>
      </c>
      <c r="AB12" s="336" t="str">
        <f t="shared" si="1"/>
        <v/>
      </c>
      <c r="AC12" s="336" t="str">
        <f t="shared" si="2"/>
        <v/>
      </c>
      <c r="AD12" s="336" t="str">
        <f t="shared" si="3"/>
        <v/>
      </c>
      <c r="AE12" s="336" t="str">
        <f t="shared" si="4"/>
        <v/>
      </c>
      <c r="AF12" s="336" t="str">
        <f t="shared" si="5"/>
        <v/>
      </c>
    </row>
    <row r="13" spans="1:41" x14ac:dyDescent="0.2">
      <c r="B13" s="127">
        <f t="shared" si="0"/>
        <v>0</v>
      </c>
      <c r="C13" s="127">
        <v>2016</v>
      </c>
      <c r="D13" s="127">
        <v>49</v>
      </c>
      <c r="E13" s="342"/>
      <c r="F13" s="343"/>
      <c r="G13" s="343"/>
      <c r="H13" s="343"/>
      <c r="I13" s="343"/>
      <c r="J13" s="343"/>
      <c r="K13" s="344"/>
      <c r="L13" s="344"/>
      <c r="M13" s="329"/>
      <c r="N13" s="344"/>
      <c r="O13" s="329"/>
      <c r="P13" s="329"/>
      <c r="Q13" s="329"/>
      <c r="R13" s="329"/>
      <c r="S13" s="329"/>
      <c r="T13" s="344"/>
      <c r="U13" s="344"/>
      <c r="V13" s="345"/>
      <c r="W13" s="127">
        <v>20</v>
      </c>
      <c r="AA13" s="336" t="str">
        <f t="shared" si="6"/>
        <v/>
      </c>
      <c r="AB13" s="336" t="str">
        <f t="shared" si="1"/>
        <v/>
      </c>
      <c r="AC13" s="336" t="str">
        <f t="shared" si="2"/>
        <v/>
      </c>
      <c r="AD13" s="336" t="str">
        <f t="shared" si="3"/>
        <v/>
      </c>
      <c r="AE13" s="336" t="str">
        <f t="shared" si="4"/>
        <v/>
      </c>
      <c r="AF13" s="336" t="str">
        <f t="shared" si="5"/>
        <v/>
      </c>
    </row>
    <row r="14" spans="1:41" x14ac:dyDescent="0.2">
      <c r="B14" s="127">
        <f t="shared" si="0"/>
        <v>0</v>
      </c>
      <c r="C14" s="127">
        <v>2016</v>
      </c>
      <c r="D14" s="127">
        <v>49</v>
      </c>
      <c r="E14" s="342"/>
      <c r="F14" s="343"/>
      <c r="G14" s="343"/>
      <c r="H14" s="343"/>
      <c r="I14" s="343"/>
      <c r="J14" s="343"/>
      <c r="K14" s="344"/>
      <c r="L14" s="344"/>
      <c r="M14" s="329"/>
      <c r="N14" s="344"/>
      <c r="O14" s="329"/>
      <c r="P14" s="329"/>
      <c r="Q14" s="329"/>
      <c r="R14" s="329"/>
      <c r="S14" s="329"/>
      <c r="T14" s="344"/>
      <c r="U14" s="344"/>
      <c r="V14" s="345"/>
      <c r="W14" s="127">
        <v>20</v>
      </c>
      <c r="AA14" s="336" t="str">
        <f t="shared" si="6"/>
        <v/>
      </c>
      <c r="AB14" s="336" t="str">
        <f t="shared" si="1"/>
        <v/>
      </c>
      <c r="AC14" s="336" t="str">
        <f t="shared" si="2"/>
        <v/>
      </c>
      <c r="AD14" s="336" t="str">
        <f t="shared" si="3"/>
        <v/>
      </c>
      <c r="AE14" s="336" t="str">
        <f t="shared" si="4"/>
        <v/>
      </c>
      <c r="AF14" s="336" t="str">
        <f t="shared" si="5"/>
        <v/>
      </c>
    </row>
    <row r="15" spans="1:41" x14ac:dyDescent="0.2">
      <c r="B15" s="127">
        <f t="shared" si="0"/>
        <v>0</v>
      </c>
      <c r="C15" s="127">
        <v>2016</v>
      </c>
      <c r="D15" s="127">
        <v>49</v>
      </c>
      <c r="E15" s="342"/>
      <c r="F15" s="343"/>
      <c r="G15" s="343"/>
      <c r="H15" s="343"/>
      <c r="I15" s="343"/>
      <c r="J15" s="343"/>
      <c r="K15" s="344"/>
      <c r="L15" s="344"/>
      <c r="M15" s="329"/>
      <c r="N15" s="344"/>
      <c r="O15" s="329"/>
      <c r="P15" s="329"/>
      <c r="Q15" s="329"/>
      <c r="R15" s="329"/>
      <c r="S15" s="329"/>
      <c r="T15" s="344"/>
      <c r="U15" s="344"/>
      <c r="V15" s="345"/>
      <c r="W15" s="127">
        <v>20</v>
      </c>
      <c r="AA15" s="336" t="str">
        <f t="shared" si="6"/>
        <v/>
      </c>
      <c r="AB15" s="336" t="str">
        <f t="shared" si="1"/>
        <v/>
      </c>
      <c r="AC15" s="336" t="str">
        <f t="shared" si="2"/>
        <v/>
      </c>
      <c r="AD15" s="336" t="str">
        <f t="shared" si="3"/>
        <v/>
      </c>
      <c r="AE15" s="336" t="str">
        <f t="shared" si="4"/>
        <v/>
      </c>
      <c r="AF15" s="336" t="str">
        <f t="shared" si="5"/>
        <v/>
      </c>
    </row>
    <row r="16" spans="1:41" x14ac:dyDescent="0.2">
      <c r="B16" s="127">
        <f t="shared" si="0"/>
        <v>0</v>
      </c>
      <c r="C16" s="127">
        <v>2016</v>
      </c>
      <c r="D16" s="127">
        <v>49</v>
      </c>
      <c r="E16" s="342"/>
      <c r="F16" s="343"/>
      <c r="G16" s="343"/>
      <c r="H16" s="343"/>
      <c r="I16" s="343"/>
      <c r="J16" s="343"/>
      <c r="K16" s="344"/>
      <c r="L16" s="344"/>
      <c r="M16" s="329"/>
      <c r="N16" s="344"/>
      <c r="O16" s="329"/>
      <c r="P16" s="329"/>
      <c r="Q16" s="329"/>
      <c r="R16" s="329"/>
      <c r="S16" s="329"/>
      <c r="T16" s="344"/>
      <c r="U16" s="344"/>
      <c r="V16" s="345"/>
      <c r="W16" s="127">
        <v>20</v>
      </c>
      <c r="AA16" s="336" t="str">
        <f t="shared" si="6"/>
        <v/>
      </c>
      <c r="AB16" s="336" t="str">
        <f t="shared" si="1"/>
        <v/>
      </c>
      <c r="AC16" s="336" t="str">
        <f t="shared" si="2"/>
        <v/>
      </c>
      <c r="AD16" s="336" t="str">
        <f t="shared" si="3"/>
        <v/>
      </c>
      <c r="AE16" s="336" t="str">
        <f t="shared" si="4"/>
        <v/>
      </c>
      <c r="AF16" s="336" t="str">
        <f t="shared" si="5"/>
        <v/>
      </c>
    </row>
    <row r="17" spans="2:32" x14ac:dyDescent="0.2">
      <c r="B17" s="127">
        <f t="shared" si="0"/>
        <v>0</v>
      </c>
      <c r="C17" s="127">
        <v>2016</v>
      </c>
      <c r="D17" s="127">
        <v>49</v>
      </c>
      <c r="E17" s="342"/>
      <c r="F17" s="343"/>
      <c r="G17" s="343"/>
      <c r="H17" s="343"/>
      <c r="I17" s="343"/>
      <c r="J17" s="343"/>
      <c r="K17" s="344"/>
      <c r="L17" s="344"/>
      <c r="M17" s="329"/>
      <c r="N17" s="344"/>
      <c r="O17" s="329"/>
      <c r="P17" s="329"/>
      <c r="Q17" s="329"/>
      <c r="R17" s="329"/>
      <c r="S17" s="329"/>
      <c r="T17" s="344"/>
      <c r="U17" s="344"/>
      <c r="V17" s="345"/>
      <c r="W17" s="127">
        <v>20</v>
      </c>
      <c r="AA17" s="336" t="str">
        <f t="shared" si="6"/>
        <v/>
      </c>
      <c r="AB17" s="336" t="str">
        <f t="shared" si="1"/>
        <v/>
      </c>
      <c r="AC17" s="336" t="str">
        <f t="shared" si="2"/>
        <v/>
      </c>
      <c r="AD17" s="336" t="str">
        <f t="shared" si="3"/>
        <v/>
      </c>
      <c r="AE17" s="336" t="str">
        <f t="shared" si="4"/>
        <v/>
      </c>
      <c r="AF17" s="336" t="str">
        <f t="shared" si="5"/>
        <v/>
      </c>
    </row>
    <row r="18" spans="2:32" x14ac:dyDescent="0.2">
      <c r="B18" s="127">
        <f t="shared" si="0"/>
        <v>0</v>
      </c>
      <c r="C18" s="127">
        <v>2016</v>
      </c>
      <c r="D18" s="127">
        <v>49</v>
      </c>
      <c r="E18" s="342"/>
      <c r="F18" s="343"/>
      <c r="G18" s="343"/>
      <c r="H18" s="343"/>
      <c r="I18" s="343"/>
      <c r="J18" s="343"/>
      <c r="K18" s="344"/>
      <c r="L18" s="344"/>
      <c r="M18" s="329"/>
      <c r="N18" s="344"/>
      <c r="O18" s="329"/>
      <c r="P18" s="329"/>
      <c r="Q18" s="329"/>
      <c r="R18" s="329"/>
      <c r="S18" s="329"/>
      <c r="T18" s="344"/>
      <c r="U18" s="344"/>
      <c r="V18" s="345"/>
      <c r="W18" s="127">
        <v>20</v>
      </c>
      <c r="AA18" s="336" t="str">
        <f t="shared" si="6"/>
        <v/>
      </c>
      <c r="AB18" s="336" t="str">
        <f t="shared" si="1"/>
        <v/>
      </c>
      <c r="AC18" s="336" t="str">
        <f t="shared" si="2"/>
        <v/>
      </c>
      <c r="AD18" s="336" t="str">
        <f t="shared" si="3"/>
        <v/>
      </c>
      <c r="AE18" s="336" t="str">
        <f t="shared" si="4"/>
        <v/>
      </c>
      <c r="AF18" s="336" t="str">
        <f t="shared" si="5"/>
        <v/>
      </c>
    </row>
    <row r="19" spans="2:32" x14ac:dyDescent="0.2">
      <c r="B19" s="127">
        <f t="shared" si="0"/>
        <v>0</v>
      </c>
      <c r="C19" s="127">
        <v>2016</v>
      </c>
      <c r="D19" s="127">
        <v>49</v>
      </c>
      <c r="E19" s="342"/>
      <c r="F19" s="343"/>
      <c r="G19" s="343"/>
      <c r="H19" s="343"/>
      <c r="I19" s="343"/>
      <c r="J19" s="343"/>
      <c r="K19" s="344"/>
      <c r="L19" s="344"/>
      <c r="M19" s="329"/>
      <c r="N19" s="344"/>
      <c r="O19" s="329"/>
      <c r="P19" s="329"/>
      <c r="Q19" s="329"/>
      <c r="R19" s="329"/>
      <c r="S19" s="329"/>
      <c r="T19" s="344"/>
      <c r="U19" s="344"/>
      <c r="V19" s="345"/>
      <c r="W19" s="127">
        <v>20</v>
      </c>
      <c r="AA19" s="336" t="str">
        <f t="shared" si="6"/>
        <v/>
      </c>
      <c r="AB19" s="336" t="str">
        <f t="shared" si="1"/>
        <v/>
      </c>
      <c r="AC19" s="336" t="str">
        <f t="shared" si="2"/>
        <v/>
      </c>
      <c r="AD19" s="336" t="str">
        <f t="shared" si="3"/>
        <v/>
      </c>
      <c r="AE19" s="336" t="str">
        <f t="shared" si="4"/>
        <v/>
      </c>
      <c r="AF19" s="336" t="str">
        <f t="shared" si="5"/>
        <v/>
      </c>
    </row>
    <row r="20" spans="2:32" x14ac:dyDescent="0.2">
      <c r="B20" s="127">
        <f t="shared" si="0"/>
        <v>0</v>
      </c>
      <c r="C20" s="127">
        <v>2016</v>
      </c>
      <c r="D20" s="127">
        <v>49</v>
      </c>
      <c r="E20" s="342"/>
      <c r="F20" s="343"/>
      <c r="G20" s="343"/>
      <c r="H20" s="343"/>
      <c r="I20" s="343"/>
      <c r="J20" s="343"/>
      <c r="K20" s="344"/>
      <c r="L20" s="344"/>
      <c r="M20" s="329"/>
      <c r="N20" s="344"/>
      <c r="O20" s="329"/>
      <c r="P20" s="329"/>
      <c r="Q20" s="329"/>
      <c r="R20" s="329"/>
      <c r="S20" s="329"/>
      <c r="T20" s="344"/>
      <c r="U20" s="344"/>
      <c r="V20" s="345"/>
      <c r="W20" s="127">
        <v>20</v>
      </c>
      <c r="AA20" s="336" t="str">
        <f t="shared" si="6"/>
        <v/>
      </c>
      <c r="AB20" s="336" t="str">
        <f t="shared" si="1"/>
        <v/>
      </c>
      <c r="AC20" s="336" t="str">
        <f t="shared" si="2"/>
        <v/>
      </c>
      <c r="AD20" s="336" t="str">
        <f t="shared" si="3"/>
        <v/>
      </c>
      <c r="AE20" s="336" t="str">
        <f t="shared" si="4"/>
        <v/>
      </c>
      <c r="AF20" s="336" t="str">
        <f t="shared" si="5"/>
        <v/>
      </c>
    </row>
    <row r="21" spans="2:32" x14ac:dyDescent="0.2">
      <c r="B21" s="127">
        <f t="shared" si="0"/>
        <v>0</v>
      </c>
      <c r="C21" s="127">
        <v>2016</v>
      </c>
      <c r="D21" s="127">
        <v>49</v>
      </c>
      <c r="E21" s="342"/>
      <c r="F21" s="343"/>
      <c r="G21" s="343"/>
      <c r="H21" s="343"/>
      <c r="I21" s="343"/>
      <c r="J21" s="343"/>
      <c r="K21" s="344"/>
      <c r="L21" s="344"/>
      <c r="M21" s="329"/>
      <c r="N21" s="344"/>
      <c r="O21" s="329"/>
      <c r="P21" s="329"/>
      <c r="Q21" s="329"/>
      <c r="R21" s="329"/>
      <c r="S21" s="329"/>
      <c r="T21" s="344"/>
      <c r="U21" s="344"/>
      <c r="V21" s="345"/>
      <c r="W21" s="127">
        <v>20</v>
      </c>
      <c r="AA21" s="336" t="str">
        <f t="shared" si="6"/>
        <v/>
      </c>
      <c r="AB21" s="336" t="str">
        <f t="shared" si="1"/>
        <v/>
      </c>
      <c r="AC21" s="336" t="str">
        <f t="shared" si="2"/>
        <v/>
      </c>
      <c r="AD21" s="336" t="str">
        <f t="shared" si="3"/>
        <v/>
      </c>
      <c r="AE21" s="336" t="str">
        <f t="shared" si="4"/>
        <v/>
      </c>
      <c r="AF21" s="336" t="str">
        <f t="shared" si="5"/>
        <v/>
      </c>
    </row>
    <row r="22" spans="2:32" x14ac:dyDescent="0.2">
      <c r="B22" s="127">
        <f t="shared" si="0"/>
        <v>0</v>
      </c>
      <c r="C22" s="127">
        <v>2016</v>
      </c>
      <c r="D22" s="127">
        <v>49</v>
      </c>
      <c r="E22" s="342"/>
      <c r="F22" s="343"/>
      <c r="G22" s="343"/>
      <c r="H22" s="343"/>
      <c r="I22" s="343"/>
      <c r="J22" s="343"/>
      <c r="K22" s="344"/>
      <c r="L22" s="344"/>
      <c r="M22" s="329"/>
      <c r="N22" s="344"/>
      <c r="O22" s="329"/>
      <c r="P22" s="329"/>
      <c r="Q22" s="329"/>
      <c r="R22" s="329"/>
      <c r="S22" s="329"/>
      <c r="T22" s="344"/>
      <c r="U22" s="344"/>
      <c r="V22" s="345"/>
      <c r="W22" s="127">
        <v>20</v>
      </c>
      <c r="AA22" s="336" t="str">
        <f t="shared" si="6"/>
        <v/>
      </c>
      <c r="AB22" s="336" t="str">
        <f t="shared" si="1"/>
        <v/>
      </c>
      <c r="AC22" s="336" t="str">
        <f t="shared" si="2"/>
        <v/>
      </c>
      <c r="AD22" s="336" t="str">
        <f t="shared" si="3"/>
        <v/>
      </c>
      <c r="AE22" s="336" t="str">
        <f t="shared" si="4"/>
        <v/>
      </c>
      <c r="AF22" s="336" t="str">
        <f t="shared" si="5"/>
        <v/>
      </c>
    </row>
    <row r="23" spans="2:32" x14ac:dyDescent="0.2">
      <c r="B23" s="127">
        <f t="shared" si="0"/>
        <v>0</v>
      </c>
      <c r="C23" s="127">
        <v>2016</v>
      </c>
      <c r="D23" s="127">
        <v>49</v>
      </c>
      <c r="E23" s="342"/>
      <c r="F23" s="343"/>
      <c r="G23" s="343"/>
      <c r="H23" s="343"/>
      <c r="I23" s="343"/>
      <c r="J23" s="343"/>
      <c r="K23" s="344"/>
      <c r="L23" s="344"/>
      <c r="M23" s="329"/>
      <c r="N23" s="344"/>
      <c r="O23" s="329"/>
      <c r="P23" s="329"/>
      <c r="Q23" s="329"/>
      <c r="R23" s="329"/>
      <c r="S23" s="329"/>
      <c r="T23" s="344"/>
      <c r="U23" s="344"/>
      <c r="V23" s="345"/>
      <c r="W23" s="127">
        <v>20</v>
      </c>
      <c r="AA23" s="336" t="str">
        <f t="shared" si="6"/>
        <v/>
      </c>
      <c r="AB23" s="336" t="str">
        <f t="shared" si="1"/>
        <v/>
      </c>
      <c r="AC23" s="336" t="str">
        <f t="shared" si="2"/>
        <v/>
      </c>
      <c r="AD23" s="336" t="str">
        <f t="shared" si="3"/>
        <v/>
      </c>
      <c r="AE23" s="336" t="str">
        <f t="shared" si="4"/>
        <v/>
      </c>
      <c r="AF23" s="336" t="str">
        <f t="shared" si="5"/>
        <v/>
      </c>
    </row>
    <row r="24" spans="2:32" x14ac:dyDescent="0.2">
      <c r="B24" s="127">
        <f t="shared" si="0"/>
        <v>0</v>
      </c>
      <c r="C24" s="127">
        <v>2016</v>
      </c>
      <c r="D24" s="127">
        <v>49</v>
      </c>
      <c r="E24" s="342"/>
      <c r="F24" s="343"/>
      <c r="G24" s="343"/>
      <c r="H24" s="343"/>
      <c r="I24" s="343"/>
      <c r="J24" s="343"/>
      <c r="K24" s="344"/>
      <c r="L24" s="344"/>
      <c r="M24" s="329"/>
      <c r="N24" s="344"/>
      <c r="O24" s="329"/>
      <c r="P24" s="329"/>
      <c r="Q24" s="329"/>
      <c r="R24" s="329"/>
      <c r="S24" s="329"/>
      <c r="T24" s="344"/>
      <c r="U24" s="344"/>
      <c r="V24" s="345"/>
      <c r="W24" s="127">
        <v>20</v>
      </c>
      <c r="AA24" s="336" t="str">
        <f t="shared" si="6"/>
        <v/>
      </c>
      <c r="AB24" s="336" t="str">
        <f t="shared" si="1"/>
        <v/>
      </c>
      <c r="AC24" s="336" t="str">
        <f t="shared" si="2"/>
        <v/>
      </c>
      <c r="AD24" s="336" t="str">
        <f t="shared" si="3"/>
        <v/>
      </c>
      <c r="AE24" s="336" t="str">
        <f t="shared" si="4"/>
        <v/>
      </c>
      <c r="AF24" s="336" t="str">
        <f t="shared" si="5"/>
        <v/>
      </c>
    </row>
    <row r="25" spans="2:32" x14ac:dyDescent="0.2">
      <c r="B25" s="127">
        <f t="shared" si="0"/>
        <v>0</v>
      </c>
      <c r="C25" s="127">
        <v>2016</v>
      </c>
      <c r="D25" s="127">
        <v>49</v>
      </c>
      <c r="E25" s="342"/>
      <c r="F25" s="343"/>
      <c r="G25" s="343"/>
      <c r="H25" s="343"/>
      <c r="I25" s="343"/>
      <c r="J25" s="343"/>
      <c r="K25" s="344"/>
      <c r="L25" s="344"/>
      <c r="M25" s="329"/>
      <c r="N25" s="344"/>
      <c r="O25" s="329"/>
      <c r="P25" s="329"/>
      <c r="Q25" s="329"/>
      <c r="R25" s="329"/>
      <c r="S25" s="329"/>
      <c r="T25" s="344"/>
      <c r="U25" s="344"/>
      <c r="V25" s="345"/>
      <c r="W25" s="127">
        <v>20</v>
      </c>
      <c r="AA25" s="336" t="str">
        <f t="shared" si="6"/>
        <v/>
      </c>
      <c r="AB25" s="336" t="str">
        <f t="shared" si="1"/>
        <v/>
      </c>
      <c r="AC25" s="336" t="str">
        <f t="shared" si="2"/>
        <v/>
      </c>
      <c r="AD25" s="336" t="str">
        <f t="shared" si="3"/>
        <v/>
      </c>
      <c r="AE25" s="336" t="str">
        <f t="shared" si="4"/>
        <v/>
      </c>
      <c r="AF25" s="336" t="str">
        <f t="shared" si="5"/>
        <v/>
      </c>
    </row>
    <row r="26" spans="2:32" x14ac:dyDescent="0.2">
      <c r="B26" s="127">
        <f t="shared" si="0"/>
        <v>0</v>
      </c>
      <c r="C26" s="127">
        <v>2016</v>
      </c>
      <c r="D26" s="127">
        <v>49</v>
      </c>
      <c r="E26" s="342"/>
      <c r="F26" s="343"/>
      <c r="G26" s="343"/>
      <c r="H26" s="343"/>
      <c r="I26" s="343"/>
      <c r="J26" s="343"/>
      <c r="K26" s="344"/>
      <c r="L26" s="344"/>
      <c r="M26" s="329"/>
      <c r="N26" s="344"/>
      <c r="O26" s="329"/>
      <c r="P26" s="329"/>
      <c r="Q26" s="329"/>
      <c r="R26" s="329"/>
      <c r="S26" s="329"/>
      <c r="T26" s="344"/>
      <c r="U26" s="344"/>
      <c r="V26" s="345"/>
      <c r="W26" s="127">
        <v>20</v>
      </c>
      <c r="AA26" s="336" t="str">
        <f t="shared" si="6"/>
        <v/>
      </c>
      <c r="AB26" s="336" t="str">
        <f t="shared" si="1"/>
        <v/>
      </c>
      <c r="AC26" s="336" t="str">
        <f t="shared" si="2"/>
        <v/>
      </c>
      <c r="AD26" s="336" t="str">
        <f t="shared" si="3"/>
        <v/>
      </c>
      <c r="AE26" s="336" t="str">
        <f t="shared" si="4"/>
        <v/>
      </c>
      <c r="AF26" s="336" t="str">
        <f t="shared" si="5"/>
        <v/>
      </c>
    </row>
    <row r="27" spans="2:32" x14ac:dyDescent="0.2">
      <c r="B27" s="127">
        <f t="shared" si="0"/>
        <v>0</v>
      </c>
      <c r="C27" s="127">
        <v>2016</v>
      </c>
      <c r="D27" s="127">
        <v>49</v>
      </c>
      <c r="E27" s="342"/>
      <c r="F27" s="343"/>
      <c r="G27" s="343"/>
      <c r="H27" s="343"/>
      <c r="I27" s="343"/>
      <c r="J27" s="343"/>
      <c r="K27" s="344"/>
      <c r="L27" s="344"/>
      <c r="M27" s="329"/>
      <c r="N27" s="344"/>
      <c r="O27" s="329"/>
      <c r="P27" s="329"/>
      <c r="Q27" s="329"/>
      <c r="R27" s="329"/>
      <c r="S27" s="329"/>
      <c r="T27" s="344"/>
      <c r="U27" s="344"/>
      <c r="V27" s="345"/>
      <c r="W27" s="127">
        <v>20</v>
      </c>
      <c r="AA27" s="336" t="str">
        <f t="shared" si="6"/>
        <v/>
      </c>
      <c r="AB27" s="336" t="str">
        <f t="shared" si="1"/>
        <v/>
      </c>
      <c r="AC27" s="336" t="str">
        <f t="shared" si="2"/>
        <v/>
      </c>
      <c r="AD27" s="336" t="str">
        <f t="shared" si="3"/>
        <v/>
      </c>
      <c r="AE27" s="336" t="str">
        <f t="shared" si="4"/>
        <v/>
      </c>
      <c r="AF27" s="336" t="str">
        <f t="shared" si="5"/>
        <v/>
      </c>
    </row>
    <row r="28" spans="2:32" x14ac:dyDescent="0.2">
      <c r="B28" s="127">
        <f t="shared" si="0"/>
        <v>0</v>
      </c>
      <c r="C28" s="127">
        <v>2016</v>
      </c>
      <c r="D28" s="127">
        <v>49</v>
      </c>
      <c r="E28" s="342"/>
      <c r="F28" s="343"/>
      <c r="G28" s="343"/>
      <c r="H28" s="343"/>
      <c r="I28" s="343"/>
      <c r="J28" s="343"/>
      <c r="K28" s="344"/>
      <c r="L28" s="344"/>
      <c r="M28" s="329"/>
      <c r="N28" s="344"/>
      <c r="O28" s="329"/>
      <c r="P28" s="329"/>
      <c r="Q28" s="329"/>
      <c r="R28" s="329"/>
      <c r="S28" s="329"/>
      <c r="T28" s="344"/>
      <c r="U28" s="344"/>
      <c r="V28" s="345"/>
      <c r="W28" s="127">
        <v>20</v>
      </c>
      <c r="AA28" s="336" t="str">
        <f t="shared" si="6"/>
        <v/>
      </c>
      <c r="AB28" s="336" t="str">
        <f t="shared" si="1"/>
        <v/>
      </c>
      <c r="AC28" s="336" t="str">
        <f t="shared" si="2"/>
        <v/>
      </c>
      <c r="AD28" s="336" t="str">
        <f t="shared" si="3"/>
        <v/>
      </c>
      <c r="AE28" s="336" t="str">
        <f t="shared" si="4"/>
        <v/>
      </c>
      <c r="AF28" s="336" t="str">
        <f t="shared" si="5"/>
        <v/>
      </c>
    </row>
    <row r="29" spans="2:32" x14ac:dyDescent="0.2">
      <c r="B29" s="127">
        <f t="shared" si="0"/>
        <v>0</v>
      </c>
      <c r="C29" s="127">
        <v>2016</v>
      </c>
      <c r="D29" s="127">
        <v>49</v>
      </c>
      <c r="E29" s="342"/>
      <c r="F29" s="343"/>
      <c r="G29" s="343"/>
      <c r="H29" s="343"/>
      <c r="I29" s="343"/>
      <c r="J29" s="343"/>
      <c r="K29" s="344"/>
      <c r="L29" s="344"/>
      <c r="M29" s="329"/>
      <c r="N29" s="344"/>
      <c r="O29" s="329"/>
      <c r="P29" s="329"/>
      <c r="Q29" s="329"/>
      <c r="R29" s="329"/>
      <c r="S29" s="329"/>
      <c r="T29" s="344"/>
      <c r="U29" s="344"/>
      <c r="V29" s="345"/>
      <c r="W29" s="127">
        <v>20</v>
      </c>
      <c r="AA29" s="336" t="str">
        <f t="shared" si="6"/>
        <v/>
      </c>
      <c r="AB29" s="336" t="str">
        <f t="shared" si="1"/>
        <v/>
      </c>
      <c r="AC29" s="336" t="str">
        <f t="shared" si="2"/>
        <v/>
      </c>
      <c r="AD29" s="336" t="str">
        <f t="shared" si="3"/>
        <v/>
      </c>
      <c r="AE29" s="336" t="str">
        <f t="shared" si="4"/>
        <v/>
      </c>
      <c r="AF29" s="336" t="str">
        <f t="shared" si="5"/>
        <v/>
      </c>
    </row>
    <row r="30" spans="2:32" x14ac:dyDescent="0.2">
      <c r="B30" s="127">
        <f t="shared" si="0"/>
        <v>0</v>
      </c>
      <c r="C30" s="127">
        <v>2016</v>
      </c>
      <c r="D30" s="127">
        <v>49</v>
      </c>
      <c r="E30" s="342"/>
      <c r="F30" s="343"/>
      <c r="G30" s="343"/>
      <c r="H30" s="343"/>
      <c r="I30" s="343"/>
      <c r="J30" s="343"/>
      <c r="K30" s="344"/>
      <c r="L30" s="344"/>
      <c r="M30" s="329"/>
      <c r="N30" s="344"/>
      <c r="O30" s="329"/>
      <c r="P30" s="329"/>
      <c r="Q30" s="329"/>
      <c r="R30" s="329"/>
      <c r="S30" s="329"/>
      <c r="T30" s="344"/>
      <c r="U30" s="344"/>
      <c r="V30" s="345"/>
      <c r="W30" s="127">
        <v>20</v>
      </c>
      <c r="AA30" s="336" t="str">
        <f t="shared" si="6"/>
        <v/>
      </c>
      <c r="AB30" s="336" t="str">
        <f t="shared" si="1"/>
        <v/>
      </c>
      <c r="AC30" s="336" t="str">
        <f t="shared" si="2"/>
        <v/>
      </c>
      <c r="AD30" s="336" t="str">
        <f t="shared" si="3"/>
        <v/>
      </c>
      <c r="AE30" s="336" t="str">
        <f t="shared" si="4"/>
        <v/>
      </c>
      <c r="AF30" s="336" t="str">
        <f t="shared" si="5"/>
        <v/>
      </c>
    </row>
    <row r="31" spans="2:32" x14ac:dyDescent="0.2">
      <c r="B31" s="127">
        <f t="shared" si="0"/>
        <v>0</v>
      </c>
      <c r="C31" s="127">
        <v>2016</v>
      </c>
      <c r="D31" s="127">
        <v>49</v>
      </c>
      <c r="E31" s="342"/>
      <c r="F31" s="343"/>
      <c r="G31" s="343"/>
      <c r="H31" s="343"/>
      <c r="I31" s="343"/>
      <c r="J31" s="343"/>
      <c r="K31" s="344"/>
      <c r="L31" s="344"/>
      <c r="M31" s="329"/>
      <c r="N31" s="344"/>
      <c r="O31" s="329"/>
      <c r="P31" s="329"/>
      <c r="Q31" s="329"/>
      <c r="R31" s="329"/>
      <c r="S31" s="329"/>
      <c r="T31" s="344"/>
      <c r="U31" s="344"/>
      <c r="V31" s="345"/>
      <c r="W31" s="127">
        <v>20</v>
      </c>
      <c r="AA31" s="336" t="str">
        <f t="shared" si="6"/>
        <v/>
      </c>
      <c r="AB31" s="336" t="str">
        <f t="shared" si="1"/>
        <v/>
      </c>
      <c r="AC31" s="336" t="str">
        <f t="shared" si="2"/>
        <v/>
      </c>
      <c r="AD31" s="336" t="str">
        <f t="shared" si="3"/>
        <v/>
      </c>
      <c r="AE31" s="336" t="str">
        <f t="shared" si="4"/>
        <v/>
      </c>
      <c r="AF31" s="336" t="str">
        <f t="shared" si="5"/>
        <v/>
      </c>
    </row>
    <row r="32" spans="2:32" x14ac:dyDescent="0.2">
      <c r="B32" s="127">
        <f t="shared" si="0"/>
        <v>0</v>
      </c>
      <c r="C32" s="127">
        <v>2016</v>
      </c>
      <c r="D32" s="127">
        <v>49</v>
      </c>
      <c r="E32" s="342"/>
      <c r="F32" s="343"/>
      <c r="G32" s="343"/>
      <c r="H32" s="343"/>
      <c r="I32" s="343"/>
      <c r="J32" s="343"/>
      <c r="K32" s="344"/>
      <c r="L32" s="344"/>
      <c r="M32" s="329"/>
      <c r="N32" s="344"/>
      <c r="O32" s="329"/>
      <c r="P32" s="329"/>
      <c r="Q32" s="329"/>
      <c r="R32" s="329"/>
      <c r="S32" s="329"/>
      <c r="T32" s="344"/>
      <c r="U32" s="344"/>
      <c r="V32" s="345"/>
      <c r="W32" s="127">
        <v>20</v>
      </c>
      <c r="AA32" s="336" t="str">
        <f t="shared" si="6"/>
        <v/>
      </c>
      <c r="AB32" s="336" t="str">
        <f t="shared" si="1"/>
        <v/>
      </c>
      <c r="AC32" s="336" t="str">
        <f t="shared" si="2"/>
        <v/>
      </c>
      <c r="AD32" s="336" t="str">
        <f t="shared" si="3"/>
        <v/>
      </c>
      <c r="AE32" s="336" t="str">
        <f t="shared" si="4"/>
        <v/>
      </c>
      <c r="AF32" s="336" t="str">
        <f t="shared" si="5"/>
        <v/>
      </c>
    </row>
    <row r="33" spans="2:32" x14ac:dyDescent="0.2">
      <c r="B33" s="127">
        <f t="shared" si="0"/>
        <v>0</v>
      </c>
      <c r="C33" s="127">
        <v>2016</v>
      </c>
      <c r="D33" s="127">
        <v>49</v>
      </c>
      <c r="E33" s="342"/>
      <c r="F33" s="343"/>
      <c r="G33" s="343"/>
      <c r="H33" s="343"/>
      <c r="I33" s="343"/>
      <c r="J33" s="343"/>
      <c r="K33" s="344"/>
      <c r="L33" s="344"/>
      <c r="M33" s="329"/>
      <c r="N33" s="344"/>
      <c r="O33" s="329"/>
      <c r="P33" s="329"/>
      <c r="Q33" s="329"/>
      <c r="R33" s="329"/>
      <c r="S33" s="329"/>
      <c r="T33" s="344"/>
      <c r="U33" s="344"/>
      <c r="V33" s="345"/>
      <c r="W33" s="127">
        <v>20</v>
      </c>
      <c r="AA33" s="336" t="str">
        <f t="shared" si="6"/>
        <v/>
      </c>
      <c r="AB33" s="336" t="str">
        <f t="shared" si="1"/>
        <v/>
      </c>
      <c r="AC33" s="336" t="str">
        <f t="shared" si="2"/>
        <v/>
      </c>
      <c r="AD33" s="336" t="str">
        <f t="shared" si="3"/>
        <v/>
      </c>
      <c r="AE33" s="336" t="str">
        <f t="shared" si="4"/>
        <v/>
      </c>
      <c r="AF33" s="336" t="str">
        <f t="shared" si="5"/>
        <v/>
      </c>
    </row>
    <row r="34" spans="2:32" x14ac:dyDescent="0.2">
      <c r="B34" s="127">
        <f t="shared" si="0"/>
        <v>0</v>
      </c>
      <c r="C34" s="127">
        <v>2016</v>
      </c>
      <c r="D34" s="127">
        <v>49</v>
      </c>
      <c r="E34" s="342"/>
      <c r="F34" s="343"/>
      <c r="G34" s="343"/>
      <c r="H34" s="343"/>
      <c r="I34" s="343"/>
      <c r="J34" s="343"/>
      <c r="K34" s="344"/>
      <c r="L34" s="344"/>
      <c r="M34" s="329"/>
      <c r="N34" s="344"/>
      <c r="O34" s="329"/>
      <c r="P34" s="329"/>
      <c r="Q34" s="329"/>
      <c r="R34" s="329"/>
      <c r="S34" s="329"/>
      <c r="T34" s="344"/>
      <c r="U34" s="344"/>
      <c r="V34" s="345"/>
      <c r="W34" s="127">
        <v>20</v>
      </c>
      <c r="AA34" s="336" t="str">
        <f t="shared" si="6"/>
        <v/>
      </c>
      <c r="AB34" s="336" t="str">
        <f t="shared" si="1"/>
        <v/>
      </c>
      <c r="AC34" s="336" t="str">
        <f t="shared" si="2"/>
        <v/>
      </c>
      <c r="AD34" s="336" t="str">
        <f t="shared" si="3"/>
        <v/>
      </c>
      <c r="AE34" s="336" t="str">
        <f t="shared" si="4"/>
        <v/>
      </c>
      <c r="AF34" s="336" t="str">
        <f t="shared" si="5"/>
        <v/>
      </c>
    </row>
    <row r="35" spans="2:32" x14ac:dyDescent="0.2">
      <c r="B35" s="127">
        <f t="shared" si="0"/>
        <v>0</v>
      </c>
      <c r="C35" s="127">
        <v>2016</v>
      </c>
      <c r="D35" s="127">
        <v>49</v>
      </c>
      <c r="E35" s="342"/>
      <c r="F35" s="343"/>
      <c r="G35" s="343"/>
      <c r="H35" s="343"/>
      <c r="I35" s="343"/>
      <c r="J35" s="343"/>
      <c r="K35" s="344"/>
      <c r="L35" s="344"/>
      <c r="M35" s="329"/>
      <c r="N35" s="344"/>
      <c r="O35" s="329"/>
      <c r="P35" s="329"/>
      <c r="Q35" s="329"/>
      <c r="R35" s="329"/>
      <c r="S35" s="329"/>
      <c r="T35" s="344"/>
      <c r="U35" s="344"/>
      <c r="V35" s="345"/>
      <c r="W35" s="127">
        <v>20</v>
      </c>
      <c r="AA35" s="336" t="str">
        <f t="shared" si="6"/>
        <v/>
      </c>
      <c r="AB35" s="336" t="str">
        <f t="shared" si="1"/>
        <v/>
      </c>
      <c r="AC35" s="336" t="str">
        <f t="shared" si="2"/>
        <v/>
      </c>
      <c r="AD35" s="336" t="str">
        <f t="shared" si="3"/>
        <v/>
      </c>
      <c r="AE35" s="336" t="str">
        <f t="shared" si="4"/>
        <v/>
      </c>
      <c r="AF35" s="336" t="str">
        <f t="shared" si="5"/>
        <v/>
      </c>
    </row>
    <row r="36" spans="2:32" x14ac:dyDescent="0.2">
      <c r="B36" s="127">
        <f t="shared" si="0"/>
        <v>0</v>
      </c>
      <c r="C36" s="127">
        <v>2016</v>
      </c>
      <c r="D36" s="127">
        <v>49</v>
      </c>
      <c r="E36" s="342"/>
      <c r="F36" s="343"/>
      <c r="G36" s="343"/>
      <c r="H36" s="343"/>
      <c r="I36" s="343"/>
      <c r="J36" s="343"/>
      <c r="K36" s="344"/>
      <c r="L36" s="344"/>
      <c r="M36" s="329"/>
      <c r="N36" s="344"/>
      <c r="O36" s="329"/>
      <c r="P36" s="329"/>
      <c r="Q36" s="329"/>
      <c r="R36" s="329"/>
      <c r="S36" s="329"/>
      <c r="T36" s="344"/>
      <c r="U36" s="344"/>
      <c r="V36" s="345"/>
      <c r="W36" s="127">
        <v>20</v>
      </c>
      <c r="AA36" s="336" t="str">
        <f t="shared" si="6"/>
        <v/>
      </c>
      <c r="AB36" s="336" t="str">
        <f t="shared" si="1"/>
        <v/>
      </c>
      <c r="AC36" s="336" t="str">
        <f t="shared" si="2"/>
        <v/>
      </c>
      <c r="AD36" s="336" t="str">
        <f t="shared" si="3"/>
        <v/>
      </c>
      <c r="AE36" s="336" t="str">
        <f t="shared" si="4"/>
        <v/>
      </c>
      <c r="AF36" s="336" t="str">
        <f t="shared" si="5"/>
        <v/>
      </c>
    </row>
    <row r="37" spans="2:32" x14ac:dyDescent="0.2">
      <c r="B37" s="127">
        <f t="shared" si="0"/>
        <v>0</v>
      </c>
      <c r="C37" s="127">
        <v>2016</v>
      </c>
      <c r="D37" s="127">
        <v>49</v>
      </c>
      <c r="E37" s="342"/>
      <c r="F37" s="343"/>
      <c r="G37" s="343"/>
      <c r="H37" s="343"/>
      <c r="I37" s="343"/>
      <c r="J37" s="343"/>
      <c r="K37" s="344"/>
      <c r="L37" s="344"/>
      <c r="M37" s="329"/>
      <c r="N37" s="344"/>
      <c r="O37" s="329"/>
      <c r="P37" s="329"/>
      <c r="Q37" s="329"/>
      <c r="R37" s="329"/>
      <c r="S37" s="329"/>
      <c r="T37" s="344"/>
      <c r="U37" s="344"/>
      <c r="V37" s="345"/>
      <c r="W37" s="127">
        <v>20</v>
      </c>
      <c r="AA37" s="336" t="str">
        <f t="shared" si="6"/>
        <v/>
      </c>
      <c r="AB37" s="336" t="str">
        <f t="shared" si="1"/>
        <v/>
      </c>
      <c r="AC37" s="336" t="str">
        <f t="shared" si="2"/>
        <v/>
      </c>
      <c r="AD37" s="336" t="str">
        <f t="shared" si="3"/>
        <v/>
      </c>
      <c r="AE37" s="336" t="str">
        <f t="shared" si="4"/>
        <v/>
      </c>
      <c r="AF37" s="336" t="str">
        <f t="shared" si="5"/>
        <v/>
      </c>
    </row>
    <row r="38" spans="2:32" x14ac:dyDescent="0.2">
      <c r="B38" s="127">
        <f t="shared" ref="B38:B48" si="7">start</f>
        <v>0</v>
      </c>
      <c r="C38" s="127">
        <v>2016</v>
      </c>
      <c r="D38" s="127">
        <v>49</v>
      </c>
      <c r="E38" s="342"/>
      <c r="F38" s="343"/>
      <c r="G38" s="343"/>
      <c r="H38" s="343"/>
      <c r="I38" s="343"/>
      <c r="J38" s="343"/>
      <c r="K38" s="344"/>
      <c r="L38" s="344"/>
      <c r="M38" s="329"/>
      <c r="N38" s="344"/>
      <c r="O38" s="329"/>
      <c r="P38" s="329"/>
      <c r="Q38" s="329"/>
      <c r="R38" s="329"/>
      <c r="S38" s="329"/>
      <c r="T38" s="344"/>
      <c r="U38" s="344"/>
      <c r="V38" s="345"/>
      <c r="W38" s="127">
        <v>20</v>
      </c>
      <c r="AA38" s="336" t="str">
        <f t="shared" si="6"/>
        <v/>
      </c>
      <c r="AB38" s="336" t="str">
        <f t="shared" si="1"/>
        <v/>
      </c>
      <c r="AC38" s="336" t="str">
        <f t="shared" si="2"/>
        <v/>
      </c>
      <c r="AD38" s="336" t="str">
        <f t="shared" si="3"/>
        <v/>
      </c>
      <c r="AE38" s="336" t="str">
        <f t="shared" si="4"/>
        <v/>
      </c>
      <c r="AF38" s="336" t="str">
        <f t="shared" si="5"/>
        <v/>
      </c>
    </row>
    <row r="39" spans="2:32" x14ac:dyDescent="0.2">
      <c r="B39" s="127">
        <f t="shared" si="7"/>
        <v>0</v>
      </c>
      <c r="C39" s="127">
        <v>2016</v>
      </c>
      <c r="D39" s="127">
        <v>49</v>
      </c>
      <c r="E39" s="342"/>
      <c r="F39" s="343"/>
      <c r="G39" s="343"/>
      <c r="H39" s="343"/>
      <c r="I39" s="343"/>
      <c r="J39" s="343"/>
      <c r="K39" s="344"/>
      <c r="L39" s="344"/>
      <c r="M39" s="329"/>
      <c r="N39" s="344"/>
      <c r="O39" s="329"/>
      <c r="P39" s="329"/>
      <c r="Q39" s="329"/>
      <c r="R39" s="329"/>
      <c r="S39" s="329"/>
      <c r="T39" s="344"/>
      <c r="U39" s="344"/>
      <c r="V39" s="345"/>
      <c r="W39" s="127">
        <v>20</v>
      </c>
      <c r="AA39" s="336" t="str">
        <f t="shared" si="6"/>
        <v/>
      </c>
      <c r="AB39" s="336" t="str">
        <f t="shared" si="1"/>
        <v/>
      </c>
      <c r="AC39" s="336" t="str">
        <f t="shared" si="2"/>
        <v/>
      </c>
      <c r="AD39" s="336" t="str">
        <f t="shared" si="3"/>
        <v/>
      </c>
      <c r="AE39" s="336" t="str">
        <f t="shared" si="4"/>
        <v/>
      </c>
      <c r="AF39" s="336" t="str">
        <f t="shared" si="5"/>
        <v/>
      </c>
    </row>
    <row r="40" spans="2:32" x14ac:dyDescent="0.2">
      <c r="B40" s="127">
        <f t="shared" si="7"/>
        <v>0</v>
      </c>
      <c r="C40" s="127">
        <v>2016</v>
      </c>
      <c r="D40" s="127">
        <v>49</v>
      </c>
      <c r="E40" s="342"/>
      <c r="F40" s="343"/>
      <c r="G40" s="343"/>
      <c r="H40" s="343"/>
      <c r="I40" s="343"/>
      <c r="J40" s="343"/>
      <c r="K40" s="344"/>
      <c r="L40" s="344"/>
      <c r="M40" s="329"/>
      <c r="N40" s="344"/>
      <c r="O40" s="329"/>
      <c r="P40" s="329"/>
      <c r="Q40" s="329"/>
      <c r="R40" s="329"/>
      <c r="S40" s="329"/>
      <c r="T40" s="344"/>
      <c r="U40" s="344"/>
      <c r="V40" s="345"/>
      <c r="W40" s="127">
        <v>20</v>
      </c>
      <c r="AA40" s="336" t="str">
        <f t="shared" si="6"/>
        <v/>
      </c>
      <c r="AB40" s="336" t="str">
        <f t="shared" si="1"/>
        <v/>
      </c>
      <c r="AC40" s="336" t="str">
        <f t="shared" si="2"/>
        <v/>
      </c>
      <c r="AD40" s="336" t="str">
        <f t="shared" si="3"/>
        <v/>
      </c>
      <c r="AE40" s="336" t="str">
        <f t="shared" si="4"/>
        <v/>
      </c>
      <c r="AF40" s="336" t="str">
        <f t="shared" si="5"/>
        <v/>
      </c>
    </row>
    <row r="41" spans="2:32" x14ac:dyDescent="0.2">
      <c r="B41" s="127">
        <f t="shared" si="7"/>
        <v>0</v>
      </c>
      <c r="C41" s="127">
        <v>2016</v>
      </c>
      <c r="D41" s="127">
        <v>49</v>
      </c>
      <c r="E41" s="342"/>
      <c r="F41" s="343"/>
      <c r="G41" s="343"/>
      <c r="H41" s="343"/>
      <c r="I41" s="343"/>
      <c r="J41" s="343"/>
      <c r="K41" s="344"/>
      <c r="L41" s="344"/>
      <c r="M41" s="329"/>
      <c r="N41" s="344"/>
      <c r="O41" s="329"/>
      <c r="P41" s="329"/>
      <c r="Q41" s="329"/>
      <c r="R41" s="329"/>
      <c r="S41" s="329"/>
      <c r="T41" s="344"/>
      <c r="U41" s="344"/>
      <c r="V41" s="345"/>
      <c r="W41" s="127">
        <v>20</v>
      </c>
      <c r="AA41" s="336" t="str">
        <f t="shared" si="6"/>
        <v/>
      </c>
      <c r="AB41" s="336" t="str">
        <f t="shared" si="1"/>
        <v/>
      </c>
      <c r="AC41" s="336" t="str">
        <f t="shared" si="2"/>
        <v/>
      </c>
      <c r="AD41" s="336" t="str">
        <f t="shared" si="3"/>
        <v/>
      </c>
      <c r="AE41" s="336" t="str">
        <f t="shared" si="4"/>
        <v/>
      </c>
      <c r="AF41" s="336" t="str">
        <f t="shared" si="5"/>
        <v/>
      </c>
    </row>
    <row r="42" spans="2:32" x14ac:dyDescent="0.2">
      <c r="B42" s="127">
        <f t="shared" si="7"/>
        <v>0</v>
      </c>
      <c r="C42" s="127">
        <v>2016</v>
      </c>
      <c r="D42" s="127">
        <v>49</v>
      </c>
      <c r="E42" s="342"/>
      <c r="F42" s="343"/>
      <c r="G42" s="343"/>
      <c r="H42" s="343"/>
      <c r="I42" s="343"/>
      <c r="J42" s="343"/>
      <c r="K42" s="344"/>
      <c r="L42" s="344"/>
      <c r="M42" s="329"/>
      <c r="N42" s="344"/>
      <c r="O42" s="329"/>
      <c r="P42" s="329"/>
      <c r="Q42" s="329"/>
      <c r="R42" s="329"/>
      <c r="S42" s="329"/>
      <c r="T42" s="344"/>
      <c r="U42" s="344"/>
      <c r="V42" s="345"/>
      <c r="W42" s="127">
        <v>20</v>
      </c>
      <c r="AA42" s="336" t="str">
        <f t="shared" si="6"/>
        <v/>
      </c>
      <c r="AB42" s="336" t="str">
        <f t="shared" si="1"/>
        <v/>
      </c>
      <c r="AC42" s="336" t="str">
        <f t="shared" si="2"/>
        <v/>
      </c>
      <c r="AD42" s="336" t="str">
        <f t="shared" si="3"/>
        <v/>
      </c>
      <c r="AE42" s="336" t="str">
        <f t="shared" si="4"/>
        <v/>
      </c>
      <c r="AF42" s="336" t="str">
        <f t="shared" si="5"/>
        <v/>
      </c>
    </row>
    <row r="43" spans="2:32" x14ac:dyDescent="0.2">
      <c r="B43" s="127">
        <f t="shared" si="7"/>
        <v>0</v>
      </c>
      <c r="C43" s="127">
        <v>2016</v>
      </c>
      <c r="D43" s="127">
        <v>49</v>
      </c>
      <c r="E43" s="342"/>
      <c r="F43" s="343"/>
      <c r="G43" s="343"/>
      <c r="H43" s="343"/>
      <c r="I43" s="343"/>
      <c r="J43" s="343"/>
      <c r="K43" s="344"/>
      <c r="L43" s="344"/>
      <c r="M43" s="329"/>
      <c r="N43" s="344"/>
      <c r="O43" s="329"/>
      <c r="P43" s="329"/>
      <c r="Q43" s="329"/>
      <c r="R43" s="329"/>
      <c r="S43" s="329"/>
      <c r="T43" s="344"/>
      <c r="U43" s="344"/>
      <c r="V43" s="345"/>
      <c r="W43" s="127">
        <v>20</v>
      </c>
      <c r="AA43" s="336" t="str">
        <f t="shared" si="6"/>
        <v/>
      </c>
      <c r="AB43" s="336" t="str">
        <f t="shared" si="1"/>
        <v/>
      </c>
      <c r="AC43" s="336" t="str">
        <f t="shared" si="2"/>
        <v/>
      </c>
      <c r="AD43" s="336" t="str">
        <f t="shared" si="3"/>
        <v/>
      </c>
      <c r="AE43" s="336" t="str">
        <f t="shared" si="4"/>
        <v/>
      </c>
      <c r="AF43" s="336" t="str">
        <f t="shared" si="5"/>
        <v/>
      </c>
    </row>
    <row r="44" spans="2:32" x14ac:dyDescent="0.2">
      <c r="B44" s="127">
        <f t="shared" si="7"/>
        <v>0</v>
      </c>
      <c r="C44" s="127">
        <v>2016</v>
      </c>
      <c r="D44" s="127">
        <v>49</v>
      </c>
      <c r="E44" s="342"/>
      <c r="F44" s="343"/>
      <c r="G44" s="343"/>
      <c r="H44" s="343"/>
      <c r="I44" s="343"/>
      <c r="J44" s="343"/>
      <c r="K44" s="344"/>
      <c r="L44" s="344"/>
      <c r="M44" s="329"/>
      <c r="N44" s="344"/>
      <c r="O44" s="329"/>
      <c r="P44" s="329"/>
      <c r="Q44" s="329"/>
      <c r="R44" s="329"/>
      <c r="S44" s="329"/>
      <c r="T44" s="344"/>
      <c r="U44" s="344"/>
      <c r="V44" s="345"/>
      <c r="W44" s="127">
        <v>20</v>
      </c>
      <c r="AA44" s="336" t="str">
        <f t="shared" si="6"/>
        <v/>
      </c>
      <c r="AB44" s="336" t="str">
        <f t="shared" si="1"/>
        <v/>
      </c>
      <c r="AC44" s="336" t="str">
        <f t="shared" si="2"/>
        <v/>
      </c>
      <c r="AD44" s="336" t="str">
        <f t="shared" si="3"/>
        <v/>
      </c>
      <c r="AE44" s="336" t="str">
        <f t="shared" si="4"/>
        <v/>
      </c>
      <c r="AF44" s="336" t="str">
        <f t="shared" si="5"/>
        <v/>
      </c>
    </row>
    <row r="45" spans="2:32" x14ac:dyDescent="0.2">
      <c r="B45" s="127">
        <f t="shared" si="7"/>
        <v>0</v>
      </c>
      <c r="C45" s="127">
        <v>2016</v>
      </c>
      <c r="D45" s="127">
        <v>49</v>
      </c>
      <c r="E45" s="342"/>
      <c r="F45" s="343"/>
      <c r="G45" s="343"/>
      <c r="H45" s="343"/>
      <c r="I45" s="343"/>
      <c r="J45" s="343"/>
      <c r="K45" s="344"/>
      <c r="L45" s="344"/>
      <c r="M45" s="329"/>
      <c r="N45" s="344"/>
      <c r="O45" s="329"/>
      <c r="P45" s="329"/>
      <c r="Q45" s="329"/>
      <c r="R45" s="329"/>
      <c r="S45" s="329"/>
      <c r="T45" s="344"/>
      <c r="U45" s="344"/>
      <c r="V45" s="345"/>
      <c r="W45" s="127">
        <v>20</v>
      </c>
      <c r="AA45" s="336" t="str">
        <f t="shared" si="6"/>
        <v/>
      </c>
      <c r="AB45" s="336" t="str">
        <f t="shared" si="1"/>
        <v/>
      </c>
      <c r="AC45" s="336" t="str">
        <f t="shared" si="2"/>
        <v/>
      </c>
      <c r="AD45" s="336" t="str">
        <f t="shared" si="3"/>
        <v/>
      </c>
      <c r="AE45" s="336" t="str">
        <f t="shared" si="4"/>
        <v/>
      </c>
      <c r="AF45" s="336" t="str">
        <f t="shared" si="5"/>
        <v/>
      </c>
    </row>
    <row r="46" spans="2:32" x14ac:dyDescent="0.2">
      <c r="B46" s="127">
        <f t="shared" si="7"/>
        <v>0</v>
      </c>
      <c r="C46" s="127">
        <v>2016</v>
      </c>
      <c r="D46" s="127">
        <v>49</v>
      </c>
      <c r="E46" s="342"/>
      <c r="F46" s="343"/>
      <c r="G46" s="343"/>
      <c r="H46" s="343"/>
      <c r="I46" s="343"/>
      <c r="J46" s="343"/>
      <c r="K46" s="344"/>
      <c r="L46" s="344"/>
      <c r="M46" s="329"/>
      <c r="N46" s="344"/>
      <c r="O46" s="329"/>
      <c r="P46" s="329"/>
      <c r="Q46" s="329"/>
      <c r="R46" s="329"/>
      <c r="S46" s="329"/>
      <c r="T46" s="344"/>
      <c r="U46" s="344"/>
      <c r="V46" s="345"/>
      <c r="W46" s="127">
        <v>20</v>
      </c>
      <c r="AA46" s="336" t="str">
        <f t="shared" si="6"/>
        <v/>
      </c>
      <c r="AB46" s="336" t="str">
        <f t="shared" si="1"/>
        <v/>
      </c>
      <c r="AC46" s="336" t="str">
        <f t="shared" si="2"/>
        <v/>
      </c>
      <c r="AD46" s="336" t="str">
        <f t="shared" si="3"/>
        <v/>
      </c>
      <c r="AE46" s="336" t="str">
        <f t="shared" si="4"/>
        <v/>
      </c>
      <c r="AF46" s="336" t="str">
        <f t="shared" si="5"/>
        <v/>
      </c>
    </row>
    <row r="47" spans="2:32" x14ac:dyDescent="0.2">
      <c r="B47" s="127">
        <f t="shared" si="7"/>
        <v>0</v>
      </c>
      <c r="C47" s="127">
        <v>2016</v>
      </c>
      <c r="D47" s="127">
        <v>49</v>
      </c>
      <c r="E47" s="342"/>
      <c r="F47" s="343"/>
      <c r="G47" s="343"/>
      <c r="H47" s="343"/>
      <c r="I47" s="343"/>
      <c r="J47" s="343"/>
      <c r="K47" s="344"/>
      <c r="L47" s="344"/>
      <c r="M47" s="329"/>
      <c r="N47" s="344"/>
      <c r="O47" s="329"/>
      <c r="P47" s="329"/>
      <c r="Q47" s="329"/>
      <c r="R47" s="329"/>
      <c r="S47" s="329"/>
      <c r="T47" s="344"/>
      <c r="U47" s="344"/>
      <c r="V47" s="345"/>
      <c r="W47" s="127">
        <v>20</v>
      </c>
      <c r="AA47" s="336" t="str">
        <f t="shared" si="6"/>
        <v/>
      </c>
      <c r="AB47" s="336" t="str">
        <f t="shared" si="1"/>
        <v/>
      </c>
      <c r="AC47" s="336" t="str">
        <f t="shared" si="2"/>
        <v/>
      </c>
      <c r="AD47" s="336" t="str">
        <f t="shared" si="3"/>
        <v/>
      </c>
      <c r="AE47" s="336" t="str">
        <f t="shared" si="4"/>
        <v/>
      </c>
      <c r="AF47" s="336" t="str">
        <f t="shared" si="5"/>
        <v/>
      </c>
    </row>
    <row r="48" spans="2:32" ht="13.5" thickBot="1" x14ac:dyDescent="0.25">
      <c r="B48" s="127">
        <f t="shared" si="7"/>
        <v>0</v>
      </c>
      <c r="C48" s="127">
        <v>2016</v>
      </c>
      <c r="D48" s="127">
        <v>49</v>
      </c>
      <c r="E48" s="346"/>
      <c r="F48" s="347"/>
      <c r="G48" s="347"/>
      <c r="H48" s="347"/>
      <c r="I48" s="347"/>
      <c r="J48" s="347"/>
      <c r="K48" s="348"/>
      <c r="L48" s="348"/>
      <c r="M48" s="334"/>
      <c r="N48" s="348"/>
      <c r="O48" s="334"/>
      <c r="P48" s="334"/>
      <c r="Q48" s="334"/>
      <c r="R48" s="334"/>
      <c r="S48" s="334"/>
      <c r="T48" s="348"/>
      <c r="U48" s="348"/>
      <c r="V48" s="349"/>
      <c r="W48" s="127">
        <v>20</v>
      </c>
      <c r="AA48" s="336" t="str">
        <f t="shared" si="6"/>
        <v/>
      </c>
      <c r="AB48" s="336" t="str">
        <f t="shared" si="1"/>
        <v/>
      </c>
      <c r="AC48" s="336" t="str">
        <f t="shared" si="2"/>
        <v/>
      </c>
      <c r="AD48" s="336" t="str">
        <f t="shared" si="3"/>
        <v/>
      </c>
      <c r="AE48" s="336" t="str">
        <f t="shared" si="4"/>
        <v/>
      </c>
      <c r="AF48" s="336" t="str">
        <f t="shared" si="5"/>
        <v/>
      </c>
    </row>
    <row r="49" spans="27:32" x14ac:dyDescent="0.2">
      <c r="AA49" s="336" t="str">
        <f t="shared" si="6"/>
        <v/>
      </c>
      <c r="AB49" s="336" t="str">
        <f t="shared" si="1"/>
        <v/>
      </c>
      <c r="AC49" s="336" t="str">
        <f t="shared" si="2"/>
        <v/>
      </c>
      <c r="AD49" s="336" t="str">
        <f t="shared" si="3"/>
        <v/>
      </c>
      <c r="AE49" s="336" t="str">
        <f t="shared" si="4"/>
        <v/>
      </c>
      <c r="AF49" s="336" t="str">
        <f t="shared" si="5"/>
        <v/>
      </c>
    </row>
    <row r="50" spans="27:32" x14ac:dyDescent="0.2">
      <c r="AA50" s="336" t="str">
        <f t="shared" si="6"/>
        <v/>
      </c>
      <c r="AB50" s="336" t="str">
        <f t="shared" si="1"/>
        <v/>
      </c>
      <c r="AC50" s="336" t="str">
        <f t="shared" si="2"/>
        <v/>
      </c>
      <c r="AD50" s="336" t="str">
        <f t="shared" si="3"/>
        <v/>
      </c>
      <c r="AE50" s="336" t="str">
        <f t="shared" si="4"/>
        <v/>
      </c>
      <c r="AF50" s="336" t="str">
        <f t="shared" si="5"/>
        <v/>
      </c>
    </row>
    <row r="51" spans="27:32" x14ac:dyDescent="0.2">
      <c r="AA51" s="336" t="str">
        <f t="shared" si="6"/>
        <v/>
      </c>
      <c r="AB51" s="336" t="str">
        <f t="shared" si="1"/>
        <v/>
      </c>
      <c r="AC51" s="336" t="str">
        <f t="shared" si="2"/>
        <v/>
      </c>
      <c r="AD51" s="336" t="str">
        <f t="shared" si="3"/>
        <v/>
      </c>
      <c r="AE51" s="336" t="str">
        <f t="shared" si="4"/>
        <v/>
      </c>
      <c r="AF51" s="336" t="str">
        <f t="shared" si="5"/>
        <v/>
      </c>
    </row>
    <row r="52" spans="27:32" x14ac:dyDescent="0.2">
      <c r="AA52" s="336" t="str">
        <f t="shared" si="6"/>
        <v/>
      </c>
      <c r="AB52" s="336" t="str">
        <f t="shared" si="1"/>
        <v/>
      </c>
      <c r="AC52" s="336" t="str">
        <f t="shared" si="2"/>
        <v/>
      </c>
      <c r="AD52" s="336" t="str">
        <f t="shared" si="3"/>
        <v/>
      </c>
      <c r="AE52" s="336" t="str">
        <f t="shared" si="4"/>
        <v/>
      </c>
      <c r="AF52" s="336" t="str">
        <f t="shared" si="5"/>
        <v/>
      </c>
    </row>
    <row r="53" spans="27:32" x14ac:dyDescent="0.2">
      <c r="AA53" s="336" t="str">
        <f t="shared" si="6"/>
        <v/>
      </c>
      <c r="AB53" s="336" t="str">
        <f t="shared" si="1"/>
        <v/>
      </c>
      <c r="AC53" s="336" t="str">
        <f t="shared" si="2"/>
        <v/>
      </c>
      <c r="AD53" s="336" t="str">
        <f t="shared" si="3"/>
        <v/>
      </c>
      <c r="AE53" s="336" t="str">
        <f t="shared" si="4"/>
        <v/>
      </c>
      <c r="AF53" s="336" t="str">
        <f t="shared" si="5"/>
        <v/>
      </c>
    </row>
    <row r="54" spans="27:32" x14ac:dyDescent="0.2">
      <c r="AA54" s="336" t="str">
        <f t="shared" si="6"/>
        <v/>
      </c>
      <c r="AB54" s="336" t="str">
        <f t="shared" si="1"/>
        <v/>
      </c>
      <c r="AC54" s="336" t="str">
        <f t="shared" si="2"/>
        <v/>
      </c>
      <c r="AD54" s="336" t="str">
        <f t="shared" si="3"/>
        <v/>
      </c>
      <c r="AE54" s="336" t="str">
        <f t="shared" si="4"/>
        <v/>
      </c>
      <c r="AF54" s="336" t="str">
        <f t="shared" si="5"/>
        <v/>
      </c>
    </row>
    <row r="55" spans="27:32" x14ac:dyDescent="0.2">
      <c r="AA55" s="336" t="str">
        <f t="shared" si="6"/>
        <v/>
      </c>
      <c r="AB55" s="336" t="str">
        <f t="shared" si="1"/>
        <v/>
      </c>
      <c r="AC55" s="336" t="str">
        <f t="shared" si="2"/>
        <v/>
      </c>
      <c r="AD55" s="336" t="str">
        <f t="shared" si="3"/>
        <v/>
      </c>
      <c r="AE55" s="336" t="str">
        <f t="shared" si="4"/>
        <v/>
      </c>
      <c r="AF55" s="336" t="str">
        <f t="shared" si="5"/>
        <v/>
      </c>
    </row>
    <row r="56" spans="27:32" x14ac:dyDescent="0.2">
      <c r="AA56" s="336" t="str">
        <f t="shared" si="6"/>
        <v/>
      </c>
      <c r="AB56" s="336" t="str">
        <f t="shared" si="1"/>
        <v/>
      </c>
      <c r="AC56" s="336" t="str">
        <f t="shared" si="2"/>
        <v/>
      </c>
      <c r="AD56" s="336" t="str">
        <f t="shared" si="3"/>
        <v/>
      </c>
      <c r="AE56" s="336" t="str">
        <f t="shared" si="4"/>
        <v/>
      </c>
      <c r="AF56" s="336" t="str">
        <f t="shared" si="5"/>
        <v/>
      </c>
    </row>
    <row r="57" spans="27:32" x14ac:dyDescent="0.2">
      <c r="AA57" s="336" t="str">
        <f t="shared" si="6"/>
        <v/>
      </c>
      <c r="AB57" s="336" t="str">
        <f t="shared" si="1"/>
        <v/>
      </c>
      <c r="AC57" s="336" t="str">
        <f t="shared" si="2"/>
        <v/>
      </c>
      <c r="AD57" s="336" t="str">
        <f t="shared" si="3"/>
        <v/>
      </c>
      <c r="AE57" s="336" t="str">
        <f t="shared" si="4"/>
        <v/>
      </c>
      <c r="AF57" s="336" t="str">
        <f t="shared" si="5"/>
        <v/>
      </c>
    </row>
    <row r="58" spans="27:32" x14ac:dyDescent="0.2">
      <c r="AA58" s="336" t="str">
        <f t="shared" si="6"/>
        <v/>
      </c>
      <c r="AB58" s="336" t="str">
        <f t="shared" si="1"/>
        <v/>
      </c>
      <c r="AC58" s="336" t="str">
        <f t="shared" si="2"/>
        <v/>
      </c>
      <c r="AD58" s="336" t="str">
        <f t="shared" si="3"/>
        <v/>
      </c>
      <c r="AE58" s="336" t="str">
        <f t="shared" si="4"/>
        <v/>
      </c>
      <c r="AF58" s="336" t="str">
        <f t="shared" si="5"/>
        <v/>
      </c>
    </row>
    <row r="59" spans="27:32" x14ac:dyDescent="0.2">
      <c r="AA59" s="336" t="str">
        <f t="shared" si="6"/>
        <v/>
      </c>
      <c r="AB59" s="336" t="str">
        <f t="shared" si="1"/>
        <v/>
      </c>
      <c r="AC59" s="336" t="str">
        <f t="shared" si="2"/>
        <v/>
      </c>
      <c r="AD59" s="336" t="str">
        <f t="shared" si="3"/>
        <v/>
      </c>
      <c r="AE59" s="336" t="str">
        <f t="shared" si="4"/>
        <v/>
      </c>
      <c r="AF59" s="336" t="str">
        <f t="shared" si="5"/>
        <v/>
      </c>
    </row>
    <row r="60" spans="27:32" x14ac:dyDescent="0.2">
      <c r="AA60" s="336" t="str">
        <f t="shared" si="6"/>
        <v/>
      </c>
      <c r="AB60" s="336" t="str">
        <f t="shared" si="1"/>
        <v/>
      </c>
      <c r="AC60" s="336" t="str">
        <f t="shared" si="2"/>
        <v/>
      </c>
      <c r="AD60" s="336" t="str">
        <f t="shared" si="3"/>
        <v/>
      </c>
      <c r="AE60" s="336" t="str">
        <f t="shared" si="4"/>
        <v/>
      </c>
      <c r="AF60" s="336" t="str">
        <f t="shared" si="5"/>
        <v/>
      </c>
    </row>
    <row r="61" spans="27:32" x14ac:dyDescent="0.2">
      <c r="AA61" s="336" t="str">
        <f t="shared" si="6"/>
        <v/>
      </c>
      <c r="AB61" s="336" t="str">
        <f t="shared" si="1"/>
        <v/>
      </c>
      <c r="AC61" s="336" t="str">
        <f t="shared" si="2"/>
        <v/>
      </c>
      <c r="AD61" s="336" t="str">
        <f t="shared" si="3"/>
        <v/>
      </c>
      <c r="AE61" s="336" t="str">
        <f t="shared" si="4"/>
        <v/>
      </c>
      <c r="AF61" s="336" t="str">
        <f t="shared" si="5"/>
        <v/>
      </c>
    </row>
    <row r="62" spans="27:32" x14ac:dyDescent="0.2">
      <c r="AA62" s="336" t="str">
        <f t="shared" si="6"/>
        <v/>
      </c>
      <c r="AB62" s="336" t="str">
        <f t="shared" si="1"/>
        <v/>
      </c>
      <c r="AC62" s="336" t="str">
        <f t="shared" si="2"/>
        <v/>
      </c>
      <c r="AD62" s="336" t="str">
        <f t="shared" si="3"/>
        <v/>
      </c>
      <c r="AE62" s="336" t="str">
        <f t="shared" si="4"/>
        <v/>
      </c>
      <c r="AF62" s="336" t="str">
        <f t="shared" si="5"/>
        <v/>
      </c>
    </row>
    <row r="63" spans="27:32" x14ac:dyDescent="0.2">
      <c r="AA63" s="336" t="str">
        <f t="shared" si="6"/>
        <v/>
      </c>
      <c r="AB63" s="336" t="str">
        <f t="shared" si="1"/>
        <v/>
      </c>
      <c r="AC63" s="336" t="str">
        <f t="shared" si="2"/>
        <v/>
      </c>
      <c r="AD63" s="336" t="str">
        <f t="shared" si="3"/>
        <v/>
      </c>
      <c r="AE63" s="336" t="str">
        <f t="shared" si="4"/>
        <v/>
      </c>
      <c r="AF63" s="336" t="str">
        <f t="shared" si="5"/>
        <v/>
      </c>
    </row>
    <row r="64" spans="27:32" x14ac:dyDescent="0.2">
      <c r="AA64" s="336" t="str">
        <f t="shared" si="6"/>
        <v/>
      </c>
      <c r="AB64" s="336" t="str">
        <f t="shared" si="1"/>
        <v/>
      </c>
      <c r="AC64" s="336" t="str">
        <f t="shared" si="2"/>
        <v/>
      </c>
      <c r="AD64" s="336" t="str">
        <f t="shared" si="3"/>
        <v/>
      </c>
      <c r="AE64" s="336" t="str">
        <f t="shared" si="4"/>
        <v/>
      </c>
      <c r="AF64" s="336" t="str">
        <f t="shared" si="5"/>
        <v/>
      </c>
    </row>
    <row r="65" spans="27:32" x14ac:dyDescent="0.2">
      <c r="AA65" s="336" t="str">
        <f t="shared" si="6"/>
        <v/>
      </c>
      <c r="AB65" s="336" t="str">
        <f t="shared" si="1"/>
        <v/>
      </c>
      <c r="AC65" s="336" t="str">
        <f t="shared" si="2"/>
        <v/>
      </c>
      <c r="AD65" s="336" t="str">
        <f t="shared" si="3"/>
        <v/>
      </c>
      <c r="AE65" s="336" t="str">
        <f t="shared" si="4"/>
        <v/>
      </c>
      <c r="AF65" s="336" t="str">
        <f t="shared" si="5"/>
        <v/>
      </c>
    </row>
    <row r="66" spans="27:32" x14ac:dyDescent="0.2">
      <c r="AA66" s="336" t="str">
        <f t="shared" si="6"/>
        <v/>
      </c>
      <c r="AB66" s="336" t="str">
        <f t="shared" si="1"/>
        <v/>
      </c>
      <c r="AC66" s="336" t="str">
        <f t="shared" si="2"/>
        <v/>
      </c>
      <c r="AD66" s="336" t="str">
        <f t="shared" si="3"/>
        <v/>
      </c>
      <c r="AE66" s="336" t="str">
        <f t="shared" si="4"/>
        <v/>
      </c>
      <c r="AF66" s="336" t="str">
        <f t="shared" si="5"/>
        <v/>
      </c>
    </row>
    <row r="67" spans="27:32" x14ac:dyDescent="0.2">
      <c r="AA67" s="336" t="str">
        <f t="shared" si="6"/>
        <v/>
      </c>
      <c r="AB67" s="336" t="str">
        <f t="shared" si="1"/>
        <v/>
      </c>
      <c r="AC67" s="336" t="str">
        <f t="shared" si="2"/>
        <v/>
      </c>
      <c r="AD67" s="336" t="str">
        <f t="shared" si="3"/>
        <v/>
      </c>
      <c r="AE67" s="336" t="str">
        <f t="shared" si="4"/>
        <v/>
      </c>
      <c r="AF67" s="336" t="str">
        <f t="shared" si="5"/>
        <v/>
      </c>
    </row>
    <row r="68" spans="27:32" x14ac:dyDescent="0.2">
      <c r="AA68" s="336" t="str">
        <f t="shared" si="6"/>
        <v/>
      </c>
      <c r="AB68" s="336" t="str">
        <f t="shared" si="1"/>
        <v/>
      </c>
      <c r="AC68" s="336" t="str">
        <f t="shared" si="2"/>
        <v/>
      </c>
      <c r="AD68" s="336" t="str">
        <f t="shared" si="3"/>
        <v/>
      </c>
      <c r="AE68" s="336" t="str">
        <f t="shared" si="4"/>
        <v/>
      </c>
      <c r="AF68" s="336" t="str">
        <f t="shared" si="5"/>
        <v/>
      </c>
    </row>
    <row r="69" spans="27:32" x14ac:dyDescent="0.2">
      <c r="AA69" s="336" t="str">
        <f t="shared" si="6"/>
        <v/>
      </c>
      <c r="AB69" s="336" t="str">
        <f t="shared" si="1"/>
        <v/>
      </c>
      <c r="AC69" s="336" t="str">
        <f t="shared" si="2"/>
        <v/>
      </c>
      <c r="AD69" s="336" t="str">
        <f t="shared" si="3"/>
        <v/>
      </c>
      <c r="AE69" s="336" t="str">
        <f t="shared" si="4"/>
        <v/>
      </c>
      <c r="AF69" s="336" t="str">
        <f t="shared" si="5"/>
        <v/>
      </c>
    </row>
    <row r="70" spans="27:32" x14ac:dyDescent="0.2">
      <c r="AA70" s="336" t="str">
        <f t="shared" si="6"/>
        <v/>
      </c>
      <c r="AB70" s="336" t="str">
        <f t="shared" si="1"/>
        <v/>
      </c>
      <c r="AC70" s="336" t="str">
        <f t="shared" si="2"/>
        <v/>
      </c>
      <c r="AD70" s="336" t="str">
        <f t="shared" si="3"/>
        <v/>
      </c>
      <c r="AE70" s="336" t="str">
        <f t="shared" si="4"/>
        <v/>
      </c>
      <c r="AF70" s="336" t="str">
        <f t="shared" si="5"/>
        <v/>
      </c>
    </row>
    <row r="71" spans="27:32" x14ac:dyDescent="0.2">
      <c r="AA71" s="336" t="str">
        <f t="shared" si="6"/>
        <v/>
      </c>
      <c r="AB71" s="336" t="str">
        <f t="shared" ref="AB71:AB134" si="8">IF(NOT(ISBLANK(F71)),L71,"")</f>
        <v/>
      </c>
      <c r="AC71" s="336" t="str">
        <f t="shared" ref="AC71:AC134" si="9">IF(NOT(ISBLANK(G71)),L71,"")</f>
        <v/>
      </c>
      <c r="AD71" s="336" t="str">
        <f t="shared" ref="AD71:AD134" si="10">IF(NOT(ISBLANK(H71)),L71,"")</f>
        <v/>
      </c>
      <c r="AE71" s="336" t="str">
        <f t="shared" ref="AE71:AE134" si="11">IF(NOT(ISBLANK(I71)),L71,"")</f>
        <v/>
      </c>
      <c r="AF71" s="336" t="str">
        <f t="shared" ref="AF71:AF134" si="12">IF(NOT(ISBLANK(J71)),L71,"")</f>
        <v/>
      </c>
    </row>
    <row r="72" spans="27:32" x14ac:dyDescent="0.2">
      <c r="AA72" s="336" t="str">
        <f t="shared" ref="AA72:AA135" si="13">IF(NOT(ISBLANK(E72)),L72,"")</f>
        <v/>
      </c>
      <c r="AB72" s="336" t="str">
        <f t="shared" si="8"/>
        <v/>
      </c>
      <c r="AC72" s="336" t="str">
        <f t="shared" si="9"/>
        <v/>
      </c>
      <c r="AD72" s="336" t="str">
        <f t="shared" si="10"/>
        <v/>
      </c>
      <c r="AE72" s="336" t="str">
        <f t="shared" si="11"/>
        <v/>
      </c>
      <c r="AF72" s="336" t="str">
        <f t="shared" si="12"/>
        <v/>
      </c>
    </row>
    <row r="73" spans="27:32" x14ac:dyDescent="0.2">
      <c r="AA73" s="336" t="str">
        <f t="shared" si="13"/>
        <v/>
      </c>
      <c r="AB73" s="336" t="str">
        <f t="shared" si="8"/>
        <v/>
      </c>
      <c r="AC73" s="336" t="str">
        <f t="shared" si="9"/>
        <v/>
      </c>
      <c r="AD73" s="336" t="str">
        <f t="shared" si="10"/>
        <v/>
      </c>
      <c r="AE73" s="336" t="str">
        <f t="shared" si="11"/>
        <v/>
      </c>
      <c r="AF73" s="336" t="str">
        <f t="shared" si="12"/>
        <v/>
      </c>
    </row>
    <row r="74" spans="27:32" x14ac:dyDescent="0.2">
      <c r="AA74" s="336" t="str">
        <f t="shared" si="13"/>
        <v/>
      </c>
      <c r="AB74" s="336" t="str">
        <f t="shared" si="8"/>
        <v/>
      </c>
      <c r="AC74" s="336" t="str">
        <f t="shared" si="9"/>
        <v/>
      </c>
      <c r="AD74" s="336" t="str">
        <f t="shared" si="10"/>
        <v/>
      </c>
      <c r="AE74" s="336" t="str">
        <f t="shared" si="11"/>
        <v/>
      </c>
      <c r="AF74" s="336" t="str">
        <f t="shared" si="12"/>
        <v/>
      </c>
    </row>
    <row r="75" spans="27:32" x14ac:dyDescent="0.2">
      <c r="AA75" s="336" t="str">
        <f t="shared" si="13"/>
        <v/>
      </c>
      <c r="AB75" s="336" t="str">
        <f t="shared" si="8"/>
        <v/>
      </c>
      <c r="AC75" s="336" t="str">
        <f t="shared" si="9"/>
        <v/>
      </c>
      <c r="AD75" s="336" t="str">
        <f t="shared" si="10"/>
        <v/>
      </c>
      <c r="AE75" s="336" t="str">
        <f t="shared" si="11"/>
        <v/>
      </c>
      <c r="AF75" s="336" t="str">
        <f t="shared" si="12"/>
        <v/>
      </c>
    </row>
    <row r="76" spans="27:32" x14ac:dyDescent="0.2">
      <c r="AA76" s="336" t="str">
        <f t="shared" si="13"/>
        <v/>
      </c>
      <c r="AB76" s="336" t="str">
        <f t="shared" si="8"/>
        <v/>
      </c>
      <c r="AC76" s="336" t="str">
        <f t="shared" si="9"/>
        <v/>
      </c>
      <c r="AD76" s="336" t="str">
        <f t="shared" si="10"/>
        <v/>
      </c>
      <c r="AE76" s="336" t="str">
        <f t="shared" si="11"/>
        <v/>
      </c>
      <c r="AF76" s="336" t="str">
        <f t="shared" si="12"/>
        <v/>
      </c>
    </row>
    <row r="77" spans="27:32" x14ac:dyDescent="0.2">
      <c r="AA77" s="336" t="str">
        <f t="shared" si="13"/>
        <v/>
      </c>
      <c r="AB77" s="336" t="str">
        <f t="shared" si="8"/>
        <v/>
      </c>
      <c r="AC77" s="336" t="str">
        <f t="shared" si="9"/>
        <v/>
      </c>
      <c r="AD77" s="336" t="str">
        <f t="shared" si="10"/>
        <v/>
      </c>
      <c r="AE77" s="336" t="str">
        <f t="shared" si="11"/>
        <v/>
      </c>
      <c r="AF77" s="336" t="str">
        <f t="shared" si="12"/>
        <v/>
      </c>
    </row>
    <row r="78" spans="27:32" x14ac:dyDescent="0.2">
      <c r="AA78" s="336" t="str">
        <f t="shared" si="13"/>
        <v/>
      </c>
      <c r="AB78" s="336" t="str">
        <f t="shared" si="8"/>
        <v/>
      </c>
      <c r="AC78" s="336" t="str">
        <f t="shared" si="9"/>
        <v/>
      </c>
      <c r="AD78" s="336" t="str">
        <f t="shared" si="10"/>
        <v/>
      </c>
      <c r="AE78" s="336" t="str">
        <f t="shared" si="11"/>
        <v/>
      </c>
      <c r="AF78" s="336" t="str">
        <f t="shared" si="12"/>
        <v/>
      </c>
    </row>
    <row r="79" spans="27:32" x14ac:dyDescent="0.2">
      <c r="AA79" s="336" t="str">
        <f t="shared" si="13"/>
        <v/>
      </c>
      <c r="AB79" s="336" t="str">
        <f t="shared" si="8"/>
        <v/>
      </c>
      <c r="AC79" s="336" t="str">
        <f t="shared" si="9"/>
        <v/>
      </c>
      <c r="AD79" s="336" t="str">
        <f t="shared" si="10"/>
        <v/>
      </c>
      <c r="AE79" s="336" t="str">
        <f t="shared" si="11"/>
        <v/>
      </c>
      <c r="AF79" s="336" t="str">
        <f t="shared" si="12"/>
        <v/>
      </c>
    </row>
    <row r="80" spans="27:32" x14ac:dyDescent="0.2">
      <c r="AA80" s="336" t="str">
        <f t="shared" si="13"/>
        <v/>
      </c>
      <c r="AB80" s="336" t="str">
        <f t="shared" si="8"/>
        <v/>
      </c>
      <c r="AC80" s="336" t="str">
        <f t="shared" si="9"/>
        <v/>
      </c>
      <c r="AD80" s="336" t="str">
        <f t="shared" si="10"/>
        <v/>
      </c>
      <c r="AE80" s="336" t="str">
        <f t="shared" si="11"/>
        <v/>
      </c>
      <c r="AF80" s="336" t="str">
        <f t="shared" si="12"/>
        <v/>
      </c>
    </row>
    <row r="81" spans="27:32" x14ac:dyDescent="0.2">
      <c r="AA81" s="336" t="str">
        <f t="shared" si="13"/>
        <v/>
      </c>
      <c r="AB81" s="336" t="str">
        <f t="shared" si="8"/>
        <v/>
      </c>
      <c r="AC81" s="336" t="str">
        <f t="shared" si="9"/>
        <v/>
      </c>
      <c r="AD81" s="336" t="str">
        <f t="shared" si="10"/>
        <v/>
      </c>
      <c r="AE81" s="336" t="str">
        <f t="shared" si="11"/>
        <v/>
      </c>
      <c r="AF81" s="336" t="str">
        <f t="shared" si="12"/>
        <v/>
      </c>
    </row>
    <row r="82" spans="27:32" x14ac:dyDescent="0.2">
      <c r="AA82" s="336" t="str">
        <f t="shared" si="13"/>
        <v/>
      </c>
      <c r="AB82" s="336" t="str">
        <f t="shared" si="8"/>
        <v/>
      </c>
      <c r="AC82" s="336" t="str">
        <f t="shared" si="9"/>
        <v/>
      </c>
      <c r="AD82" s="336" t="str">
        <f t="shared" si="10"/>
        <v/>
      </c>
      <c r="AE82" s="336" t="str">
        <f t="shared" si="11"/>
        <v/>
      </c>
      <c r="AF82" s="336" t="str">
        <f t="shared" si="12"/>
        <v/>
      </c>
    </row>
    <row r="83" spans="27:32" x14ac:dyDescent="0.2">
      <c r="AA83" s="336" t="str">
        <f t="shared" si="13"/>
        <v/>
      </c>
      <c r="AB83" s="336" t="str">
        <f t="shared" si="8"/>
        <v/>
      </c>
      <c r="AC83" s="336" t="str">
        <f t="shared" si="9"/>
        <v/>
      </c>
      <c r="AD83" s="336" t="str">
        <f t="shared" si="10"/>
        <v/>
      </c>
      <c r="AE83" s="336" t="str">
        <f t="shared" si="11"/>
        <v/>
      </c>
      <c r="AF83" s="336" t="str">
        <f t="shared" si="12"/>
        <v/>
      </c>
    </row>
    <row r="84" spans="27:32" x14ac:dyDescent="0.2">
      <c r="AA84" s="336" t="str">
        <f t="shared" si="13"/>
        <v/>
      </c>
      <c r="AB84" s="336" t="str">
        <f t="shared" si="8"/>
        <v/>
      </c>
      <c r="AC84" s="336" t="str">
        <f t="shared" si="9"/>
        <v/>
      </c>
      <c r="AD84" s="336" t="str">
        <f t="shared" si="10"/>
        <v/>
      </c>
      <c r="AE84" s="336" t="str">
        <f t="shared" si="11"/>
        <v/>
      </c>
      <c r="AF84" s="336" t="str">
        <f t="shared" si="12"/>
        <v/>
      </c>
    </row>
    <row r="85" spans="27:32" x14ac:dyDescent="0.2">
      <c r="AA85" s="336" t="str">
        <f t="shared" si="13"/>
        <v/>
      </c>
      <c r="AB85" s="336" t="str">
        <f t="shared" si="8"/>
        <v/>
      </c>
      <c r="AC85" s="336" t="str">
        <f t="shared" si="9"/>
        <v/>
      </c>
      <c r="AD85" s="336" t="str">
        <f t="shared" si="10"/>
        <v/>
      </c>
      <c r="AE85" s="336" t="str">
        <f t="shared" si="11"/>
        <v/>
      </c>
      <c r="AF85" s="336" t="str">
        <f t="shared" si="12"/>
        <v/>
      </c>
    </row>
    <row r="86" spans="27:32" x14ac:dyDescent="0.2">
      <c r="AA86" s="336" t="str">
        <f t="shared" si="13"/>
        <v/>
      </c>
      <c r="AB86" s="336" t="str">
        <f t="shared" si="8"/>
        <v/>
      </c>
      <c r="AC86" s="336" t="str">
        <f t="shared" si="9"/>
        <v/>
      </c>
      <c r="AD86" s="336" t="str">
        <f t="shared" si="10"/>
        <v/>
      </c>
      <c r="AE86" s="336" t="str">
        <f t="shared" si="11"/>
        <v/>
      </c>
      <c r="AF86" s="336" t="str">
        <f t="shared" si="12"/>
        <v/>
      </c>
    </row>
    <row r="87" spans="27:32" x14ac:dyDescent="0.2">
      <c r="AA87" s="336" t="str">
        <f t="shared" si="13"/>
        <v/>
      </c>
      <c r="AB87" s="336" t="str">
        <f t="shared" si="8"/>
        <v/>
      </c>
      <c r="AC87" s="336" t="str">
        <f t="shared" si="9"/>
        <v/>
      </c>
      <c r="AD87" s="336" t="str">
        <f t="shared" si="10"/>
        <v/>
      </c>
      <c r="AE87" s="336" t="str">
        <f t="shared" si="11"/>
        <v/>
      </c>
      <c r="AF87" s="336" t="str">
        <f t="shared" si="12"/>
        <v/>
      </c>
    </row>
    <row r="88" spans="27:32" x14ac:dyDescent="0.2">
      <c r="AA88" s="336" t="str">
        <f t="shared" si="13"/>
        <v/>
      </c>
      <c r="AB88" s="336" t="str">
        <f t="shared" si="8"/>
        <v/>
      </c>
      <c r="AC88" s="336" t="str">
        <f t="shared" si="9"/>
        <v/>
      </c>
      <c r="AD88" s="336" t="str">
        <f t="shared" si="10"/>
        <v/>
      </c>
      <c r="AE88" s="336" t="str">
        <f t="shared" si="11"/>
        <v/>
      </c>
      <c r="AF88" s="336" t="str">
        <f t="shared" si="12"/>
        <v/>
      </c>
    </row>
    <row r="89" spans="27:32" x14ac:dyDescent="0.2">
      <c r="AA89" s="336" t="str">
        <f t="shared" si="13"/>
        <v/>
      </c>
      <c r="AB89" s="336" t="str">
        <f t="shared" si="8"/>
        <v/>
      </c>
      <c r="AC89" s="336" t="str">
        <f t="shared" si="9"/>
        <v/>
      </c>
      <c r="AD89" s="336" t="str">
        <f t="shared" si="10"/>
        <v/>
      </c>
      <c r="AE89" s="336" t="str">
        <f t="shared" si="11"/>
        <v/>
      </c>
      <c r="AF89" s="336" t="str">
        <f t="shared" si="12"/>
        <v/>
      </c>
    </row>
    <row r="90" spans="27:32" x14ac:dyDescent="0.2">
      <c r="AA90" s="336" t="str">
        <f t="shared" si="13"/>
        <v/>
      </c>
      <c r="AB90" s="336" t="str">
        <f t="shared" si="8"/>
        <v/>
      </c>
      <c r="AC90" s="336" t="str">
        <f t="shared" si="9"/>
        <v/>
      </c>
      <c r="AD90" s="336" t="str">
        <f t="shared" si="10"/>
        <v/>
      </c>
      <c r="AE90" s="336" t="str">
        <f t="shared" si="11"/>
        <v/>
      </c>
      <c r="AF90" s="336" t="str">
        <f t="shared" si="12"/>
        <v/>
      </c>
    </row>
    <row r="91" spans="27:32" x14ac:dyDescent="0.2">
      <c r="AA91" s="336" t="str">
        <f t="shared" si="13"/>
        <v/>
      </c>
      <c r="AB91" s="336" t="str">
        <f t="shared" si="8"/>
        <v/>
      </c>
      <c r="AC91" s="336" t="str">
        <f t="shared" si="9"/>
        <v/>
      </c>
      <c r="AD91" s="336" t="str">
        <f t="shared" si="10"/>
        <v/>
      </c>
      <c r="AE91" s="336" t="str">
        <f t="shared" si="11"/>
        <v/>
      </c>
      <c r="AF91" s="336" t="str">
        <f t="shared" si="12"/>
        <v/>
      </c>
    </row>
    <row r="92" spans="27:32" x14ac:dyDescent="0.2">
      <c r="AA92" s="336" t="str">
        <f t="shared" si="13"/>
        <v/>
      </c>
      <c r="AB92" s="336" t="str">
        <f t="shared" si="8"/>
        <v/>
      </c>
      <c r="AC92" s="336" t="str">
        <f t="shared" si="9"/>
        <v/>
      </c>
      <c r="AD92" s="336" t="str">
        <f t="shared" si="10"/>
        <v/>
      </c>
      <c r="AE92" s="336" t="str">
        <f t="shared" si="11"/>
        <v/>
      </c>
      <c r="AF92" s="336" t="str">
        <f t="shared" si="12"/>
        <v/>
      </c>
    </row>
    <row r="93" spans="27:32" x14ac:dyDescent="0.2">
      <c r="AA93" s="336" t="str">
        <f t="shared" si="13"/>
        <v/>
      </c>
      <c r="AB93" s="336" t="str">
        <f t="shared" si="8"/>
        <v/>
      </c>
      <c r="AC93" s="336" t="str">
        <f t="shared" si="9"/>
        <v/>
      </c>
      <c r="AD93" s="336" t="str">
        <f t="shared" si="10"/>
        <v/>
      </c>
      <c r="AE93" s="336" t="str">
        <f t="shared" si="11"/>
        <v/>
      </c>
      <c r="AF93" s="336" t="str">
        <f t="shared" si="12"/>
        <v/>
      </c>
    </row>
    <row r="94" spans="27:32" x14ac:dyDescent="0.2">
      <c r="AA94" s="336" t="str">
        <f t="shared" si="13"/>
        <v/>
      </c>
      <c r="AB94" s="336" t="str">
        <f t="shared" si="8"/>
        <v/>
      </c>
      <c r="AC94" s="336" t="str">
        <f t="shared" si="9"/>
        <v/>
      </c>
      <c r="AD94" s="336" t="str">
        <f t="shared" si="10"/>
        <v/>
      </c>
      <c r="AE94" s="336" t="str">
        <f t="shared" si="11"/>
        <v/>
      </c>
      <c r="AF94" s="336" t="str">
        <f t="shared" si="12"/>
        <v/>
      </c>
    </row>
    <row r="95" spans="27:32" x14ac:dyDescent="0.2">
      <c r="AA95" s="336" t="str">
        <f t="shared" si="13"/>
        <v/>
      </c>
      <c r="AB95" s="336" t="str">
        <f t="shared" si="8"/>
        <v/>
      </c>
      <c r="AC95" s="336" t="str">
        <f t="shared" si="9"/>
        <v/>
      </c>
      <c r="AD95" s="336" t="str">
        <f t="shared" si="10"/>
        <v/>
      </c>
      <c r="AE95" s="336" t="str">
        <f t="shared" si="11"/>
        <v/>
      </c>
      <c r="AF95" s="336" t="str">
        <f t="shared" si="12"/>
        <v/>
      </c>
    </row>
    <row r="96" spans="27:32" x14ac:dyDescent="0.2">
      <c r="AA96" s="336" t="str">
        <f t="shared" si="13"/>
        <v/>
      </c>
      <c r="AB96" s="336" t="str">
        <f t="shared" si="8"/>
        <v/>
      </c>
      <c r="AC96" s="336" t="str">
        <f t="shared" si="9"/>
        <v/>
      </c>
      <c r="AD96" s="336" t="str">
        <f t="shared" si="10"/>
        <v/>
      </c>
      <c r="AE96" s="336" t="str">
        <f t="shared" si="11"/>
        <v/>
      </c>
      <c r="AF96" s="336" t="str">
        <f t="shared" si="12"/>
        <v/>
      </c>
    </row>
    <row r="97" spans="27:32" x14ac:dyDescent="0.2">
      <c r="AA97" s="336" t="str">
        <f t="shared" si="13"/>
        <v/>
      </c>
      <c r="AB97" s="336" t="str">
        <f t="shared" si="8"/>
        <v/>
      </c>
      <c r="AC97" s="336" t="str">
        <f t="shared" si="9"/>
        <v/>
      </c>
      <c r="AD97" s="336" t="str">
        <f t="shared" si="10"/>
        <v/>
      </c>
      <c r="AE97" s="336" t="str">
        <f t="shared" si="11"/>
        <v/>
      </c>
      <c r="AF97" s="336" t="str">
        <f t="shared" si="12"/>
        <v/>
      </c>
    </row>
    <row r="98" spans="27:32" x14ac:dyDescent="0.2">
      <c r="AA98" s="336" t="str">
        <f t="shared" si="13"/>
        <v/>
      </c>
      <c r="AB98" s="336" t="str">
        <f t="shared" si="8"/>
        <v/>
      </c>
      <c r="AC98" s="336" t="str">
        <f t="shared" si="9"/>
        <v/>
      </c>
      <c r="AD98" s="336" t="str">
        <f t="shared" si="10"/>
        <v/>
      </c>
      <c r="AE98" s="336" t="str">
        <f t="shared" si="11"/>
        <v/>
      </c>
      <c r="AF98" s="336" t="str">
        <f t="shared" si="12"/>
        <v/>
      </c>
    </row>
    <row r="99" spans="27:32" x14ac:dyDescent="0.2">
      <c r="AA99" s="336" t="str">
        <f t="shared" si="13"/>
        <v/>
      </c>
      <c r="AB99" s="336" t="str">
        <f t="shared" si="8"/>
        <v/>
      </c>
      <c r="AC99" s="336" t="str">
        <f t="shared" si="9"/>
        <v/>
      </c>
      <c r="AD99" s="336" t="str">
        <f t="shared" si="10"/>
        <v/>
      </c>
      <c r="AE99" s="336" t="str">
        <f t="shared" si="11"/>
        <v/>
      </c>
      <c r="AF99" s="336" t="str">
        <f t="shared" si="12"/>
        <v/>
      </c>
    </row>
    <row r="100" spans="27:32" x14ac:dyDescent="0.2">
      <c r="AA100" s="336" t="str">
        <f t="shared" si="13"/>
        <v/>
      </c>
      <c r="AB100" s="336" t="str">
        <f t="shared" si="8"/>
        <v/>
      </c>
      <c r="AC100" s="336" t="str">
        <f t="shared" si="9"/>
        <v/>
      </c>
      <c r="AD100" s="336" t="str">
        <f t="shared" si="10"/>
        <v/>
      </c>
      <c r="AE100" s="336" t="str">
        <f t="shared" si="11"/>
        <v/>
      </c>
      <c r="AF100" s="336" t="str">
        <f t="shared" si="12"/>
        <v/>
      </c>
    </row>
    <row r="101" spans="27:32" x14ac:dyDescent="0.2">
      <c r="AA101" s="336" t="str">
        <f t="shared" si="13"/>
        <v/>
      </c>
      <c r="AB101" s="336" t="str">
        <f t="shared" si="8"/>
        <v/>
      </c>
      <c r="AC101" s="336" t="str">
        <f t="shared" si="9"/>
        <v/>
      </c>
      <c r="AD101" s="336" t="str">
        <f t="shared" si="10"/>
        <v/>
      </c>
      <c r="AE101" s="336" t="str">
        <f t="shared" si="11"/>
        <v/>
      </c>
      <c r="AF101" s="336" t="str">
        <f t="shared" si="12"/>
        <v/>
      </c>
    </row>
    <row r="102" spans="27:32" x14ac:dyDescent="0.2">
      <c r="AA102" s="336" t="str">
        <f t="shared" si="13"/>
        <v/>
      </c>
      <c r="AB102" s="336" t="str">
        <f t="shared" si="8"/>
        <v/>
      </c>
      <c r="AC102" s="336" t="str">
        <f t="shared" si="9"/>
        <v/>
      </c>
      <c r="AD102" s="336" t="str">
        <f t="shared" si="10"/>
        <v/>
      </c>
      <c r="AE102" s="336" t="str">
        <f t="shared" si="11"/>
        <v/>
      </c>
      <c r="AF102" s="336" t="str">
        <f t="shared" si="12"/>
        <v/>
      </c>
    </row>
    <row r="103" spans="27:32" x14ac:dyDescent="0.2">
      <c r="AA103" s="336" t="str">
        <f t="shared" si="13"/>
        <v/>
      </c>
      <c r="AB103" s="336" t="str">
        <f t="shared" si="8"/>
        <v/>
      </c>
      <c r="AC103" s="336" t="str">
        <f t="shared" si="9"/>
        <v/>
      </c>
      <c r="AD103" s="336" t="str">
        <f t="shared" si="10"/>
        <v/>
      </c>
      <c r="AE103" s="336" t="str">
        <f t="shared" si="11"/>
        <v/>
      </c>
      <c r="AF103" s="336" t="str">
        <f t="shared" si="12"/>
        <v/>
      </c>
    </row>
    <row r="104" spans="27:32" x14ac:dyDescent="0.2">
      <c r="AA104" s="336" t="str">
        <f t="shared" si="13"/>
        <v/>
      </c>
      <c r="AB104" s="336" t="str">
        <f t="shared" si="8"/>
        <v/>
      </c>
      <c r="AC104" s="336" t="str">
        <f t="shared" si="9"/>
        <v/>
      </c>
      <c r="AD104" s="336" t="str">
        <f t="shared" si="10"/>
        <v/>
      </c>
      <c r="AE104" s="336" t="str">
        <f t="shared" si="11"/>
        <v/>
      </c>
      <c r="AF104" s="336" t="str">
        <f t="shared" si="12"/>
        <v/>
      </c>
    </row>
    <row r="105" spans="27:32" x14ac:dyDescent="0.2">
      <c r="AA105" s="336" t="str">
        <f t="shared" si="13"/>
        <v/>
      </c>
      <c r="AB105" s="336" t="str">
        <f t="shared" si="8"/>
        <v/>
      </c>
      <c r="AC105" s="336" t="str">
        <f t="shared" si="9"/>
        <v/>
      </c>
      <c r="AD105" s="336" t="str">
        <f t="shared" si="10"/>
        <v/>
      </c>
      <c r="AE105" s="336" t="str">
        <f t="shared" si="11"/>
        <v/>
      </c>
      <c r="AF105" s="336" t="str">
        <f t="shared" si="12"/>
        <v/>
      </c>
    </row>
    <row r="106" spans="27:32" x14ac:dyDescent="0.2">
      <c r="AA106" s="336" t="str">
        <f t="shared" si="13"/>
        <v/>
      </c>
      <c r="AB106" s="336" t="str">
        <f t="shared" si="8"/>
        <v/>
      </c>
      <c r="AC106" s="336" t="str">
        <f t="shared" si="9"/>
        <v/>
      </c>
      <c r="AD106" s="336" t="str">
        <f t="shared" si="10"/>
        <v/>
      </c>
      <c r="AE106" s="336" t="str">
        <f t="shared" si="11"/>
        <v/>
      </c>
      <c r="AF106" s="336" t="str">
        <f t="shared" si="12"/>
        <v/>
      </c>
    </row>
    <row r="107" spans="27:32" x14ac:dyDescent="0.2">
      <c r="AA107" s="336" t="str">
        <f t="shared" si="13"/>
        <v/>
      </c>
      <c r="AB107" s="336" t="str">
        <f t="shared" si="8"/>
        <v/>
      </c>
      <c r="AC107" s="336" t="str">
        <f t="shared" si="9"/>
        <v/>
      </c>
      <c r="AD107" s="336" t="str">
        <f t="shared" si="10"/>
        <v/>
      </c>
      <c r="AE107" s="336" t="str">
        <f t="shared" si="11"/>
        <v/>
      </c>
      <c r="AF107" s="336" t="str">
        <f t="shared" si="12"/>
        <v/>
      </c>
    </row>
    <row r="108" spans="27:32" x14ac:dyDescent="0.2">
      <c r="AA108" s="336" t="str">
        <f t="shared" si="13"/>
        <v/>
      </c>
      <c r="AB108" s="336" t="str">
        <f t="shared" si="8"/>
        <v/>
      </c>
      <c r="AC108" s="336" t="str">
        <f t="shared" si="9"/>
        <v/>
      </c>
      <c r="AD108" s="336" t="str">
        <f t="shared" si="10"/>
        <v/>
      </c>
      <c r="AE108" s="336" t="str">
        <f t="shared" si="11"/>
        <v/>
      </c>
      <c r="AF108" s="336" t="str">
        <f t="shared" si="12"/>
        <v/>
      </c>
    </row>
    <row r="109" spans="27:32" x14ac:dyDescent="0.2">
      <c r="AA109" s="336" t="str">
        <f t="shared" si="13"/>
        <v/>
      </c>
      <c r="AB109" s="336" t="str">
        <f t="shared" si="8"/>
        <v/>
      </c>
      <c r="AC109" s="336" t="str">
        <f t="shared" si="9"/>
        <v/>
      </c>
      <c r="AD109" s="336" t="str">
        <f t="shared" si="10"/>
        <v/>
      </c>
      <c r="AE109" s="336" t="str">
        <f t="shared" si="11"/>
        <v/>
      </c>
      <c r="AF109" s="336" t="str">
        <f t="shared" si="12"/>
        <v/>
      </c>
    </row>
    <row r="110" spans="27:32" x14ac:dyDescent="0.2">
      <c r="AA110" s="336" t="str">
        <f t="shared" si="13"/>
        <v/>
      </c>
      <c r="AB110" s="336" t="str">
        <f t="shared" si="8"/>
        <v/>
      </c>
      <c r="AC110" s="336" t="str">
        <f t="shared" si="9"/>
        <v/>
      </c>
      <c r="AD110" s="336" t="str">
        <f t="shared" si="10"/>
        <v/>
      </c>
      <c r="AE110" s="336" t="str">
        <f t="shared" si="11"/>
        <v/>
      </c>
      <c r="AF110" s="336" t="str">
        <f t="shared" si="12"/>
        <v/>
      </c>
    </row>
    <row r="111" spans="27:32" x14ac:dyDescent="0.2">
      <c r="AA111" s="336" t="str">
        <f t="shared" si="13"/>
        <v/>
      </c>
      <c r="AB111" s="336" t="str">
        <f t="shared" si="8"/>
        <v/>
      </c>
      <c r="AC111" s="336" t="str">
        <f t="shared" si="9"/>
        <v/>
      </c>
      <c r="AD111" s="336" t="str">
        <f t="shared" si="10"/>
        <v/>
      </c>
      <c r="AE111" s="336" t="str">
        <f t="shared" si="11"/>
        <v/>
      </c>
      <c r="AF111" s="336" t="str">
        <f t="shared" si="12"/>
        <v/>
      </c>
    </row>
    <row r="112" spans="27:32" x14ac:dyDescent="0.2">
      <c r="AA112" s="336" t="str">
        <f t="shared" si="13"/>
        <v/>
      </c>
      <c r="AB112" s="336" t="str">
        <f t="shared" si="8"/>
        <v/>
      </c>
      <c r="AC112" s="336" t="str">
        <f t="shared" si="9"/>
        <v/>
      </c>
      <c r="AD112" s="336" t="str">
        <f t="shared" si="10"/>
        <v/>
      </c>
      <c r="AE112" s="336" t="str">
        <f t="shared" si="11"/>
        <v/>
      </c>
      <c r="AF112" s="336" t="str">
        <f t="shared" si="12"/>
        <v/>
      </c>
    </row>
    <row r="113" spans="27:32" x14ac:dyDescent="0.2">
      <c r="AA113" s="336" t="str">
        <f t="shared" si="13"/>
        <v/>
      </c>
      <c r="AB113" s="336" t="str">
        <f t="shared" si="8"/>
        <v/>
      </c>
      <c r="AC113" s="336" t="str">
        <f t="shared" si="9"/>
        <v/>
      </c>
      <c r="AD113" s="336" t="str">
        <f t="shared" si="10"/>
        <v/>
      </c>
      <c r="AE113" s="336" t="str">
        <f t="shared" si="11"/>
        <v/>
      </c>
      <c r="AF113" s="336" t="str">
        <f t="shared" si="12"/>
        <v/>
      </c>
    </row>
    <row r="114" spans="27:32" x14ac:dyDescent="0.2">
      <c r="AA114" s="336" t="str">
        <f t="shared" si="13"/>
        <v/>
      </c>
      <c r="AB114" s="336" t="str">
        <f t="shared" si="8"/>
        <v/>
      </c>
      <c r="AC114" s="336" t="str">
        <f t="shared" si="9"/>
        <v/>
      </c>
      <c r="AD114" s="336" t="str">
        <f t="shared" si="10"/>
        <v/>
      </c>
      <c r="AE114" s="336" t="str">
        <f t="shared" si="11"/>
        <v/>
      </c>
      <c r="AF114" s="336" t="str">
        <f t="shared" si="12"/>
        <v/>
      </c>
    </row>
    <row r="115" spans="27:32" x14ac:dyDescent="0.2">
      <c r="AA115" s="336" t="str">
        <f t="shared" si="13"/>
        <v/>
      </c>
      <c r="AB115" s="336" t="str">
        <f t="shared" si="8"/>
        <v/>
      </c>
      <c r="AC115" s="336" t="str">
        <f t="shared" si="9"/>
        <v/>
      </c>
      <c r="AD115" s="336" t="str">
        <f t="shared" si="10"/>
        <v/>
      </c>
      <c r="AE115" s="336" t="str">
        <f t="shared" si="11"/>
        <v/>
      </c>
      <c r="AF115" s="336" t="str">
        <f t="shared" si="12"/>
        <v/>
      </c>
    </row>
    <row r="116" spans="27:32" x14ac:dyDescent="0.2">
      <c r="AA116" s="336" t="str">
        <f t="shared" si="13"/>
        <v/>
      </c>
      <c r="AB116" s="336" t="str">
        <f t="shared" si="8"/>
        <v/>
      </c>
      <c r="AC116" s="336" t="str">
        <f t="shared" si="9"/>
        <v/>
      </c>
      <c r="AD116" s="336" t="str">
        <f t="shared" si="10"/>
        <v/>
      </c>
      <c r="AE116" s="336" t="str">
        <f t="shared" si="11"/>
        <v/>
      </c>
      <c r="AF116" s="336" t="str">
        <f t="shared" si="12"/>
        <v/>
      </c>
    </row>
    <row r="117" spans="27:32" x14ac:dyDescent="0.2">
      <c r="AA117" s="336" t="str">
        <f t="shared" si="13"/>
        <v/>
      </c>
      <c r="AB117" s="336" t="str">
        <f t="shared" si="8"/>
        <v/>
      </c>
      <c r="AC117" s="336" t="str">
        <f t="shared" si="9"/>
        <v/>
      </c>
      <c r="AD117" s="336" t="str">
        <f t="shared" si="10"/>
        <v/>
      </c>
      <c r="AE117" s="336" t="str">
        <f t="shared" si="11"/>
        <v/>
      </c>
      <c r="AF117" s="336" t="str">
        <f t="shared" si="12"/>
        <v/>
      </c>
    </row>
    <row r="118" spans="27:32" x14ac:dyDescent="0.2">
      <c r="AA118" s="336" t="str">
        <f t="shared" si="13"/>
        <v/>
      </c>
      <c r="AB118" s="336" t="str">
        <f t="shared" si="8"/>
        <v/>
      </c>
      <c r="AC118" s="336" t="str">
        <f t="shared" si="9"/>
        <v/>
      </c>
      <c r="AD118" s="336" t="str">
        <f t="shared" si="10"/>
        <v/>
      </c>
      <c r="AE118" s="336" t="str">
        <f t="shared" si="11"/>
        <v/>
      </c>
      <c r="AF118" s="336" t="str">
        <f t="shared" si="12"/>
        <v/>
      </c>
    </row>
    <row r="119" spans="27:32" x14ac:dyDescent="0.2">
      <c r="AA119" s="336" t="str">
        <f t="shared" si="13"/>
        <v/>
      </c>
      <c r="AB119" s="336" t="str">
        <f t="shared" si="8"/>
        <v/>
      </c>
      <c r="AC119" s="336" t="str">
        <f t="shared" si="9"/>
        <v/>
      </c>
      <c r="AD119" s="336" t="str">
        <f t="shared" si="10"/>
        <v/>
      </c>
      <c r="AE119" s="336" t="str">
        <f t="shared" si="11"/>
        <v/>
      </c>
      <c r="AF119" s="336" t="str">
        <f t="shared" si="12"/>
        <v/>
      </c>
    </row>
    <row r="120" spans="27:32" x14ac:dyDescent="0.2">
      <c r="AA120" s="336" t="str">
        <f t="shared" si="13"/>
        <v/>
      </c>
      <c r="AB120" s="336" t="str">
        <f t="shared" si="8"/>
        <v/>
      </c>
      <c r="AC120" s="336" t="str">
        <f t="shared" si="9"/>
        <v/>
      </c>
      <c r="AD120" s="336" t="str">
        <f t="shared" si="10"/>
        <v/>
      </c>
      <c r="AE120" s="336" t="str">
        <f t="shared" si="11"/>
        <v/>
      </c>
      <c r="AF120" s="336" t="str">
        <f t="shared" si="12"/>
        <v/>
      </c>
    </row>
    <row r="121" spans="27:32" x14ac:dyDescent="0.2">
      <c r="AA121" s="336" t="str">
        <f t="shared" si="13"/>
        <v/>
      </c>
      <c r="AB121" s="336" t="str">
        <f t="shared" si="8"/>
        <v/>
      </c>
      <c r="AC121" s="336" t="str">
        <f t="shared" si="9"/>
        <v/>
      </c>
      <c r="AD121" s="336" t="str">
        <f t="shared" si="10"/>
        <v/>
      </c>
      <c r="AE121" s="336" t="str">
        <f t="shared" si="11"/>
        <v/>
      </c>
      <c r="AF121" s="336" t="str">
        <f t="shared" si="12"/>
        <v/>
      </c>
    </row>
    <row r="122" spans="27:32" x14ac:dyDescent="0.2">
      <c r="AA122" s="336" t="str">
        <f t="shared" si="13"/>
        <v/>
      </c>
      <c r="AB122" s="336" t="str">
        <f t="shared" si="8"/>
        <v/>
      </c>
      <c r="AC122" s="336" t="str">
        <f t="shared" si="9"/>
        <v/>
      </c>
      <c r="AD122" s="336" t="str">
        <f t="shared" si="10"/>
        <v/>
      </c>
      <c r="AE122" s="336" t="str">
        <f t="shared" si="11"/>
        <v/>
      </c>
      <c r="AF122" s="336" t="str">
        <f t="shared" si="12"/>
        <v/>
      </c>
    </row>
    <row r="123" spans="27:32" x14ac:dyDescent="0.2">
      <c r="AA123" s="336" t="str">
        <f t="shared" si="13"/>
        <v/>
      </c>
      <c r="AB123" s="336" t="str">
        <f t="shared" si="8"/>
        <v/>
      </c>
      <c r="AC123" s="336" t="str">
        <f t="shared" si="9"/>
        <v/>
      </c>
      <c r="AD123" s="336" t="str">
        <f t="shared" si="10"/>
        <v/>
      </c>
      <c r="AE123" s="336" t="str">
        <f t="shared" si="11"/>
        <v/>
      </c>
      <c r="AF123" s="336" t="str">
        <f t="shared" si="12"/>
        <v/>
      </c>
    </row>
    <row r="124" spans="27:32" x14ac:dyDescent="0.2">
      <c r="AA124" s="336" t="str">
        <f t="shared" si="13"/>
        <v/>
      </c>
      <c r="AB124" s="336" t="str">
        <f t="shared" si="8"/>
        <v/>
      </c>
      <c r="AC124" s="336" t="str">
        <f t="shared" si="9"/>
        <v/>
      </c>
      <c r="AD124" s="336" t="str">
        <f t="shared" si="10"/>
        <v/>
      </c>
      <c r="AE124" s="336" t="str">
        <f t="shared" si="11"/>
        <v/>
      </c>
      <c r="AF124" s="336" t="str">
        <f t="shared" si="12"/>
        <v/>
      </c>
    </row>
    <row r="125" spans="27:32" x14ac:dyDescent="0.2">
      <c r="AA125" s="336" t="str">
        <f t="shared" si="13"/>
        <v/>
      </c>
      <c r="AB125" s="336" t="str">
        <f t="shared" si="8"/>
        <v/>
      </c>
      <c r="AC125" s="336" t="str">
        <f t="shared" si="9"/>
        <v/>
      </c>
      <c r="AD125" s="336" t="str">
        <f t="shared" si="10"/>
        <v/>
      </c>
      <c r="AE125" s="336" t="str">
        <f t="shared" si="11"/>
        <v/>
      </c>
      <c r="AF125" s="336" t="str">
        <f t="shared" si="12"/>
        <v/>
      </c>
    </row>
    <row r="126" spans="27:32" x14ac:dyDescent="0.2">
      <c r="AA126" s="336" t="str">
        <f t="shared" si="13"/>
        <v/>
      </c>
      <c r="AB126" s="336" t="str">
        <f t="shared" si="8"/>
        <v/>
      </c>
      <c r="AC126" s="336" t="str">
        <f t="shared" si="9"/>
        <v/>
      </c>
      <c r="AD126" s="336" t="str">
        <f t="shared" si="10"/>
        <v/>
      </c>
      <c r="AE126" s="336" t="str">
        <f t="shared" si="11"/>
        <v/>
      </c>
      <c r="AF126" s="336" t="str">
        <f t="shared" si="12"/>
        <v/>
      </c>
    </row>
    <row r="127" spans="27:32" x14ac:dyDescent="0.2">
      <c r="AA127" s="336" t="str">
        <f t="shared" si="13"/>
        <v/>
      </c>
      <c r="AB127" s="336" t="str">
        <f t="shared" si="8"/>
        <v/>
      </c>
      <c r="AC127" s="336" t="str">
        <f t="shared" si="9"/>
        <v/>
      </c>
      <c r="AD127" s="336" t="str">
        <f t="shared" si="10"/>
        <v/>
      </c>
      <c r="AE127" s="336" t="str">
        <f t="shared" si="11"/>
        <v/>
      </c>
      <c r="AF127" s="336" t="str">
        <f t="shared" si="12"/>
        <v/>
      </c>
    </row>
    <row r="128" spans="27:32" x14ac:dyDescent="0.2">
      <c r="AA128" s="336" t="str">
        <f t="shared" si="13"/>
        <v/>
      </c>
      <c r="AB128" s="336" t="str">
        <f t="shared" si="8"/>
        <v/>
      </c>
      <c r="AC128" s="336" t="str">
        <f t="shared" si="9"/>
        <v/>
      </c>
      <c r="AD128" s="336" t="str">
        <f t="shared" si="10"/>
        <v/>
      </c>
      <c r="AE128" s="336" t="str">
        <f t="shared" si="11"/>
        <v/>
      </c>
      <c r="AF128" s="336" t="str">
        <f t="shared" si="12"/>
        <v/>
      </c>
    </row>
    <row r="129" spans="27:32" x14ac:dyDescent="0.2">
      <c r="AA129" s="336" t="str">
        <f t="shared" si="13"/>
        <v/>
      </c>
      <c r="AB129" s="336" t="str">
        <f t="shared" si="8"/>
        <v/>
      </c>
      <c r="AC129" s="336" t="str">
        <f t="shared" si="9"/>
        <v/>
      </c>
      <c r="AD129" s="336" t="str">
        <f t="shared" si="10"/>
        <v/>
      </c>
      <c r="AE129" s="336" t="str">
        <f t="shared" si="11"/>
        <v/>
      </c>
      <c r="AF129" s="336" t="str">
        <f t="shared" si="12"/>
        <v/>
      </c>
    </row>
    <row r="130" spans="27:32" x14ac:dyDescent="0.2">
      <c r="AA130" s="336" t="str">
        <f t="shared" si="13"/>
        <v/>
      </c>
      <c r="AB130" s="336" t="str">
        <f t="shared" si="8"/>
        <v/>
      </c>
      <c r="AC130" s="336" t="str">
        <f t="shared" si="9"/>
        <v/>
      </c>
      <c r="AD130" s="336" t="str">
        <f t="shared" si="10"/>
        <v/>
      </c>
      <c r="AE130" s="336" t="str">
        <f t="shared" si="11"/>
        <v/>
      </c>
      <c r="AF130" s="336" t="str">
        <f t="shared" si="12"/>
        <v/>
      </c>
    </row>
    <row r="131" spans="27:32" x14ac:dyDescent="0.2">
      <c r="AA131" s="336" t="str">
        <f t="shared" si="13"/>
        <v/>
      </c>
      <c r="AB131" s="336" t="str">
        <f t="shared" si="8"/>
        <v/>
      </c>
      <c r="AC131" s="336" t="str">
        <f t="shared" si="9"/>
        <v/>
      </c>
      <c r="AD131" s="336" t="str">
        <f t="shared" si="10"/>
        <v/>
      </c>
      <c r="AE131" s="336" t="str">
        <f t="shared" si="11"/>
        <v/>
      </c>
      <c r="AF131" s="336" t="str">
        <f t="shared" si="12"/>
        <v/>
      </c>
    </row>
    <row r="132" spans="27:32" x14ac:dyDescent="0.2">
      <c r="AA132" s="336" t="str">
        <f t="shared" si="13"/>
        <v/>
      </c>
      <c r="AB132" s="336" t="str">
        <f t="shared" si="8"/>
        <v/>
      </c>
      <c r="AC132" s="336" t="str">
        <f t="shared" si="9"/>
        <v/>
      </c>
      <c r="AD132" s="336" t="str">
        <f t="shared" si="10"/>
        <v/>
      </c>
      <c r="AE132" s="336" t="str">
        <f t="shared" si="11"/>
        <v/>
      </c>
      <c r="AF132" s="336" t="str">
        <f t="shared" si="12"/>
        <v/>
      </c>
    </row>
    <row r="133" spans="27:32" x14ac:dyDescent="0.2">
      <c r="AA133" s="336" t="str">
        <f t="shared" si="13"/>
        <v/>
      </c>
      <c r="AB133" s="336" t="str">
        <f t="shared" si="8"/>
        <v/>
      </c>
      <c r="AC133" s="336" t="str">
        <f t="shared" si="9"/>
        <v/>
      </c>
      <c r="AD133" s="336" t="str">
        <f t="shared" si="10"/>
        <v/>
      </c>
      <c r="AE133" s="336" t="str">
        <f t="shared" si="11"/>
        <v/>
      </c>
      <c r="AF133" s="336" t="str">
        <f t="shared" si="12"/>
        <v/>
      </c>
    </row>
    <row r="134" spans="27:32" x14ac:dyDescent="0.2">
      <c r="AA134" s="336" t="str">
        <f t="shared" si="13"/>
        <v/>
      </c>
      <c r="AB134" s="336" t="str">
        <f t="shared" si="8"/>
        <v/>
      </c>
      <c r="AC134" s="336" t="str">
        <f t="shared" si="9"/>
        <v/>
      </c>
      <c r="AD134" s="336" t="str">
        <f t="shared" si="10"/>
        <v/>
      </c>
      <c r="AE134" s="336" t="str">
        <f t="shared" si="11"/>
        <v/>
      </c>
      <c r="AF134" s="336" t="str">
        <f t="shared" si="12"/>
        <v/>
      </c>
    </row>
    <row r="135" spans="27:32" x14ac:dyDescent="0.2">
      <c r="AA135" s="336" t="str">
        <f t="shared" si="13"/>
        <v/>
      </c>
      <c r="AB135" s="336" t="str">
        <f t="shared" ref="AB135:AB198" si="14">IF(NOT(ISBLANK(F135)),L135,"")</f>
        <v/>
      </c>
      <c r="AC135" s="336" t="str">
        <f t="shared" ref="AC135:AC198" si="15">IF(NOT(ISBLANK(G135)),L135,"")</f>
        <v/>
      </c>
      <c r="AD135" s="336" t="str">
        <f t="shared" ref="AD135:AD198" si="16">IF(NOT(ISBLANK(H135)),L135,"")</f>
        <v/>
      </c>
      <c r="AE135" s="336" t="str">
        <f t="shared" ref="AE135:AE198" si="17">IF(NOT(ISBLANK(I135)),L135,"")</f>
        <v/>
      </c>
      <c r="AF135" s="336" t="str">
        <f t="shared" ref="AF135:AF198" si="18">IF(NOT(ISBLANK(J135)),L135,"")</f>
        <v/>
      </c>
    </row>
    <row r="136" spans="27:32" x14ac:dyDescent="0.2">
      <c r="AA136" s="336" t="str">
        <f t="shared" ref="AA136:AA199" si="19">IF(NOT(ISBLANK(E136)),L136,"")</f>
        <v/>
      </c>
      <c r="AB136" s="336" t="str">
        <f t="shared" si="14"/>
        <v/>
      </c>
      <c r="AC136" s="336" t="str">
        <f t="shared" si="15"/>
        <v/>
      </c>
      <c r="AD136" s="336" t="str">
        <f t="shared" si="16"/>
        <v/>
      </c>
      <c r="AE136" s="336" t="str">
        <f t="shared" si="17"/>
        <v/>
      </c>
      <c r="AF136" s="336" t="str">
        <f t="shared" si="18"/>
        <v/>
      </c>
    </row>
    <row r="137" spans="27:32" x14ac:dyDescent="0.2">
      <c r="AA137" s="336" t="str">
        <f t="shared" si="19"/>
        <v/>
      </c>
      <c r="AB137" s="336" t="str">
        <f t="shared" si="14"/>
        <v/>
      </c>
      <c r="AC137" s="336" t="str">
        <f t="shared" si="15"/>
        <v/>
      </c>
      <c r="AD137" s="336" t="str">
        <f t="shared" si="16"/>
        <v/>
      </c>
      <c r="AE137" s="336" t="str">
        <f t="shared" si="17"/>
        <v/>
      </c>
      <c r="AF137" s="336" t="str">
        <f t="shared" si="18"/>
        <v/>
      </c>
    </row>
    <row r="138" spans="27:32" x14ac:dyDescent="0.2">
      <c r="AA138" s="336" t="str">
        <f t="shared" si="19"/>
        <v/>
      </c>
      <c r="AB138" s="336" t="str">
        <f t="shared" si="14"/>
        <v/>
      </c>
      <c r="AC138" s="336" t="str">
        <f t="shared" si="15"/>
        <v/>
      </c>
      <c r="AD138" s="336" t="str">
        <f t="shared" si="16"/>
        <v/>
      </c>
      <c r="AE138" s="336" t="str">
        <f t="shared" si="17"/>
        <v/>
      </c>
      <c r="AF138" s="336" t="str">
        <f t="shared" si="18"/>
        <v/>
      </c>
    </row>
    <row r="139" spans="27:32" x14ac:dyDescent="0.2">
      <c r="AA139" s="336" t="str">
        <f t="shared" si="19"/>
        <v/>
      </c>
      <c r="AB139" s="336" t="str">
        <f t="shared" si="14"/>
        <v/>
      </c>
      <c r="AC139" s="336" t="str">
        <f t="shared" si="15"/>
        <v/>
      </c>
      <c r="AD139" s="336" t="str">
        <f t="shared" si="16"/>
        <v/>
      </c>
      <c r="AE139" s="336" t="str">
        <f t="shared" si="17"/>
        <v/>
      </c>
      <c r="AF139" s="336" t="str">
        <f t="shared" si="18"/>
        <v/>
      </c>
    </row>
    <row r="140" spans="27:32" x14ac:dyDescent="0.2">
      <c r="AA140" s="336" t="str">
        <f t="shared" si="19"/>
        <v/>
      </c>
      <c r="AB140" s="336" t="str">
        <f t="shared" si="14"/>
        <v/>
      </c>
      <c r="AC140" s="336" t="str">
        <f t="shared" si="15"/>
        <v/>
      </c>
      <c r="AD140" s="336" t="str">
        <f t="shared" si="16"/>
        <v/>
      </c>
      <c r="AE140" s="336" t="str">
        <f t="shared" si="17"/>
        <v/>
      </c>
      <c r="AF140" s="336" t="str">
        <f t="shared" si="18"/>
        <v/>
      </c>
    </row>
    <row r="141" spans="27:32" x14ac:dyDescent="0.2">
      <c r="AA141" s="336" t="str">
        <f t="shared" si="19"/>
        <v/>
      </c>
      <c r="AB141" s="336" t="str">
        <f t="shared" si="14"/>
        <v/>
      </c>
      <c r="AC141" s="336" t="str">
        <f t="shared" si="15"/>
        <v/>
      </c>
      <c r="AD141" s="336" t="str">
        <f t="shared" si="16"/>
        <v/>
      </c>
      <c r="AE141" s="336" t="str">
        <f t="shared" si="17"/>
        <v/>
      </c>
      <c r="AF141" s="336" t="str">
        <f t="shared" si="18"/>
        <v/>
      </c>
    </row>
    <row r="142" spans="27:32" x14ac:dyDescent="0.2">
      <c r="AA142" s="336" t="str">
        <f t="shared" si="19"/>
        <v/>
      </c>
      <c r="AB142" s="336" t="str">
        <f t="shared" si="14"/>
        <v/>
      </c>
      <c r="AC142" s="336" t="str">
        <f t="shared" si="15"/>
        <v/>
      </c>
      <c r="AD142" s="336" t="str">
        <f t="shared" si="16"/>
        <v/>
      </c>
      <c r="AE142" s="336" t="str">
        <f t="shared" si="17"/>
        <v/>
      </c>
      <c r="AF142" s="336" t="str">
        <f t="shared" si="18"/>
        <v/>
      </c>
    </row>
    <row r="143" spans="27:32" x14ac:dyDescent="0.2">
      <c r="AA143" s="336" t="str">
        <f t="shared" si="19"/>
        <v/>
      </c>
      <c r="AB143" s="336" t="str">
        <f t="shared" si="14"/>
        <v/>
      </c>
      <c r="AC143" s="336" t="str">
        <f t="shared" si="15"/>
        <v/>
      </c>
      <c r="AD143" s="336" t="str">
        <f t="shared" si="16"/>
        <v/>
      </c>
      <c r="AE143" s="336" t="str">
        <f t="shared" si="17"/>
        <v/>
      </c>
      <c r="AF143" s="336" t="str">
        <f t="shared" si="18"/>
        <v/>
      </c>
    </row>
    <row r="144" spans="27:32" x14ac:dyDescent="0.2">
      <c r="AA144" s="336" t="str">
        <f t="shared" si="19"/>
        <v/>
      </c>
      <c r="AB144" s="336" t="str">
        <f t="shared" si="14"/>
        <v/>
      </c>
      <c r="AC144" s="336" t="str">
        <f t="shared" si="15"/>
        <v/>
      </c>
      <c r="AD144" s="336" t="str">
        <f t="shared" si="16"/>
        <v/>
      </c>
      <c r="AE144" s="336" t="str">
        <f t="shared" si="17"/>
        <v/>
      </c>
      <c r="AF144" s="336" t="str">
        <f t="shared" si="18"/>
        <v/>
      </c>
    </row>
    <row r="145" spans="27:32" x14ac:dyDescent="0.2">
      <c r="AA145" s="336" t="str">
        <f t="shared" si="19"/>
        <v/>
      </c>
      <c r="AB145" s="336" t="str">
        <f t="shared" si="14"/>
        <v/>
      </c>
      <c r="AC145" s="336" t="str">
        <f t="shared" si="15"/>
        <v/>
      </c>
      <c r="AD145" s="336" t="str">
        <f t="shared" si="16"/>
        <v/>
      </c>
      <c r="AE145" s="336" t="str">
        <f t="shared" si="17"/>
        <v/>
      </c>
      <c r="AF145" s="336" t="str">
        <f t="shared" si="18"/>
        <v/>
      </c>
    </row>
    <row r="146" spans="27:32" x14ac:dyDescent="0.2">
      <c r="AA146" s="336" t="str">
        <f t="shared" si="19"/>
        <v/>
      </c>
      <c r="AB146" s="336" t="str">
        <f t="shared" si="14"/>
        <v/>
      </c>
      <c r="AC146" s="336" t="str">
        <f t="shared" si="15"/>
        <v/>
      </c>
      <c r="AD146" s="336" t="str">
        <f t="shared" si="16"/>
        <v/>
      </c>
      <c r="AE146" s="336" t="str">
        <f t="shared" si="17"/>
        <v/>
      </c>
      <c r="AF146" s="336" t="str">
        <f t="shared" si="18"/>
        <v/>
      </c>
    </row>
    <row r="147" spans="27:32" x14ac:dyDescent="0.2">
      <c r="AA147" s="336" t="str">
        <f t="shared" si="19"/>
        <v/>
      </c>
      <c r="AB147" s="336" t="str">
        <f t="shared" si="14"/>
        <v/>
      </c>
      <c r="AC147" s="336" t="str">
        <f t="shared" si="15"/>
        <v/>
      </c>
      <c r="AD147" s="336" t="str">
        <f t="shared" si="16"/>
        <v/>
      </c>
      <c r="AE147" s="336" t="str">
        <f t="shared" si="17"/>
        <v/>
      </c>
      <c r="AF147" s="336" t="str">
        <f t="shared" si="18"/>
        <v/>
      </c>
    </row>
    <row r="148" spans="27:32" x14ac:dyDescent="0.2">
      <c r="AA148" s="336" t="str">
        <f t="shared" si="19"/>
        <v/>
      </c>
      <c r="AB148" s="336" t="str">
        <f t="shared" si="14"/>
        <v/>
      </c>
      <c r="AC148" s="336" t="str">
        <f t="shared" si="15"/>
        <v/>
      </c>
      <c r="AD148" s="336" t="str">
        <f t="shared" si="16"/>
        <v/>
      </c>
      <c r="AE148" s="336" t="str">
        <f t="shared" si="17"/>
        <v/>
      </c>
      <c r="AF148" s="336" t="str">
        <f t="shared" si="18"/>
        <v/>
      </c>
    </row>
    <row r="149" spans="27:32" x14ac:dyDescent="0.2">
      <c r="AA149" s="336" t="str">
        <f t="shared" si="19"/>
        <v/>
      </c>
      <c r="AB149" s="336" t="str">
        <f t="shared" si="14"/>
        <v/>
      </c>
      <c r="AC149" s="336" t="str">
        <f t="shared" si="15"/>
        <v/>
      </c>
      <c r="AD149" s="336" t="str">
        <f t="shared" si="16"/>
        <v/>
      </c>
      <c r="AE149" s="336" t="str">
        <f t="shared" si="17"/>
        <v/>
      </c>
      <c r="AF149" s="336" t="str">
        <f t="shared" si="18"/>
        <v/>
      </c>
    </row>
    <row r="150" spans="27:32" x14ac:dyDescent="0.2">
      <c r="AA150" s="336" t="str">
        <f t="shared" si="19"/>
        <v/>
      </c>
      <c r="AB150" s="336" t="str">
        <f t="shared" si="14"/>
        <v/>
      </c>
      <c r="AC150" s="336" t="str">
        <f t="shared" si="15"/>
        <v/>
      </c>
      <c r="AD150" s="336" t="str">
        <f t="shared" si="16"/>
        <v/>
      </c>
      <c r="AE150" s="336" t="str">
        <f t="shared" si="17"/>
        <v/>
      </c>
      <c r="AF150" s="336" t="str">
        <f t="shared" si="18"/>
        <v/>
      </c>
    </row>
    <row r="151" spans="27:32" x14ac:dyDescent="0.2">
      <c r="AA151" s="336" t="str">
        <f t="shared" si="19"/>
        <v/>
      </c>
      <c r="AB151" s="336" t="str">
        <f t="shared" si="14"/>
        <v/>
      </c>
      <c r="AC151" s="336" t="str">
        <f t="shared" si="15"/>
        <v/>
      </c>
      <c r="AD151" s="336" t="str">
        <f t="shared" si="16"/>
        <v/>
      </c>
      <c r="AE151" s="336" t="str">
        <f t="shared" si="17"/>
        <v/>
      </c>
      <c r="AF151" s="336" t="str">
        <f t="shared" si="18"/>
        <v/>
      </c>
    </row>
    <row r="152" spans="27:32" x14ac:dyDescent="0.2">
      <c r="AA152" s="336" t="str">
        <f t="shared" si="19"/>
        <v/>
      </c>
      <c r="AB152" s="336" t="str">
        <f t="shared" si="14"/>
        <v/>
      </c>
      <c r="AC152" s="336" t="str">
        <f t="shared" si="15"/>
        <v/>
      </c>
      <c r="AD152" s="336" t="str">
        <f t="shared" si="16"/>
        <v/>
      </c>
      <c r="AE152" s="336" t="str">
        <f t="shared" si="17"/>
        <v/>
      </c>
      <c r="AF152" s="336" t="str">
        <f t="shared" si="18"/>
        <v/>
      </c>
    </row>
    <row r="153" spans="27:32" x14ac:dyDescent="0.2">
      <c r="AA153" s="336" t="str">
        <f t="shared" si="19"/>
        <v/>
      </c>
      <c r="AB153" s="336" t="str">
        <f t="shared" si="14"/>
        <v/>
      </c>
      <c r="AC153" s="336" t="str">
        <f t="shared" si="15"/>
        <v/>
      </c>
      <c r="AD153" s="336" t="str">
        <f t="shared" si="16"/>
        <v/>
      </c>
      <c r="AE153" s="336" t="str">
        <f t="shared" si="17"/>
        <v/>
      </c>
      <c r="AF153" s="336" t="str">
        <f t="shared" si="18"/>
        <v/>
      </c>
    </row>
    <row r="154" spans="27:32" x14ac:dyDescent="0.2">
      <c r="AA154" s="336" t="str">
        <f t="shared" si="19"/>
        <v/>
      </c>
      <c r="AB154" s="336" t="str">
        <f t="shared" si="14"/>
        <v/>
      </c>
      <c r="AC154" s="336" t="str">
        <f t="shared" si="15"/>
        <v/>
      </c>
      <c r="AD154" s="336" t="str">
        <f t="shared" si="16"/>
        <v/>
      </c>
      <c r="AE154" s="336" t="str">
        <f t="shared" si="17"/>
        <v/>
      </c>
      <c r="AF154" s="336" t="str">
        <f t="shared" si="18"/>
        <v/>
      </c>
    </row>
    <row r="155" spans="27:32" x14ac:dyDescent="0.2">
      <c r="AA155" s="336" t="str">
        <f t="shared" si="19"/>
        <v/>
      </c>
      <c r="AB155" s="336" t="str">
        <f t="shared" si="14"/>
        <v/>
      </c>
      <c r="AC155" s="336" t="str">
        <f t="shared" si="15"/>
        <v/>
      </c>
      <c r="AD155" s="336" t="str">
        <f t="shared" si="16"/>
        <v/>
      </c>
      <c r="AE155" s="336" t="str">
        <f t="shared" si="17"/>
        <v/>
      </c>
      <c r="AF155" s="336" t="str">
        <f t="shared" si="18"/>
        <v/>
      </c>
    </row>
    <row r="156" spans="27:32" x14ac:dyDescent="0.2">
      <c r="AA156" s="336" t="str">
        <f t="shared" si="19"/>
        <v/>
      </c>
      <c r="AB156" s="336" t="str">
        <f t="shared" si="14"/>
        <v/>
      </c>
      <c r="AC156" s="336" t="str">
        <f t="shared" si="15"/>
        <v/>
      </c>
      <c r="AD156" s="336" t="str">
        <f t="shared" si="16"/>
        <v/>
      </c>
      <c r="AE156" s="336" t="str">
        <f t="shared" si="17"/>
        <v/>
      </c>
      <c r="AF156" s="336" t="str">
        <f t="shared" si="18"/>
        <v/>
      </c>
    </row>
    <row r="157" spans="27:32" x14ac:dyDescent="0.2">
      <c r="AA157" s="336" t="str">
        <f t="shared" si="19"/>
        <v/>
      </c>
      <c r="AB157" s="336" t="str">
        <f t="shared" si="14"/>
        <v/>
      </c>
      <c r="AC157" s="336" t="str">
        <f t="shared" si="15"/>
        <v/>
      </c>
      <c r="AD157" s="336" t="str">
        <f t="shared" si="16"/>
        <v/>
      </c>
      <c r="AE157" s="336" t="str">
        <f t="shared" si="17"/>
        <v/>
      </c>
      <c r="AF157" s="336" t="str">
        <f t="shared" si="18"/>
        <v/>
      </c>
    </row>
    <row r="158" spans="27:32" x14ac:dyDescent="0.2">
      <c r="AA158" s="336" t="str">
        <f t="shared" si="19"/>
        <v/>
      </c>
      <c r="AB158" s="336" t="str">
        <f t="shared" si="14"/>
        <v/>
      </c>
      <c r="AC158" s="336" t="str">
        <f t="shared" si="15"/>
        <v/>
      </c>
      <c r="AD158" s="336" t="str">
        <f t="shared" si="16"/>
        <v/>
      </c>
      <c r="AE158" s="336" t="str">
        <f t="shared" si="17"/>
        <v/>
      </c>
      <c r="AF158" s="336" t="str">
        <f t="shared" si="18"/>
        <v/>
      </c>
    </row>
    <row r="159" spans="27:32" x14ac:dyDescent="0.2">
      <c r="AA159" s="336" t="str">
        <f t="shared" si="19"/>
        <v/>
      </c>
      <c r="AB159" s="336" t="str">
        <f t="shared" si="14"/>
        <v/>
      </c>
      <c r="AC159" s="336" t="str">
        <f t="shared" si="15"/>
        <v/>
      </c>
      <c r="AD159" s="336" t="str">
        <f t="shared" si="16"/>
        <v/>
      </c>
      <c r="AE159" s="336" t="str">
        <f t="shared" si="17"/>
        <v/>
      </c>
      <c r="AF159" s="336" t="str">
        <f t="shared" si="18"/>
        <v/>
      </c>
    </row>
    <row r="160" spans="27:32" x14ac:dyDescent="0.2">
      <c r="AA160" s="336" t="str">
        <f t="shared" si="19"/>
        <v/>
      </c>
      <c r="AB160" s="336" t="str">
        <f t="shared" si="14"/>
        <v/>
      </c>
      <c r="AC160" s="336" t="str">
        <f t="shared" si="15"/>
        <v/>
      </c>
      <c r="AD160" s="336" t="str">
        <f t="shared" si="16"/>
        <v/>
      </c>
      <c r="AE160" s="336" t="str">
        <f t="shared" si="17"/>
        <v/>
      </c>
      <c r="AF160" s="336" t="str">
        <f t="shared" si="18"/>
        <v/>
      </c>
    </row>
    <row r="161" spans="27:32" x14ac:dyDescent="0.2">
      <c r="AA161" s="336" t="str">
        <f t="shared" si="19"/>
        <v/>
      </c>
      <c r="AB161" s="336" t="str">
        <f t="shared" si="14"/>
        <v/>
      </c>
      <c r="AC161" s="336" t="str">
        <f t="shared" si="15"/>
        <v/>
      </c>
      <c r="AD161" s="336" t="str">
        <f t="shared" si="16"/>
        <v/>
      </c>
      <c r="AE161" s="336" t="str">
        <f t="shared" si="17"/>
        <v/>
      </c>
      <c r="AF161" s="336" t="str">
        <f t="shared" si="18"/>
        <v/>
      </c>
    </row>
    <row r="162" spans="27:32" x14ac:dyDescent="0.2">
      <c r="AA162" s="336" t="str">
        <f t="shared" si="19"/>
        <v/>
      </c>
      <c r="AB162" s="336" t="str">
        <f t="shared" si="14"/>
        <v/>
      </c>
      <c r="AC162" s="336" t="str">
        <f t="shared" si="15"/>
        <v/>
      </c>
      <c r="AD162" s="336" t="str">
        <f t="shared" si="16"/>
        <v/>
      </c>
      <c r="AE162" s="336" t="str">
        <f t="shared" si="17"/>
        <v/>
      </c>
      <c r="AF162" s="336" t="str">
        <f t="shared" si="18"/>
        <v/>
      </c>
    </row>
    <row r="163" spans="27:32" x14ac:dyDescent="0.2">
      <c r="AA163" s="336" t="str">
        <f t="shared" si="19"/>
        <v/>
      </c>
      <c r="AB163" s="336" t="str">
        <f t="shared" si="14"/>
        <v/>
      </c>
      <c r="AC163" s="336" t="str">
        <f t="shared" si="15"/>
        <v/>
      </c>
      <c r="AD163" s="336" t="str">
        <f t="shared" si="16"/>
        <v/>
      </c>
      <c r="AE163" s="336" t="str">
        <f t="shared" si="17"/>
        <v/>
      </c>
      <c r="AF163" s="336" t="str">
        <f t="shared" si="18"/>
        <v/>
      </c>
    </row>
    <row r="164" spans="27:32" x14ac:dyDescent="0.2">
      <c r="AA164" s="336" t="str">
        <f t="shared" si="19"/>
        <v/>
      </c>
      <c r="AB164" s="336" t="str">
        <f t="shared" si="14"/>
        <v/>
      </c>
      <c r="AC164" s="336" t="str">
        <f t="shared" si="15"/>
        <v/>
      </c>
      <c r="AD164" s="336" t="str">
        <f t="shared" si="16"/>
        <v/>
      </c>
      <c r="AE164" s="336" t="str">
        <f t="shared" si="17"/>
        <v/>
      </c>
      <c r="AF164" s="336" t="str">
        <f t="shared" si="18"/>
        <v/>
      </c>
    </row>
    <row r="165" spans="27:32" x14ac:dyDescent="0.2">
      <c r="AA165" s="336" t="str">
        <f t="shared" si="19"/>
        <v/>
      </c>
      <c r="AB165" s="336" t="str">
        <f t="shared" si="14"/>
        <v/>
      </c>
      <c r="AC165" s="336" t="str">
        <f t="shared" si="15"/>
        <v/>
      </c>
      <c r="AD165" s="336" t="str">
        <f t="shared" si="16"/>
        <v/>
      </c>
      <c r="AE165" s="336" t="str">
        <f t="shared" si="17"/>
        <v/>
      </c>
      <c r="AF165" s="336" t="str">
        <f t="shared" si="18"/>
        <v/>
      </c>
    </row>
    <row r="166" spans="27:32" x14ac:dyDescent="0.2">
      <c r="AA166" s="336" t="str">
        <f t="shared" si="19"/>
        <v/>
      </c>
      <c r="AB166" s="336" t="str">
        <f t="shared" si="14"/>
        <v/>
      </c>
      <c r="AC166" s="336" t="str">
        <f t="shared" si="15"/>
        <v/>
      </c>
      <c r="AD166" s="336" t="str">
        <f t="shared" si="16"/>
        <v/>
      </c>
      <c r="AE166" s="336" t="str">
        <f t="shared" si="17"/>
        <v/>
      </c>
      <c r="AF166" s="336" t="str">
        <f t="shared" si="18"/>
        <v/>
      </c>
    </row>
    <row r="167" spans="27:32" x14ac:dyDescent="0.2">
      <c r="AA167" s="336" t="str">
        <f t="shared" si="19"/>
        <v/>
      </c>
      <c r="AB167" s="336" t="str">
        <f t="shared" si="14"/>
        <v/>
      </c>
      <c r="AC167" s="336" t="str">
        <f t="shared" si="15"/>
        <v/>
      </c>
      <c r="AD167" s="336" t="str">
        <f t="shared" si="16"/>
        <v/>
      </c>
      <c r="AE167" s="336" t="str">
        <f t="shared" si="17"/>
        <v/>
      </c>
      <c r="AF167" s="336" t="str">
        <f t="shared" si="18"/>
        <v/>
      </c>
    </row>
    <row r="168" spans="27:32" x14ac:dyDescent="0.2">
      <c r="AA168" s="336" t="str">
        <f t="shared" si="19"/>
        <v/>
      </c>
      <c r="AB168" s="336" t="str">
        <f t="shared" si="14"/>
        <v/>
      </c>
      <c r="AC168" s="336" t="str">
        <f t="shared" si="15"/>
        <v/>
      </c>
      <c r="AD168" s="336" t="str">
        <f t="shared" si="16"/>
        <v/>
      </c>
      <c r="AE168" s="336" t="str">
        <f t="shared" si="17"/>
        <v/>
      </c>
      <c r="AF168" s="336" t="str">
        <f t="shared" si="18"/>
        <v/>
      </c>
    </row>
    <row r="169" spans="27:32" x14ac:dyDescent="0.2">
      <c r="AA169" s="336" t="str">
        <f t="shared" si="19"/>
        <v/>
      </c>
      <c r="AB169" s="336" t="str">
        <f t="shared" si="14"/>
        <v/>
      </c>
      <c r="AC169" s="336" t="str">
        <f t="shared" si="15"/>
        <v/>
      </c>
      <c r="AD169" s="336" t="str">
        <f t="shared" si="16"/>
        <v/>
      </c>
      <c r="AE169" s="336" t="str">
        <f t="shared" si="17"/>
        <v/>
      </c>
      <c r="AF169" s="336" t="str">
        <f t="shared" si="18"/>
        <v/>
      </c>
    </row>
    <row r="170" spans="27:32" x14ac:dyDescent="0.2">
      <c r="AA170" s="336" t="str">
        <f t="shared" si="19"/>
        <v/>
      </c>
      <c r="AB170" s="336" t="str">
        <f t="shared" si="14"/>
        <v/>
      </c>
      <c r="AC170" s="336" t="str">
        <f t="shared" si="15"/>
        <v/>
      </c>
      <c r="AD170" s="336" t="str">
        <f t="shared" si="16"/>
        <v/>
      </c>
      <c r="AE170" s="336" t="str">
        <f t="shared" si="17"/>
        <v/>
      </c>
      <c r="AF170" s="336" t="str">
        <f t="shared" si="18"/>
        <v/>
      </c>
    </row>
    <row r="171" spans="27:32" x14ac:dyDescent="0.2">
      <c r="AA171" s="336" t="str">
        <f t="shared" si="19"/>
        <v/>
      </c>
      <c r="AB171" s="336" t="str">
        <f t="shared" si="14"/>
        <v/>
      </c>
      <c r="AC171" s="336" t="str">
        <f t="shared" si="15"/>
        <v/>
      </c>
      <c r="AD171" s="336" t="str">
        <f t="shared" si="16"/>
        <v/>
      </c>
      <c r="AE171" s="336" t="str">
        <f t="shared" si="17"/>
        <v/>
      </c>
      <c r="AF171" s="336" t="str">
        <f t="shared" si="18"/>
        <v/>
      </c>
    </row>
    <row r="172" spans="27:32" x14ac:dyDescent="0.2">
      <c r="AA172" s="336" t="str">
        <f t="shared" si="19"/>
        <v/>
      </c>
      <c r="AB172" s="336" t="str">
        <f t="shared" si="14"/>
        <v/>
      </c>
      <c r="AC172" s="336" t="str">
        <f t="shared" si="15"/>
        <v/>
      </c>
      <c r="AD172" s="336" t="str">
        <f t="shared" si="16"/>
        <v/>
      </c>
      <c r="AE172" s="336" t="str">
        <f t="shared" si="17"/>
        <v/>
      </c>
      <c r="AF172" s="336" t="str">
        <f t="shared" si="18"/>
        <v/>
      </c>
    </row>
    <row r="173" spans="27:32" x14ac:dyDescent="0.2">
      <c r="AA173" s="336" t="str">
        <f t="shared" si="19"/>
        <v/>
      </c>
      <c r="AB173" s="336" t="str">
        <f t="shared" si="14"/>
        <v/>
      </c>
      <c r="AC173" s="336" t="str">
        <f t="shared" si="15"/>
        <v/>
      </c>
      <c r="AD173" s="336" t="str">
        <f t="shared" si="16"/>
        <v/>
      </c>
      <c r="AE173" s="336" t="str">
        <f t="shared" si="17"/>
        <v/>
      </c>
      <c r="AF173" s="336" t="str">
        <f t="shared" si="18"/>
        <v/>
      </c>
    </row>
    <row r="174" spans="27:32" x14ac:dyDescent="0.2">
      <c r="AA174" s="336" t="str">
        <f t="shared" si="19"/>
        <v/>
      </c>
      <c r="AB174" s="336" t="str">
        <f t="shared" si="14"/>
        <v/>
      </c>
      <c r="AC174" s="336" t="str">
        <f t="shared" si="15"/>
        <v/>
      </c>
      <c r="AD174" s="336" t="str">
        <f t="shared" si="16"/>
        <v/>
      </c>
      <c r="AE174" s="336" t="str">
        <f t="shared" si="17"/>
        <v/>
      </c>
      <c r="AF174" s="336" t="str">
        <f t="shared" si="18"/>
        <v/>
      </c>
    </row>
    <row r="175" spans="27:32" x14ac:dyDescent="0.2">
      <c r="AA175" s="336" t="str">
        <f t="shared" si="19"/>
        <v/>
      </c>
      <c r="AB175" s="336" t="str">
        <f t="shared" si="14"/>
        <v/>
      </c>
      <c r="AC175" s="336" t="str">
        <f t="shared" si="15"/>
        <v/>
      </c>
      <c r="AD175" s="336" t="str">
        <f t="shared" si="16"/>
        <v/>
      </c>
      <c r="AE175" s="336" t="str">
        <f t="shared" si="17"/>
        <v/>
      </c>
      <c r="AF175" s="336" t="str">
        <f t="shared" si="18"/>
        <v/>
      </c>
    </row>
    <row r="176" spans="27:32" x14ac:dyDescent="0.2">
      <c r="AA176" s="336" t="str">
        <f t="shared" si="19"/>
        <v/>
      </c>
      <c r="AB176" s="336" t="str">
        <f t="shared" si="14"/>
        <v/>
      </c>
      <c r="AC176" s="336" t="str">
        <f t="shared" si="15"/>
        <v/>
      </c>
      <c r="AD176" s="336" t="str">
        <f t="shared" si="16"/>
        <v/>
      </c>
      <c r="AE176" s="336" t="str">
        <f t="shared" si="17"/>
        <v/>
      </c>
      <c r="AF176" s="336" t="str">
        <f t="shared" si="18"/>
        <v/>
      </c>
    </row>
    <row r="177" spans="27:32" x14ac:dyDescent="0.2">
      <c r="AA177" s="336" t="str">
        <f t="shared" si="19"/>
        <v/>
      </c>
      <c r="AB177" s="336" t="str">
        <f t="shared" si="14"/>
        <v/>
      </c>
      <c r="AC177" s="336" t="str">
        <f t="shared" si="15"/>
        <v/>
      </c>
      <c r="AD177" s="336" t="str">
        <f t="shared" si="16"/>
        <v/>
      </c>
      <c r="AE177" s="336" t="str">
        <f t="shared" si="17"/>
        <v/>
      </c>
      <c r="AF177" s="336" t="str">
        <f t="shared" si="18"/>
        <v/>
      </c>
    </row>
    <row r="178" spans="27:32" x14ac:dyDescent="0.2">
      <c r="AA178" s="336" t="str">
        <f t="shared" si="19"/>
        <v/>
      </c>
      <c r="AB178" s="336" t="str">
        <f t="shared" si="14"/>
        <v/>
      </c>
      <c r="AC178" s="336" t="str">
        <f t="shared" si="15"/>
        <v/>
      </c>
      <c r="AD178" s="336" t="str">
        <f t="shared" si="16"/>
        <v/>
      </c>
      <c r="AE178" s="336" t="str">
        <f t="shared" si="17"/>
        <v/>
      </c>
      <c r="AF178" s="336" t="str">
        <f t="shared" si="18"/>
        <v/>
      </c>
    </row>
    <row r="179" spans="27:32" x14ac:dyDescent="0.2">
      <c r="AA179" s="336" t="str">
        <f t="shared" si="19"/>
        <v/>
      </c>
      <c r="AB179" s="336" t="str">
        <f t="shared" si="14"/>
        <v/>
      </c>
      <c r="AC179" s="336" t="str">
        <f t="shared" si="15"/>
        <v/>
      </c>
      <c r="AD179" s="336" t="str">
        <f t="shared" si="16"/>
        <v/>
      </c>
      <c r="AE179" s="336" t="str">
        <f t="shared" si="17"/>
        <v/>
      </c>
      <c r="AF179" s="336" t="str">
        <f t="shared" si="18"/>
        <v/>
      </c>
    </row>
    <row r="180" spans="27:32" x14ac:dyDescent="0.2">
      <c r="AA180" s="336" t="str">
        <f t="shared" si="19"/>
        <v/>
      </c>
      <c r="AB180" s="336" t="str">
        <f t="shared" si="14"/>
        <v/>
      </c>
      <c r="AC180" s="336" t="str">
        <f t="shared" si="15"/>
        <v/>
      </c>
      <c r="AD180" s="336" t="str">
        <f t="shared" si="16"/>
        <v/>
      </c>
      <c r="AE180" s="336" t="str">
        <f t="shared" si="17"/>
        <v/>
      </c>
      <c r="AF180" s="336" t="str">
        <f t="shared" si="18"/>
        <v/>
      </c>
    </row>
    <row r="181" spans="27:32" x14ac:dyDescent="0.2">
      <c r="AA181" s="336" t="str">
        <f t="shared" si="19"/>
        <v/>
      </c>
      <c r="AB181" s="336" t="str">
        <f t="shared" si="14"/>
        <v/>
      </c>
      <c r="AC181" s="336" t="str">
        <f t="shared" si="15"/>
        <v/>
      </c>
      <c r="AD181" s="336" t="str">
        <f t="shared" si="16"/>
        <v/>
      </c>
      <c r="AE181" s="336" t="str">
        <f t="shared" si="17"/>
        <v/>
      </c>
      <c r="AF181" s="336" t="str">
        <f t="shared" si="18"/>
        <v/>
      </c>
    </row>
    <row r="182" spans="27:32" x14ac:dyDescent="0.2">
      <c r="AA182" s="336" t="str">
        <f t="shared" si="19"/>
        <v/>
      </c>
      <c r="AB182" s="336" t="str">
        <f t="shared" si="14"/>
        <v/>
      </c>
      <c r="AC182" s="336" t="str">
        <f t="shared" si="15"/>
        <v/>
      </c>
      <c r="AD182" s="336" t="str">
        <f t="shared" si="16"/>
        <v/>
      </c>
      <c r="AE182" s="336" t="str">
        <f t="shared" si="17"/>
        <v/>
      </c>
      <c r="AF182" s="336" t="str">
        <f t="shared" si="18"/>
        <v/>
      </c>
    </row>
    <row r="183" spans="27:32" x14ac:dyDescent="0.2">
      <c r="AA183" s="336" t="str">
        <f t="shared" si="19"/>
        <v/>
      </c>
      <c r="AB183" s="336" t="str">
        <f t="shared" si="14"/>
        <v/>
      </c>
      <c r="AC183" s="336" t="str">
        <f t="shared" si="15"/>
        <v/>
      </c>
      <c r="AD183" s="336" t="str">
        <f t="shared" si="16"/>
        <v/>
      </c>
      <c r="AE183" s="336" t="str">
        <f t="shared" si="17"/>
        <v/>
      </c>
      <c r="AF183" s="336" t="str">
        <f t="shared" si="18"/>
        <v/>
      </c>
    </row>
    <row r="184" spans="27:32" x14ac:dyDescent="0.2">
      <c r="AA184" s="336" t="str">
        <f t="shared" si="19"/>
        <v/>
      </c>
      <c r="AB184" s="336" t="str">
        <f t="shared" si="14"/>
        <v/>
      </c>
      <c r="AC184" s="336" t="str">
        <f t="shared" si="15"/>
        <v/>
      </c>
      <c r="AD184" s="336" t="str">
        <f t="shared" si="16"/>
        <v/>
      </c>
      <c r="AE184" s="336" t="str">
        <f t="shared" si="17"/>
        <v/>
      </c>
      <c r="AF184" s="336" t="str">
        <f t="shared" si="18"/>
        <v/>
      </c>
    </row>
    <row r="185" spans="27:32" x14ac:dyDescent="0.2">
      <c r="AA185" s="336" t="str">
        <f t="shared" si="19"/>
        <v/>
      </c>
      <c r="AB185" s="336" t="str">
        <f t="shared" si="14"/>
        <v/>
      </c>
      <c r="AC185" s="336" t="str">
        <f t="shared" si="15"/>
        <v/>
      </c>
      <c r="AD185" s="336" t="str">
        <f t="shared" si="16"/>
        <v/>
      </c>
      <c r="AE185" s="336" t="str">
        <f t="shared" si="17"/>
        <v/>
      </c>
      <c r="AF185" s="336" t="str">
        <f t="shared" si="18"/>
        <v/>
      </c>
    </row>
    <row r="186" spans="27:32" x14ac:dyDescent="0.2">
      <c r="AA186" s="336" t="str">
        <f t="shared" si="19"/>
        <v/>
      </c>
      <c r="AB186" s="336" t="str">
        <f t="shared" si="14"/>
        <v/>
      </c>
      <c r="AC186" s="336" t="str">
        <f t="shared" si="15"/>
        <v/>
      </c>
      <c r="AD186" s="336" t="str">
        <f t="shared" si="16"/>
        <v/>
      </c>
      <c r="AE186" s="336" t="str">
        <f t="shared" si="17"/>
        <v/>
      </c>
      <c r="AF186" s="336" t="str">
        <f t="shared" si="18"/>
        <v/>
      </c>
    </row>
    <row r="187" spans="27:32" x14ac:dyDescent="0.2">
      <c r="AA187" s="336" t="str">
        <f t="shared" si="19"/>
        <v/>
      </c>
      <c r="AB187" s="336" t="str">
        <f t="shared" si="14"/>
        <v/>
      </c>
      <c r="AC187" s="336" t="str">
        <f t="shared" si="15"/>
        <v/>
      </c>
      <c r="AD187" s="336" t="str">
        <f t="shared" si="16"/>
        <v/>
      </c>
      <c r="AE187" s="336" t="str">
        <f t="shared" si="17"/>
        <v/>
      </c>
      <c r="AF187" s="336" t="str">
        <f t="shared" si="18"/>
        <v/>
      </c>
    </row>
    <row r="188" spans="27:32" x14ac:dyDescent="0.2">
      <c r="AA188" s="336" t="str">
        <f t="shared" si="19"/>
        <v/>
      </c>
      <c r="AB188" s="336" t="str">
        <f t="shared" si="14"/>
        <v/>
      </c>
      <c r="AC188" s="336" t="str">
        <f t="shared" si="15"/>
        <v/>
      </c>
      <c r="AD188" s="336" t="str">
        <f t="shared" si="16"/>
        <v/>
      </c>
      <c r="AE188" s="336" t="str">
        <f t="shared" si="17"/>
        <v/>
      </c>
      <c r="AF188" s="336" t="str">
        <f t="shared" si="18"/>
        <v/>
      </c>
    </row>
    <row r="189" spans="27:32" x14ac:dyDescent="0.2">
      <c r="AA189" s="336" t="str">
        <f t="shared" si="19"/>
        <v/>
      </c>
      <c r="AB189" s="336" t="str">
        <f t="shared" si="14"/>
        <v/>
      </c>
      <c r="AC189" s="336" t="str">
        <f t="shared" si="15"/>
        <v/>
      </c>
      <c r="AD189" s="336" t="str">
        <f t="shared" si="16"/>
        <v/>
      </c>
      <c r="AE189" s="336" t="str">
        <f t="shared" si="17"/>
        <v/>
      </c>
      <c r="AF189" s="336" t="str">
        <f t="shared" si="18"/>
        <v/>
      </c>
    </row>
    <row r="190" spans="27:32" x14ac:dyDescent="0.2">
      <c r="AA190" s="336" t="str">
        <f t="shared" si="19"/>
        <v/>
      </c>
      <c r="AB190" s="336" t="str">
        <f t="shared" si="14"/>
        <v/>
      </c>
      <c r="AC190" s="336" t="str">
        <f t="shared" si="15"/>
        <v/>
      </c>
      <c r="AD190" s="336" t="str">
        <f t="shared" si="16"/>
        <v/>
      </c>
      <c r="AE190" s="336" t="str">
        <f t="shared" si="17"/>
        <v/>
      </c>
      <c r="AF190" s="336" t="str">
        <f t="shared" si="18"/>
        <v/>
      </c>
    </row>
    <row r="191" spans="27:32" x14ac:dyDescent="0.2">
      <c r="AA191" s="336" t="str">
        <f t="shared" si="19"/>
        <v/>
      </c>
      <c r="AB191" s="336" t="str">
        <f t="shared" si="14"/>
        <v/>
      </c>
      <c r="AC191" s="336" t="str">
        <f t="shared" si="15"/>
        <v/>
      </c>
      <c r="AD191" s="336" t="str">
        <f t="shared" si="16"/>
        <v/>
      </c>
      <c r="AE191" s="336" t="str">
        <f t="shared" si="17"/>
        <v/>
      </c>
      <c r="AF191" s="336" t="str">
        <f t="shared" si="18"/>
        <v/>
      </c>
    </row>
    <row r="192" spans="27:32" x14ac:dyDescent="0.2">
      <c r="AA192" s="336" t="str">
        <f t="shared" si="19"/>
        <v/>
      </c>
      <c r="AB192" s="336" t="str">
        <f t="shared" si="14"/>
        <v/>
      </c>
      <c r="AC192" s="336" t="str">
        <f t="shared" si="15"/>
        <v/>
      </c>
      <c r="AD192" s="336" t="str">
        <f t="shared" si="16"/>
        <v/>
      </c>
      <c r="AE192" s="336" t="str">
        <f t="shared" si="17"/>
        <v/>
      </c>
      <c r="AF192" s="336" t="str">
        <f t="shared" si="18"/>
        <v/>
      </c>
    </row>
    <row r="193" spans="27:32" x14ac:dyDescent="0.2">
      <c r="AA193" s="336" t="str">
        <f t="shared" si="19"/>
        <v/>
      </c>
      <c r="AB193" s="336" t="str">
        <f t="shared" si="14"/>
        <v/>
      </c>
      <c r="AC193" s="336" t="str">
        <f t="shared" si="15"/>
        <v/>
      </c>
      <c r="AD193" s="336" t="str">
        <f t="shared" si="16"/>
        <v/>
      </c>
      <c r="AE193" s="336" t="str">
        <f t="shared" si="17"/>
        <v/>
      </c>
      <c r="AF193" s="336" t="str">
        <f t="shared" si="18"/>
        <v/>
      </c>
    </row>
    <row r="194" spans="27:32" x14ac:dyDescent="0.2">
      <c r="AA194" s="336" t="str">
        <f t="shared" si="19"/>
        <v/>
      </c>
      <c r="AB194" s="336" t="str">
        <f t="shared" si="14"/>
        <v/>
      </c>
      <c r="AC194" s="336" t="str">
        <f t="shared" si="15"/>
        <v/>
      </c>
      <c r="AD194" s="336" t="str">
        <f t="shared" si="16"/>
        <v/>
      </c>
      <c r="AE194" s="336" t="str">
        <f t="shared" si="17"/>
        <v/>
      </c>
      <c r="AF194" s="336" t="str">
        <f t="shared" si="18"/>
        <v/>
      </c>
    </row>
    <row r="195" spans="27:32" x14ac:dyDescent="0.2">
      <c r="AA195" s="336" t="str">
        <f t="shared" si="19"/>
        <v/>
      </c>
      <c r="AB195" s="336" t="str">
        <f t="shared" si="14"/>
        <v/>
      </c>
      <c r="AC195" s="336" t="str">
        <f t="shared" si="15"/>
        <v/>
      </c>
      <c r="AD195" s="336" t="str">
        <f t="shared" si="16"/>
        <v/>
      </c>
      <c r="AE195" s="336" t="str">
        <f t="shared" si="17"/>
        <v/>
      </c>
      <c r="AF195" s="336" t="str">
        <f t="shared" si="18"/>
        <v/>
      </c>
    </row>
    <row r="196" spans="27:32" x14ac:dyDescent="0.2">
      <c r="AA196" s="336" t="str">
        <f t="shared" si="19"/>
        <v/>
      </c>
      <c r="AB196" s="336" t="str">
        <f t="shared" si="14"/>
        <v/>
      </c>
      <c r="AC196" s="336" t="str">
        <f t="shared" si="15"/>
        <v/>
      </c>
      <c r="AD196" s="336" t="str">
        <f t="shared" si="16"/>
        <v/>
      </c>
      <c r="AE196" s="336" t="str">
        <f t="shared" si="17"/>
        <v/>
      </c>
      <c r="AF196" s="336" t="str">
        <f t="shared" si="18"/>
        <v/>
      </c>
    </row>
    <row r="197" spans="27:32" x14ac:dyDescent="0.2">
      <c r="AA197" s="336" t="str">
        <f t="shared" si="19"/>
        <v/>
      </c>
      <c r="AB197" s="336" t="str">
        <f t="shared" si="14"/>
        <v/>
      </c>
      <c r="AC197" s="336" t="str">
        <f t="shared" si="15"/>
        <v/>
      </c>
      <c r="AD197" s="336" t="str">
        <f t="shared" si="16"/>
        <v/>
      </c>
      <c r="AE197" s="336" t="str">
        <f t="shared" si="17"/>
        <v/>
      </c>
      <c r="AF197" s="336" t="str">
        <f t="shared" si="18"/>
        <v/>
      </c>
    </row>
    <row r="198" spans="27:32" x14ac:dyDescent="0.2">
      <c r="AA198" s="336" t="str">
        <f t="shared" si="19"/>
        <v/>
      </c>
      <c r="AB198" s="336" t="str">
        <f t="shared" si="14"/>
        <v/>
      </c>
      <c r="AC198" s="336" t="str">
        <f t="shared" si="15"/>
        <v/>
      </c>
      <c r="AD198" s="336" t="str">
        <f t="shared" si="16"/>
        <v/>
      </c>
      <c r="AE198" s="336" t="str">
        <f t="shared" si="17"/>
        <v/>
      </c>
      <c r="AF198" s="336" t="str">
        <f t="shared" si="18"/>
        <v/>
      </c>
    </row>
    <row r="199" spans="27:32" x14ac:dyDescent="0.2">
      <c r="AA199" s="336" t="str">
        <f t="shared" si="19"/>
        <v/>
      </c>
      <c r="AB199" s="336" t="str">
        <f t="shared" ref="AB199:AB262" si="20">IF(NOT(ISBLANK(F199)),L199,"")</f>
        <v/>
      </c>
      <c r="AC199" s="336" t="str">
        <f t="shared" ref="AC199:AC262" si="21">IF(NOT(ISBLANK(G199)),L199,"")</f>
        <v/>
      </c>
      <c r="AD199" s="336" t="str">
        <f t="shared" ref="AD199:AD262" si="22">IF(NOT(ISBLANK(H199)),L199,"")</f>
        <v/>
      </c>
      <c r="AE199" s="336" t="str">
        <f t="shared" ref="AE199:AE262" si="23">IF(NOT(ISBLANK(I199)),L199,"")</f>
        <v/>
      </c>
      <c r="AF199" s="336" t="str">
        <f t="shared" ref="AF199:AF262" si="24">IF(NOT(ISBLANK(J199)),L199,"")</f>
        <v/>
      </c>
    </row>
    <row r="200" spans="27:32" x14ac:dyDescent="0.2">
      <c r="AA200" s="336" t="str">
        <f t="shared" ref="AA200:AA263" si="25">IF(NOT(ISBLANK(E200)),L200,"")</f>
        <v/>
      </c>
      <c r="AB200" s="336" t="str">
        <f t="shared" si="20"/>
        <v/>
      </c>
      <c r="AC200" s="336" t="str">
        <f t="shared" si="21"/>
        <v/>
      </c>
      <c r="AD200" s="336" t="str">
        <f t="shared" si="22"/>
        <v/>
      </c>
      <c r="AE200" s="336" t="str">
        <f t="shared" si="23"/>
        <v/>
      </c>
      <c r="AF200" s="336" t="str">
        <f t="shared" si="24"/>
        <v/>
      </c>
    </row>
    <row r="201" spans="27:32" x14ac:dyDescent="0.2">
      <c r="AA201" s="336" t="str">
        <f t="shared" si="25"/>
        <v/>
      </c>
      <c r="AB201" s="336" t="str">
        <f t="shared" si="20"/>
        <v/>
      </c>
      <c r="AC201" s="336" t="str">
        <f t="shared" si="21"/>
        <v/>
      </c>
      <c r="AD201" s="336" t="str">
        <f t="shared" si="22"/>
        <v/>
      </c>
      <c r="AE201" s="336" t="str">
        <f t="shared" si="23"/>
        <v/>
      </c>
      <c r="AF201" s="336" t="str">
        <f t="shared" si="24"/>
        <v/>
      </c>
    </row>
    <row r="202" spans="27:32" x14ac:dyDescent="0.2">
      <c r="AA202" s="336" t="str">
        <f t="shared" si="25"/>
        <v/>
      </c>
      <c r="AB202" s="336" t="str">
        <f t="shared" si="20"/>
        <v/>
      </c>
      <c r="AC202" s="336" t="str">
        <f t="shared" si="21"/>
        <v/>
      </c>
      <c r="AD202" s="336" t="str">
        <f t="shared" si="22"/>
        <v/>
      </c>
      <c r="AE202" s="336" t="str">
        <f t="shared" si="23"/>
        <v/>
      </c>
      <c r="AF202" s="336" t="str">
        <f t="shared" si="24"/>
        <v/>
      </c>
    </row>
    <row r="203" spans="27:32" x14ac:dyDescent="0.2">
      <c r="AA203" s="336" t="str">
        <f t="shared" si="25"/>
        <v/>
      </c>
      <c r="AB203" s="336" t="str">
        <f t="shared" si="20"/>
        <v/>
      </c>
      <c r="AC203" s="336" t="str">
        <f t="shared" si="21"/>
        <v/>
      </c>
      <c r="AD203" s="336" t="str">
        <f t="shared" si="22"/>
        <v/>
      </c>
      <c r="AE203" s="336" t="str">
        <f t="shared" si="23"/>
        <v/>
      </c>
      <c r="AF203" s="336" t="str">
        <f t="shared" si="24"/>
        <v/>
      </c>
    </row>
    <row r="204" spans="27:32" x14ac:dyDescent="0.2">
      <c r="AA204" s="336" t="str">
        <f t="shared" si="25"/>
        <v/>
      </c>
      <c r="AB204" s="336" t="str">
        <f t="shared" si="20"/>
        <v/>
      </c>
      <c r="AC204" s="336" t="str">
        <f t="shared" si="21"/>
        <v/>
      </c>
      <c r="AD204" s="336" t="str">
        <f t="shared" si="22"/>
        <v/>
      </c>
      <c r="AE204" s="336" t="str">
        <f t="shared" si="23"/>
        <v/>
      </c>
      <c r="AF204" s="336" t="str">
        <f t="shared" si="24"/>
        <v/>
      </c>
    </row>
    <row r="205" spans="27:32" x14ac:dyDescent="0.2">
      <c r="AA205" s="336" t="str">
        <f t="shared" si="25"/>
        <v/>
      </c>
      <c r="AB205" s="336" t="str">
        <f t="shared" si="20"/>
        <v/>
      </c>
      <c r="AC205" s="336" t="str">
        <f t="shared" si="21"/>
        <v/>
      </c>
      <c r="AD205" s="336" t="str">
        <f t="shared" si="22"/>
        <v/>
      </c>
      <c r="AE205" s="336" t="str">
        <f t="shared" si="23"/>
        <v/>
      </c>
      <c r="AF205" s="336" t="str">
        <f t="shared" si="24"/>
        <v/>
      </c>
    </row>
    <row r="206" spans="27:32" x14ac:dyDescent="0.2">
      <c r="AA206" s="336" t="str">
        <f t="shared" si="25"/>
        <v/>
      </c>
      <c r="AB206" s="336" t="str">
        <f t="shared" si="20"/>
        <v/>
      </c>
      <c r="AC206" s="336" t="str">
        <f t="shared" si="21"/>
        <v/>
      </c>
      <c r="AD206" s="336" t="str">
        <f t="shared" si="22"/>
        <v/>
      </c>
      <c r="AE206" s="336" t="str">
        <f t="shared" si="23"/>
        <v/>
      </c>
      <c r="AF206" s="336" t="str">
        <f t="shared" si="24"/>
        <v/>
      </c>
    </row>
    <row r="207" spans="27:32" x14ac:dyDescent="0.2">
      <c r="AA207" s="336" t="str">
        <f t="shared" si="25"/>
        <v/>
      </c>
      <c r="AB207" s="336" t="str">
        <f t="shared" si="20"/>
        <v/>
      </c>
      <c r="AC207" s="336" t="str">
        <f t="shared" si="21"/>
        <v/>
      </c>
      <c r="AD207" s="336" t="str">
        <f t="shared" si="22"/>
        <v/>
      </c>
      <c r="AE207" s="336" t="str">
        <f t="shared" si="23"/>
        <v/>
      </c>
      <c r="AF207" s="336" t="str">
        <f t="shared" si="24"/>
        <v/>
      </c>
    </row>
    <row r="208" spans="27:32" x14ac:dyDescent="0.2">
      <c r="AA208" s="336" t="str">
        <f t="shared" si="25"/>
        <v/>
      </c>
      <c r="AB208" s="336" t="str">
        <f t="shared" si="20"/>
        <v/>
      </c>
      <c r="AC208" s="336" t="str">
        <f t="shared" si="21"/>
        <v/>
      </c>
      <c r="AD208" s="336" t="str">
        <f t="shared" si="22"/>
        <v/>
      </c>
      <c r="AE208" s="336" t="str">
        <f t="shared" si="23"/>
        <v/>
      </c>
      <c r="AF208" s="336" t="str">
        <f t="shared" si="24"/>
        <v/>
      </c>
    </row>
    <row r="209" spans="27:32" x14ac:dyDescent="0.2">
      <c r="AA209" s="336" t="str">
        <f t="shared" si="25"/>
        <v/>
      </c>
      <c r="AB209" s="336" t="str">
        <f t="shared" si="20"/>
        <v/>
      </c>
      <c r="AC209" s="336" t="str">
        <f t="shared" si="21"/>
        <v/>
      </c>
      <c r="AD209" s="336" t="str">
        <f t="shared" si="22"/>
        <v/>
      </c>
      <c r="AE209" s="336" t="str">
        <f t="shared" si="23"/>
        <v/>
      </c>
      <c r="AF209" s="336" t="str">
        <f t="shared" si="24"/>
        <v/>
      </c>
    </row>
    <row r="210" spans="27:32" x14ac:dyDescent="0.2">
      <c r="AA210" s="336" t="str">
        <f t="shared" si="25"/>
        <v/>
      </c>
      <c r="AB210" s="336" t="str">
        <f t="shared" si="20"/>
        <v/>
      </c>
      <c r="AC210" s="336" t="str">
        <f t="shared" si="21"/>
        <v/>
      </c>
      <c r="AD210" s="336" t="str">
        <f t="shared" si="22"/>
        <v/>
      </c>
      <c r="AE210" s="336" t="str">
        <f t="shared" si="23"/>
        <v/>
      </c>
      <c r="AF210" s="336" t="str">
        <f t="shared" si="24"/>
        <v/>
      </c>
    </row>
    <row r="211" spans="27:32" x14ac:dyDescent="0.2">
      <c r="AA211" s="336" t="str">
        <f t="shared" si="25"/>
        <v/>
      </c>
      <c r="AB211" s="336" t="str">
        <f t="shared" si="20"/>
        <v/>
      </c>
      <c r="AC211" s="336" t="str">
        <f t="shared" si="21"/>
        <v/>
      </c>
      <c r="AD211" s="336" t="str">
        <f t="shared" si="22"/>
        <v/>
      </c>
      <c r="AE211" s="336" t="str">
        <f t="shared" si="23"/>
        <v/>
      </c>
      <c r="AF211" s="336" t="str">
        <f t="shared" si="24"/>
        <v/>
      </c>
    </row>
    <row r="212" spans="27:32" x14ac:dyDescent="0.2">
      <c r="AA212" s="336" t="str">
        <f t="shared" si="25"/>
        <v/>
      </c>
      <c r="AB212" s="336" t="str">
        <f t="shared" si="20"/>
        <v/>
      </c>
      <c r="AC212" s="336" t="str">
        <f t="shared" si="21"/>
        <v/>
      </c>
      <c r="AD212" s="336" t="str">
        <f t="shared" si="22"/>
        <v/>
      </c>
      <c r="AE212" s="336" t="str">
        <f t="shared" si="23"/>
        <v/>
      </c>
      <c r="AF212" s="336" t="str">
        <f t="shared" si="24"/>
        <v/>
      </c>
    </row>
    <row r="213" spans="27:32" x14ac:dyDescent="0.2">
      <c r="AA213" s="336" t="str">
        <f t="shared" si="25"/>
        <v/>
      </c>
      <c r="AB213" s="336" t="str">
        <f t="shared" si="20"/>
        <v/>
      </c>
      <c r="AC213" s="336" t="str">
        <f t="shared" si="21"/>
        <v/>
      </c>
      <c r="AD213" s="336" t="str">
        <f t="shared" si="22"/>
        <v/>
      </c>
      <c r="AE213" s="336" t="str">
        <f t="shared" si="23"/>
        <v/>
      </c>
      <c r="AF213" s="336" t="str">
        <f t="shared" si="24"/>
        <v/>
      </c>
    </row>
    <row r="214" spans="27:32" x14ac:dyDescent="0.2">
      <c r="AA214" s="336" t="str">
        <f t="shared" si="25"/>
        <v/>
      </c>
      <c r="AB214" s="336" t="str">
        <f t="shared" si="20"/>
        <v/>
      </c>
      <c r="AC214" s="336" t="str">
        <f t="shared" si="21"/>
        <v/>
      </c>
      <c r="AD214" s="336" t="str">
        <f t="shared" si="22"/>
        <v/>
      </c>
      <c r="AE214" s="336" t="str">
        <f t="shared" si="23"/>
        <v/>
      </c>
      <c r="AF214" s="336" t="str">
        <f t="shared" si="24"/>
        <v/>
      </c>
    </row>
    <row r="215" spans="27:32" x14ac:dyDescent="0.2">
      <c r="AA215" s="336" t="str">
        <f t="shared" si="25"/>
        <v/>
      </c>
      <c r="AB215" s="336" t="str">
        <f t="shared" si="20"/>
        <v/>
      </c>
      <c r="AC215" s="336" t="str">
        <f t="shared" si="21"/>
        <v/>
      </c>
      <c r="AD215" s="336" t="str">
        <f t="shared" si="22"/>
        <v/>
      </c>
      <c r="AE215" s="336" t="str">
        <f t="shared" si="23"/>
        <v/>
      </c>
      <c r="AF215" s="336" t="str">
        <f t="shared" si="24"/>
        <v/>
      </c>
    </row>
    <row r="216" spans="27:32" x14ac:dyDescent="0.2">
      <c r="AA216" s="336" t="str">
        <f t="shared" si="25"/>
        <v/>
      </c>
      <c r="AB216" s="336" t="str">
        <f t="shared" si="20"/>
        <v/>
      </c>
      <c r="AC216" s="336" t="str">
        <f t="shared" si="21"/>
        <v/>
      </c>
      <c r="AD216" s="336" t="str">
        <f t="shared" si="22"/>
        <v/>
      </c>
      <c r="AE216" s="336" t="str">
        <f t="shared" si="23"/>
        <v/>
      </c>
      <c r="AF216" s="336" t="str">
        <f t="shared" si="24"/>
        <v/>
      </c>
    </row>
    <row r="217" spans="27:32" x14ac:dyDescent="0.2">
      <c r="AA217" s="336" t="str">
        <f t="shared" si="25"/>
        <v/>
      </c>
      <c r="AB217" s="336" t="str">
        <f t="shared" si="20"/>
        <v/>
      </c>
      <c r="AC217" s="336" t="str">
        <f t="shared" si="21"/>
        <v/>
      </c>
      <c r="AD217" s="336" t="str">
        <f t="shared" si="22"/>
        <v/>
      </c>
      <c r="AE217" s="336" t="str">
        <f t="shared" si="23"/>
        <v/>
      </c>
      <c r="AF217" s="336" t="str">
        <f t="shared" si="24"/>
        <v/>
      </c>
    </row>
    <row r="218" spans="27:32" x14ac:dyDescent="0.2">
      <c r="AA218" s="336" t="str">
        <f t="shared" si="25"/>
        <v/>
      </c>
      <c r="AB218" s="336" t="str">
        <f t="shared" si="20"/>
        <v/>
      </c>
      <c r="AC218" s="336" t="str">
        <f t="shared" si="21"/>
        <v/>
      </c>
      <c r="AD218" s="336" t="str">
        <f t="shared" si="22"/>
        <v/>
      </c>
      <c r="AE218" s="336" t="str">
        <f t="shared" si="23"/>
        <v/>
      </c>
      <c r="AF218" s="336" t="str">
        <f t="shared" si="24"/>
        <v/>
      </c>
    </row>
    <row r="219" spans="27:32" x14ac:dyDescent="0.2">
      <c r="AA219" s="336" t="str">
        <f t="shared" si="25"/>
        <v/>
      </c>
      <c r="AB219" s="336" t="str">
        <f t="shared" si="20"/>
        <v/>
      </c>
      <c r="AC219" s="336" t="str">
        <f t="shared" si="21"/>
        <v/>
      </c>
      <c r="AD219" s="336" t="str">
        <f t="shared" si="22"/>
        <v/>
      </c>
      <c r="AE219" s="336" t="str">
        <f t="shared" si="23"/>
        <v/>
      </c>
      <c r="AF219" s="336" t="str">
        <f t="shared" si="24"/>
        <v/>
      </c>
    </row>
    <row r="220" spans="27:32" x14ac:dyDescent="0.2">
      <c r="AA220" s="336" t="str">
        <f t="shared" si="25"/>
        <v/>
      </c>
      <c r="AB220" s="336" t="str">
        <f t="shared" si="20"/>
        <v/>
      </c>
      <c r="AC220" s="336" t="str">
        <f t="shared" si="21"/>
        <v/>
      </c>
      <c r="AD220" s="336" t="str">
        <f t="shared" si="22"/>
        <v/>
      </c>
      <c r="AE220" s="336" t="str">
        <f t="shared" si="23"/>
        <v/>
      </c>
      <c r="AF220" s="336" t="str">
        <f t="shared" si="24"/>
        <v/>
      </c>
    </row>
    <row r="221" spans="27:32" x14ac:dyDescent="0.2">
      <c r="AA221" s="336" t="str">
        <f t="shared" si="25"/>
        <v/>
      </c>
      <c r="AB221" s="336" t="str">
        <f t="shared" si="20"/>
        <v/>
      </c>
      <c r="AC221" s="336" t="str">
        <f t="shared" si="21"/>
        <v/>
      </c>
      <c r="AD221" s="336" t="str">
        <f t="shared" si="22"/>
        <v/>
      </c>
      <c r="AE221" s="336" t="str">
        <f t="shared" si="23"/>
        <v/>
      </c>
      <c r="AF221" s="336" t="str">
        <f t="shared" si="24"/>
        <v/>
      </c>
    </row>
    <row r="222" spans="27:32" x14ac:dyDescent="0.2">
      <c r="AA222" s="336" t="str">
        <f t="shared" si="25"/>
        <v/>
      </c>
      <c r="AB222" s="336" t="str">
        <f t="shared" si="20"/>
        <v/>
      </c>
      <c r="AC222" s="336" t="str">
        <f t="shared" si="21"/>
        <v/>
      </c>
      <c r="AD222" s="336" t="str">
        <f t="shared" si="22"/>
        <v/>
      </c>
      <c r="AE222" s="336" t="str">
        <f t="shared" si="23"/>
        <v/>
      </c>
      <c r="AF222" s="336" t="str">
        <f t="shared" si="24"/>
        <v/>
      </c>
    </row>
    <row r="223" spans="27:32" x14ac:dyDescent="0.2">
      <c r="AA223" s="336" t="str">
        <f t="shared" si="25"/>
        <v/>
      </c>
      <c r="AB223" s="336" t="str">
        <f t="shared" si="20"/>
        <v/>
      </c>
      <c r="AC223" s="336" t="str">
        <f t="shared" si="21"/>
        <v/>
      </c>
      <c r="AD223" s="336" t="str">
        <f t="shared" si="22"/>
        <v/>
      </c>
      <c r="AE223" s="336" t="str">
        <f t="shared" si="23"/>
        <v/>
      </c>
      <c r="AF223" s="336" t="str">
        <f t="shared" si="24"/>
        <v/>
      </c>
    </row>
    <row r="224" spans="27:32" x14ac:dyDescent="0.2">
      <c r="AA224" s="336" t="str">
        <f t="shared" si="25"/>
        <v/>
      </c>
      <c r="AB224" s="336" t="str">
        <f t="shared" si="20"/>
        <v/>
      </c>
      <c r="AC224" s="336" t="str">
        <f t="shared" si="21"/>
        <v/>
      </c>
      <c r="AD224" s="336" t="str">
        <f t="shared" si="22"/>
        <v/>
      </c>
      <c r="AE224" s="336" t="str">
        <f t="shared" si="23"/>
        <v/>
      </c>
      <c r="AF224" s="336" t="str">
        <f t="shared" si="24"/>
        <v/>
      </c>
    </row>
    <row r="225" spans="27:32" x14ac:dyDescent="0.2">
      <c r="AA225" s="336" t="str">
        <f t="shared" si="25"/>
        <v/>
      </c>
      <c r="AB225" s="336" t="str">
        <f t="shared" si="20"/>
        <v/>
      </c>
      <c r="AC225" s="336" t="str">
        <f t="shared" si="21"/>
        <v/>
      </c>
      <c r="AD225" s="336" t="str">
        <f t="shared" si="22"/>
        <v/>
      </c>
      <c r="AE225" s="336" t="str">
        <f t="shared" si="23"/>
        <v/>
      </c>
      <c r="AF225" s="336" t="str">
        <f t="shared" si="24"/>
        <v/>
      </c>
    </row>
    <row r="226" spans="27:32" x14ac:dyDescent="0.2">
      <c r="AA226" s="336" t="str">
        <f t="shared" si="25"/>
        <v/>
      </c>
      <c r="AB226" s="336" t="str">
        <f t="shared" si="20"/>
        <v/>
      </c>
      <c r="AC226" s="336" t="str">
        <f t="shared" si="21"/>
        <v/>
      </c>
      <c r="AD226" s="336" t="str">
        <f t="shared" si="22"/>
        <v/>
      </c>
      <c r="AE226" s="336" t="str">
        <f t="shared" si="23"/>
        <v/>
      </c>
      <c r="AF226" s="336" t="str">
        <f t="shared" si="24"/>
        <v/>
      </c>
    </row>
    <row r="227" spans="27:32" x14ac:dyDescent="0.2">
      <c r="AA227" s="336" t="str">
        <f t="shared" si="25"/>
        <v/>
      </c>
      <c r="AB227" s="336" t="str">
        <f t="shared" si="20"/>
        <v/>
      </c>
      <c r="AC227" s="336" t="str">
        <f t="shared" si="21"/>
        <v/>
      </c>
      <c r="AD227" s="336" t="str">
        <f t="shared" si="22"/>
        <v/>
      </c>
      <c r="AE227" s="336" t="str">
        <f t="shared" si="23"/>
        <v/>
      </c>
      <c r="AF227" s="336" t="str">
        <f t="shared" si="24"/>
        <v/>
      </c>
    </row>
    <row r="228" spans="27:32" x14ac:dyDescent="0.2">
      <c r="AA228" s="336" t="str">
        <f t="shared" si="25"/>
        <v/>
      </c>
      <c r="AB228" s="336" t="str">
        <f t="shared" si="20"/>
        <v/>
      </c>
      <c r="AC228" s="336" t="str">
        <f t="shared" si="21"/>
        <v/>
      </c>
      <c r="AD228" s="336" t="str">
        <f t="shared" si="22"/>
        <v/>
      </c>
      <c r="AE228" s="336" t="str">
        <f t="shared" si="23"/>
        <v/>
      </c>
      <c r="AF228" s="336" t="str">
        <f t="shared" si="24"/>
        <v/>
      </c>
    </row>
    <row r="229" spans="27:32" x14ac:dyDescent="0.2">
      <c r="AA229" s="336" t="str">
        <f t="shared" si="25"/>
        <v/>
      </c>
      <c r="AB229" s="336" t="str">
        <f t="shared" si="20"/>
        <v/>
      </c>
      <c r="AC229" s="336" t="str">
        <f t="shared" si="21"/>
        <v/>
      </c>
      <c r="AD229" s="336" t="str">
        <f t="shared" si="22"/>
        <v/>
      </c>
      <c r="AE229" s="336" t="str">
        <f t="shared" si="23"/>
        <v/>
      </c>
      <c r="AF229" s="336" t="str">
        <f t="shared" si="24"/>
        <v/>
      </c>
    </row>
    <row r="230" spans="27:32" x14ac:dyDescent="0.2">
      <c r="AA230" s="336" t="str">
        <f t="shared" si="25"/>
        <v/>
      </c>
      <c r="AB230" s="336" t="str">
        <f t="shared" si="20"/>
        <v/>
      </c>
      <c r="AC230" s="336" t="str">
        <f t="shared" si="21"/>
        <v/>
      </c>
      <c r="AD230" s="336" t="str">
        <f t="shared" si="22"/>
        <v/>
      </c>
      <c r="AE230" s="336" t="str">
        <f t="shared" si="23"/>
        <v/>
      </c>
      <c r="AF230" s="336" t="str">
        <f t="shared" si="24"/>
        <v/>
      </c>
    </row>
    <row r="231" spans="27:32" x14ac:dyDescent="0.2">
      <c r="AA231" s="336" t="str">
        <f t="shared" si="25"/>
        <v/>
      </c>
      <c r="AB231" s="336" t="str">
        <f t="shared" si="20"/>
        <v/>
      </c>
      <c r="AC231" s="336" t="str">
        <f t="shared" si="21"/>
        <v/>
      </c>
      <c r="AD231" s="336" t="str">
        <f t="shared" si="22"/>
        <v/>
      </c>
      <c r="AE231" s="336" t="str">
        <f t="shared" si="23"/>
        <v/>
      </c>
      <c r="AF231" s="336" t="str">
        <f t="shared" si="24"/>
        <v/>
      </c>
    </row>
    <row r="232" spans="27:32" x14ac:dyDescent="0.2">
      <c r="AA232" s="336" t="str">
        <f t="shared" si="25"/>
        <v/>
      </c>
      <c r="AB232" s="336" t="str">
        <f t="shared" si="20"/>
        <v/>
      </c>
      <c r="AC232" s="336" t="str">
        <f t="shared" si="21"/>
        <v/>
      </c>
      <c r="AD232" s="336" t="str">
        <f t="shared" si="22"/>
        <v/>
      </c>
      <c r="AE232" s="336" t="str">
        <f t="shared" si="23"/>
        <v/>
      </c>
      <c r="AF232" s="336" t="str">
        <f t="shared" si="24"/>
        <v/>
      </c>
    </row>
    <row r="233" spans="27:32" x14ac:dyDescent="0.2">
      <c r="AA233" s="336" t="str">
        <f t="shared" si="25"/>
        <v/>
      </c>
      <c r="AB233" s="336" t="str">
        <f t="shared" si="20"/>
        <v/>
      </c>
      <c r="AC233" s="336" t="str">
        <f t="shared" si="21"/>
        <v/>
      </c>
      <c r="AD233" s="336" t="str">
        <f t="shared" si="22"/>
        <v/>
      </c>
      <c r="AE233" s="336" t="str">
        <f t="shared" si="23"/>
        <v/>
      </c>
      <c r="AF233" s="336" t="str">
        <f t="shared" si="24"/>
        <v/>
      </c>
    </row>
    <row r="234" spans="27:32" x14ac:dyDescent="0.2">
      <c r="AA234" s="336" t="str">
        <f t="shared" si="25"/>
        <v/>
      </c>
      <c r="AB234" s="336" t="str">
        <f t="shared" si="20"/>
        <v/>
      </c>
      <c r="AC234" s="336" t="str">
        <f t="shared" si="21"/>
        <v/>
      </c>
      <c r="AD234" s="336" t="str">
        <f t="shared" si="22"/>
        <v/>
      </c>
      <c r="AE234" s="336" t="str">
        <f t="shared" si="23"/>
        <v/>
      </c>
      <c r="AF234" s="336" t="str">
        <f t="shared" si="24"/>
        <v/>
      </c>
    </row>
    <row r="235" spans="27:32" x14ac:dyDescent="0.2">
      <c r="AA235" s="336" t="str">
        <f t="shared" si="25"/>
        <v/>
      </c>
      <c r="AB235" s="336" t="str">
        <f t="shared" si="20"/>
        <v/>
      </c>
      <c r="AC235" s="336" t="str">
        <f t="shared" si="21"/>
        <v/>
      </c>
      <c r="AD235" s="336" t="str">
        <f t="shared" si="22"/>
        <v/>
      </c>
      <c r="AE235" s="336" t="str">
        <f t="shared" si="23"/>
        <v/>
      </c>
      <c r="AF235" s="336" t="str">
        <f t="shared" si="24"/>
        <v/>
      </c>
    </row>
    <row r="236" spans="27:32" x14ac:dyDescent="0.2">
      <c r="AA236" s="336" t="str">
        <f t="shared" si="25"/>
        <v/>
      </c>
      <c r="AB236" s="336" t="str">
        <f t="shared" si="20"/>
        <v/>
      </c>
      <c r="AC236" s="336" t="str">
        <f t="shared" si="21"/>
        <v/>
      </c>
      <c r="AD236" s="336" t="str">
        <f t="shared" si="22"/>
        <v/>
      </c>
      <c r="AE236" s="336" t="str">
        <f t="shared" si="23"/>
        <v/>
      </c>
      <c r="AF236" s="336" t="str">
        <f t="shared" si="24"/>
        <v/>
      </c>
    </row>
    <row r="237" spans="27:32" x14ac:dyDescent="0.2">
      <c r="AA237" s="336" t="str">
        <f t="shared" si="25"/>
        <v/>
      </c>
      <c r="AB237" s="336" t="str">
        <f t="shared" si="20"/>
        <v/>
      </c>
      <c r="AC237" s="336" t="str">
        <f t="shared" si="21"/>
        <v/>
      </c>
      <c r="AD237" s="336" t="str">
        <f t="shared" si="22"/>
        <v/>
      </c>
      <c r="AE237" s="336" t="str">
        <f t="shared" si="23"/>
        <v/>
      </c>
      <c r="AF237" s="336" t="str">
        <f t="shared" si="24"/>
        <v/>
      </c>
    </row>
    <row r="238" spans="27:32" x14ac:dyDescent="0.2">
      <c r="AA238" s="336" t="str">
        <f t="shared" si="25"/>
        <v/>
      </c>
      <c r="AB238" s="336" t="str">
        <f t="shared" si="20"/>
        <v/>
      </c>
      <c r="AC238" s="336" t="str">
        <f t="shared" si="21"/>
        <v/>
      </c>
      <c r="AD238" s="336" t="str">
        <f t="shared" si="22"/>
        <v/>
      </c>
      <c r="AE238" s="336" t="str">
        <f t="shared" si="23"/>
        <v/>
      </c>
      <c r="AF238" s="336" t="str">
        <f t="shared" si="24"/>
        <v/>
      </c>
    </row>
    <row r="239" spans="27:32" x14ac:dyDescent="0.2">
      <c r="AA239" s="336" t="str">
        <f t="shared" si="25"/>
        <v/>
      </c>
      <c r="AB239" s="336" t="str">
        <f t="shared" si="20"/>
        <v/>
      </c>
      <c r="AC239" s="336" t="str">
        <f t="shared" si="21"/>
        <v/>
      </c>
      <c r="AD239" s="336" t="str">
        <f t="shared" si="22"/>
        <v/>
      </c>
      <c r="AE239" s="336" t="str">
        <f t="shared" si="23"/>
        <v/>
      </c>
      <c r="AF239" s="336" t="str">
        <f t="shared" si="24"/>
        <v/>
      </c>
    </row>
    <row r="240" spans="27:32" x14ac:dyDescent="0.2">
      <c r="AA240" s="336" t="str">
        <f t="shared" si="25"/>
        <v/>
      </c>
      <c r="AB240" s="336" t="str">
        <f t="shared" si="20"/>
        <v/>
      </c>
      <c r="AC240" s="336" t="str">
        <f t="shared" si="21"/>
        <v/>
      </c>
      <c r="AD240" s="336" t="str">
        <f t="shared" si="22"/>
        <v/>
      </c>
      <c r="AE240" s="336" t="str">
        <f t="shared" si="23"/>
        <v/>
      </c>
      <c r="AF240" s="336" t="str">
        <f t="shared" si="24"/>
        <v/>
      </c>
    </row>
    <row r="241" spans="27:32" x14ac:dyDescent="0.2">
      <c r="AA241" s="336" t="str">
        <f t="shared" si="25"/>
        <v/>
      </c>
      <c r="AB241" s="336" t="str">
        <f t="shared" si="20"/>
        <v/>
      </c>
      <c r="AC241" s="336" t="str">
        <f t="shared" si="21"/>
        <v/>
      </c>
      <c r="AD241" s="336" t="str">
        <f t="shared" si="22"/>
        <v/>
      </c>
      <c r="AE241" s="336" t="str">
        <f t="shared" si="23"/>
        <v/>
      </c>
      <c r="AF241" s="336" t="str">
        <f t="shared" si="24"/>
        <v/>
      </c>
    </row>
    <row r="242" spans="27:32" x14ac:dyDescent="0.2">
      <c r="AA242" s="336" t="str">
        <f t="shared" si="25"/>
        <v/>
      </c>
      <c r="AB242" s="336" t="str">
        <f t="shared" si="20"/>
        <v/>
      </c>
      <c r="AC242" s="336" t="str">
        <f t="shared" si="21"/>
        <v/>
      </c>
      <c r="AD242" s="336" t="str">
        <f t="shared" si="22"/>
        <v/>
      </c>
      <c r="AE242" s="336" t="str">
        <f t="shared" si="23"/>
        <v/>
      </c>
      <c r="AF242" s="336" t="str">
        <f t="shared" si="24"/>
        <v/>
      </c>
    </row>
    <row r="243" spans="27:32" x14ac:dyDescent="0.2">
      <c r="AA243" s="336" t="str">
        <f t="shared" si="25"/>
        <v/>
      </c>
      <c r="AB243" s="336" t="str">
        <f t="shared" si="20"/>
        <v/>
      </c>
      <c r="AC243" s="336" t="str">
        <f t="shared" si="21"/>
        <v/>
      </c>
      <c r="AD243" s="336" t="str">
        <f t="shared" si="22"/>
        <v/>
      </c>
      <c r="AE243" s="336" t="str">
        <f t="shared" si="23"/>
        <v/>
      </c>
      <c r="AF243" s="336" t="str">
        <f t="shared" si="24"/>
        <v/>
      </c>
    </row>
    <row r="244" spans="27:32" x14ac:dyDescent="0.2">
      <c r="AA244" s="336" t="str">
        <f t="shared" si="25"/>
        <v/>
      </c>
      <c r="AB244" s="336" t="str">
        <f t="shared" si="20"/>
        <v/>
      </c>
      <c r="AC244" s="336" t="str">
        <f t="shared" si="21"/>
        <v/>
      </c>
      <c r="AD244" s="336" t="str">
        <f t="shared" si="22"/>
        <v/>
      </c>
      <c r="AE244" s="336" t="str">
        <f t="shared" si="23"/>
        <v/>
      </c>
      <c r="AF244" s="336" t="str">
        <f t="shared" si="24"/>
        <v/>
      </c>
    </row>
    <row r="245" spans="27:32" x14ac:dyDescent="0.2">
      <c r="AA245" s="336" t="str">
        <f t="shared" si="25"/>
        <v/>
      </c>
      <c r="AB245" s="336" t="str">
        <f t="shared" si="20"/>
        <v/>
      </c>
      <c r="AC245" s="336" t="str">
        <f t="shared" si="21"/>
        <v/>
      </c>
      <c r="AD245" s="336" t="str">
        <f t="shared" si="22"/>
        <v/>
      </c>
      <c r="AE245" s="336" t="str">
        <f t="shared" si="23"/>
        <v/>
      </c>
      <c r="AF245" s="336" t="str">
        <f t="shared" si="24"/>
        <v/>
      </c>
    </row>
    <row r="246" spans="27:32" x14ac:dyDescent="0.2">
      <c r="AA246" s="336" t="str">
        <f t="shared" si="25"/>
        <v/>
      </c>
      <c r="AB246" s="336" t="str">
        <f t="shared" si="20"/>
        <v/>
      </c>
      <c r="AC246" s="336" t="str">
        <f t="shared" si="21"/>
        <v/>
      </c>
      <c r="AD246" s="336" t="str">
        <f t="shared" si="22"/>
        <v/>
      </c>
      <c r="AE246" s="336" t="str">
        <f t="shared" si="23"/>
        <v/>
      </c>
      <c r="AF246" s="336" t="str">
        <f t="shared" si="24"/>
        <v/>
      </c>
    </row>
    <row r="247" spans="27:32" x14ac:dyDescent="0.2">
      <c r="AA247" s="336" t="str">
        <f t="shared" si="25"/>
        <v/>
      </c>
      <c r="AB247" s="336" t="str">
        <f t="shared" si="20"/>
        <v/>
      </c>
      <c r="AC247" s="336" t="str">
        <f t="shared" si="21"/>
        <v/>
      </c>
      <c r="AD247" s="336" t="str">
        <f t="shared" si="22"/>
        <v/>
      </c>
      <c r="AE247" s="336" t="str">
        <f t="shared" si="23"/>
        <v/>
      </c>
      <c r="AF247" s="336" t="str">
        <f t="shared" si="24"/>
        <v/>
      </c>
    </row>
    <row r="248" spans="27:32" x14ac:dyDescent="0.2">
      <c r="AA248" s="336" t="str">
        <f t="shared" si="25"/>
        <v/>
      </c>
      <c r="AB248" s="336" t="str">
        <f t="shared" si="20"/>
        <v/>
      </c>
      <c r="AC248" s="336" t="str">
        <f t="shared" si="21"/>
        <v/>
      </c>
      <c r="AD248" s="336" t="str">
        <f t="shared" si="22"/>
        <v/>
      </c>
      <c r="AE248" s="336" t="str">
        <f t="shared" si="23"/>
        <v/>
      </c>
      <c r="AF248" s="336" t="str">
        <f t="shared" si="24"/>
        <v/>
      </c>
    </row>
    <row r="249" spans="27:32" x14ac:dyDescent="0.2">
      <c r="AA249" s="336" t="str">
        <f t="shared" si="25"/>
        <v/>
      </c>
      <c r="AB249" s="336" t="str">
        <f t="shared" si="20"/>
        <v/>
      </c>
      <c r="AC249" s="336" t="str">
        <f t="shared" si="21"/>
        <v/>
      </c>
      <c r="AD249" s="336" t="str">
        <f t="shared" si="22"/>
        <v/>
      </c>
      <c r="AE249" s="336" t="str">
        <f t="shared" si="23"/>
        <v/>
      </c>
      <c r="AF249" s="336" t="str">
        <f t="shared" si="24"/>
        <v/>
      </c>
    </row>
    <row r="250" spans="27:32" x14ac:dyDescent="0.2">
      <c r="AA250" s="336" t="str">
        <f t="shared" si="25"/>
        <v/>
      </c>
      <c r="AB250" s="336" t="str">
        <f t="shared" si="20"/>
        <v/>
      </c>
      <c r="AC250" s="336" t="str">
        <f t="shared" si="21"/>
        <v/>
      </c>
      <c r="AD250" s="336" t="str">
        <f t="shared" si="22"/>
        <v/>
      </c>
      <c r="AE250" s="336" t="str">
        <f t="shared" si="23"/>
        <v/>
      </c>
      <c r="AF250" s="336" t="str">
        <f t="shared" si="24"/>
        <v/>
      </c>
    </row>
    <row r="251" spans="27:32" x14ac:dyDescent="0.2">
      <c r="AA251" s="336" t="str">
        <f t="shared" si="25"/>
        <v/>
      </c>
      <c r="AB251" s="336" t="str">
        <f t="shared" si="20"/>
        <v/>
      </c>
      <c r="AC251" s="336" t="str">
        <f t="shared" si="21"/>
        <v/>
      </c>
      <c r="AD251" s="336" t="str">
        <f t="shared" si="22"/>
        <v/>
      </c>
      <c r="AE251" s="336" t="str">
        <f t="shared" si="23"/>
        <v/>
      </c>
      <c r="AF251" s="336" t="str">
        <f t="shared" si="24"/>
        <v/>
      </c>
    </row>
    <row r="252" spans="27:32" x14ac:dyDescent="0.2">
      <c r="AA252" s="336" t="str">
        <f t="shared" si="25"/>
        <v/>
      </c>
      <c r="AB252" s="336" t="str">
        <f t="shared" si="20"/>
        <v/>
      </c>
      <c r="AC252" s="336" t="str">
        <f t="shared" si="21"/>
        <v/>
      </c>
      <c r="AD252" s="336" t="str">
        <f t="shared" si="22"/>
        <v/>
      </c>
      <c r="AE252" s="336" t="str">
        <f t="shared" si="23"/>
        <v/>
      </c>
      <c r="AF252" s="336" t="str">
        <f t="shared" si="24"/>
        <v/>
      </c>
    </row>
    <row r="253" spans="27:32" x14ac:dyDescent="0.2">
      <c r="AA253" s="336" t="str">
        <f t="shared" si="25"/>
        <v/>
      </c>
      <c r="AB253" s="336" t="str">
        <f t="shared" si="20"/>
        <v/>
      </c>
      <c r="AC253" s="336" t="str">
        <f t="shared" si="21"/>
        <v/>
      </c>
      <c r="AD253" s="336" t="str">
        <f t="shared" si="22"/>
        <v/>
      </c>
      <c r="AE253" s="336" t="str">
        <f t="shared" si="23"/>
        <v/>
      </c>
      <c r="AF253" s="336" t="str">
        <f t="shared" si="24"/>
        <v/>
      </c>
    </row>
    <row r="254" spans="27:32" x14ac:dyDescent="0.2">
      <c r="AA254" s="336" t="str">
        <f t="shared" si="25"/>
        <v/>
      </c>
      <c r="AB254" s="336" t="str">
        <f t="shared" si="20"/>
        <v/>
      </c>
      <c r="AC254" s="336" t="str">
        <f t="shared" si="21"/>
        <v/>
      </c>
      <c r="AD254" s="336" t="str">
        <f t="shared" si="22"/>
        <v/>
      </c>
      <c r="AE254" s="336" t="str">
        <f t="shared" si="23"/>
        <v/>
      </c>
      <c r="AF254" s="336" t="str">
        <f t="shared" si="24"/>
        <v/>
      </c>
    </row>
    <row r="255" spans="27:32" x14ac:dyDescent="0.2">
      <c r="AA255" s="336" t="str">
        <f t="shared" si="25"/>
        <v/>
      </c>
      <c r="AB255" s="336" t="str">
        <f t="shared" si="20"/>
        <v/>
      </c>
      <c r="AC255" s="336" t="str">
        <f t="shared" si="21"/>
        <v/>
      </c>
      <c r="AD255" s="336" t="str">
        <f t="shared" si="22"/>
        <v/>
      </c>
      <c r="AE255" s="336" t="str">
        <f t="shared" si="23"/>
        <v/>
      </c>
      <c r="AF255" s="336" t="str">
        <f t="shared" si="24"/>
        <v/>
      </c>
    </row>
    <row r="256" spans="27:32" x14ac:dyDescent="0.2">
      <c r="AA256" s="336" t="str">
        <f t="shared" si="25"/>
        <v/>
      </c>
      <c r="AB256" s="336" t="str">
        <f t="shared" si="20"/>
        <v/>
      </c>
      <c r="AC256" s="336" t="str">
        <f t="shared" si="21"/>
        <v/>
      </c>
      <c r="AD256" s="336" t="str">
        <f t="shared" si="22"/>
        <v/>
      </c>
      <c r="AE256" s="336" t="str">
        <f t="shared" si="23"/>
        <v/>
      </c>
      <c r="AF256" s="336" t="str">
        <f t="shared" si="24"/>
        <v/>
      </c>
    </row>
    <row r="257" spans="27:32" x14ac:dyDescent="0.2">
      <c r="AA257" s="336" t="str">
        <f t="shared" si="25"/>
        <v/>
      </c>
      <c r="AB257" s="336" t="str">
        <f t="shared" si="20"/>
        <v/>
      </c>
      <c r="AC257" s="336" t="str">
        <f t="shared" si="21"/>
        <v/>
      </c>
      <c r="AD257" s="336" t="str">
        <f t="shared" si="22"/>
        <v/>
      </c>
      <c r="AE257" s="336" t="str">
        <f t="shared" si="23"/>
        <v/>
      </c>
      <c r="AF257" s="336" t="str">
        <f t="shared" si="24"/>
        <v/>
      </c>
    </row>
    <row r="258" spans="27:32" x14ac:dyDescent="0.2">
      <c r="AA258" s="336" t="str">
        <f t="shared" si="25"/>
        <v/>
      </c>
      <c r="AB258" s="336" t="str">
        <f t="shared" si="20"/>
        <v/>
      </c>
      <c r="AC258" s="336" t="str">
        <f t="shared" si="21"/>
        <v/>
      </c>
      <c r="AD258" s="336" t="str">
        <f t="shared" si="22"/>
        <v/>
      </c>
      <c r="AE258" s="336" t="str">
        <f t="shared" si="23"/>
        <v/>
      </c>
      <c r="AF258" s="336" t="str">
        <f t="shared" si="24"/>
        <v/>
      </c>
    </row>
    <row r="259" spans="27:32" x14ac:dyDescent="0.2">
      <c r="AA259" s="336" t="str">
        <f t="shared" si="25"/>
        <v/>
      </c>
      <c r="AB259" s="336" t="str">
        <f t="shared" si="20"/>
        <v/>
      </c>
      <c r="AC259" s="336" t="str">
        <f t="shared" si="21"/>
        <v/>
      </c>
      <c r="AD259" s="336" t="str">
        <f t="shared" si="22"/>
        <v/>
      </c>
      <c r="AE259" s="336" t="str">
        <f t="shared" si="23"/>
        <v/>
      </c>
      <c r="AF259" s="336" t="str">
        <f t="shared" si="24"/>
        <v/>
      </c>
    </row>
    <row r="260" spans="27:32" x14ac:dyDescent="0.2">
      <c r="AA260" s="336" t="str">
        <f t="shared" si="25"/>
        <v/>
      </c>
      <c r="AB260" s="336" t="str">
        <f t="shared" si="20"/>
        <v/>
      </c>
      <c r="AC260" s="336" t="str">
        <f t="shared" si="21"/>
        <v/>
      </c>
      <c r="AD260" s="336" t="str">
        <f t="shared" si="22"/>
        <v/>
      </c>
      <c r="AE260" s="336" t="str">
        <f t="shared" si="23"/>
        <v/>
      </c>
      <c r="AF260" s="336" t="str">
        <f t="shared" si="24"/>
        <v/>
      </c>
    </row>
    <row r="261" spans="27:32" x14ac:dyDescent="0.2">
      <c r="AA261" s="336" t="str">
        <f t="shared" si="25"/>
        <v/>
      </c>
      <c r="AB261" s="336" t="str">
        <f t="shared" si="20"/>
        <v/>
      </c>
      <c r="AC261" s="336" t="str">
        <f t="shared" si="21"/>
        <v/>
      </c>
      <c r="AD261" s="336" t="str">
        <f t="shared" si="22"/>
        <v/>
      </c>
      <c r="AE261" s="336" t="str">
        <f t="shared" si="23"/>
        <v/>
      </c>
      <c r="AF261" s="336" t="str">
        <f t="shared" si="24"/>
        <v/>
      </c>
    </row>
    <row r="262" spans="27:32" x14ac:dyDescent="0.2">
      <c r="AA262" s="336" t="str">
        <f t="shared" si="25"/>
        <v/>
      </c>
      <c r="AB262" s="336" t="str">
        <f t="shared" si="20"/>
        <v/>
      </c>
      <c r="AC262" s="336" t="str">
        <f t="shared" si="21"/>
        <v/>
      </c>
      <c r="AD262" s="336" t="str">
        <f t="shared" si="22"/>
        <v/>
      </c>
      <c r="AE262" s="336" t="str">
        <f t="shared" si="23"/>
        <v/>
      </c>
      <c r="AF262" s="336" t="str">
        <f t="shared" si="24"/>
        <v/>
      </c>
    </row>
    <row r="263" spans="27:32" x14ac:dyDescent="0.2">
      <c r="AA263" s="336" t="str">
        <f t="shared" si="25"/>
        <v/>
      </c>
      <c r="AB263" s="336" t="str">
        <f t="shared" ref="AB263:AB299" si="26">IF(NOT(ISBLANK(F263)),L263,"")</f>
        <v/>
      </c>
      <c r="AC263" s="336" t="str">
        <f t="shared" ref="AC263:AC299" si="27">IF(NOT(ISBLANK(G263)),L263,"")</f>
        <v/>
      </c>
      <c r="AD263" s="336" t="str">
        <f t="shared" ref="AD263:AD299" si="28">IF(NOT(ISBLANK(H263)),L263,"")</f>
        <v/>
      </c>
      <c r="AE263" s="336" t="str">
        <f t="shared" ref="AE263:AE299" si="29">IF(NOT(ISBLANK(I263)),L263,"")</f>
        <v/>
      </c>
      <c r="AF263" s="336" t="str">
        <f t="shared" ref="AF263:AF299" si="30">IF(NOT(ISBLANK(J263)),L263,"")</f>
        <v/>
      </c>
    </row>
    <row r="264" spans="27:32" x14ac:dyDescent="0.2">
      <c r="AA264" s="336" t="str">
        <f t="shared" ref="AA264:AA299" si="31">IF(NOT(ISBLANK(E264)),L264,"")</f>
        <v/>
      </c>
      <c r="AB264" s="336" t="str">
        <f t="shared" si="26"/>
        <v/>
      </c>
      <c r="AC264" s="336" t="str">
        <f t="shared" si="27"/>
        <v/>
      </c>
      <c r="AD264" s="336" t="str">
        <f t="shared" si="28"/>
        <v/>
      </c>
      <c r="AE264" s="336" t="str">
        <f t="shared" si="29"/>
        <v/>
      </c>
      <c r="AF264" s="336" t="str">
        <f t="shared" si="30"/>
        <v/>
      </c>
    </row>
    <row r="265" spans="27:32" x14ac:dyDescent="0.2">
      <c r="AA265" s="336" t="str">
        <f t="shared" si="31"/>
        <v/>
      </c>
      <c r="AB265" s="336" t="str">
        <f t="shared" si="26"/>
        <v/>
      </c>
      <c r="AC265" s="336" t="str">
        <f t="shared" si="27"/>
        <v/>
      </c>
      <c r="AD265" s="336" t="str">
        <f t="shared" si="28"/>
        <v/>
      </c>
      <c r="AE265" s="336" t="str">
        <f t="shared" si="29"/>
        <v/>
      </c>
      <c r="AF265" s="336" t="str">
        <f t="shared" si="30"/>
        <v/>
      </c>
    </row>
    <row r="266" spans="27:32" x14ac:dyDescent="0.2">
      <c r="AA266" s="336" t="str">
        <f t="shared" si="31"/>
        <v/>
      </c>
      <c r="AB266" s="336" t="str">
        <f t="shared" si="26"/>
        <v/>
      </c>
      <c r="AC266" s="336" t="str">
        <f t="shared" si="27"/>
        <v/>
      </c>
      <c r="AD266" s="336" t="str">
        <f t="shared" si="28"/>
        <v/>
      </c>
      <c r="AE266" s="336" t="str">
        <f t="shared" si="29"/>
        <v/>
      </c>
      <c r="AF266" s="336" t="str">
        <f t="shared" si="30"/>
        <v/>
      </c>
    </row>
    <row r="267" spans="27:32" x14ac:dyDescent="0.2">
      <c r="AA267" s="336" t="str">
        <f t="shared" si="31"/>
        <v/>
      </c>
      <c r="AB267" s="336" t="str">
        <f t="shared" si="26"/>
        <v/>
      </c>
      <c r="AC267" s="336" t="str">
        <f t="shared" si="27"/>
        <v/>
      </c>
      <c r="AD267" s="336" t="str">
        <f t="shared" si="28"/>
        <v/>
      </c>
      <c r="AE267" s="336" t="str">
        <f t="shared" si="29"/>
        <v/>
      </c>
      <c r="AF267" s="336" t="str">
        <f t="shared" si="30"/>
        <v/>
      </c>
    </row>
    <row r="268" spans="27:32" x14ac:dyDescent="0.2">
      <c r="AA268" s="336" t="str">
        <f t="shared" si="31"/>
        <v/>
      </c>
      <c r="AB268" s="336" t="str">
        <f t="shared" si="26"/>
        <v/>
      </c>
      <c r="AC268" s="336" t="str">
        <f t="shared" si="27"/>
        <v/>
      </c>
      <c r="AD268" s="336" t="str">
        <f t="shared" si="28"/>
        <v/>
      </c>
      <c r="AE268" s="336" t="str">
        <f t="shared" si="29"/>
        <v/>
      </c>
      <c r="AF268" s="336" t="str">
        <f t="shared" si="30"/>
        <v/>
      </c>
    </row>
    <row r="269" spans="27:32" x14ac:dyDescent="0.2">
      <c r="AA269" s="336" t="str">
        <f t="shared" si="31"/>
        <v/>
      </c>
      <c r="AB269" s="336" t="str">
        <f t="shared" si="26"/>
        <v/>
      </c>
      <c r="AC269" s="336" t="str">
        <f t="shared" si="27"/>
        <v/>
      </c>
      <c r="AD269" s="336" t="str">
        <f t="shared" si="28"/>
        <v/>
      </c>
      <c r="AE269" s="336" t="str">
        <f t="shared" si="29"/>
        <v/>
      </c>
      <c r="AF269" s="336" t="str">
        <f t="shared" si="30"/>
        <v/>
      </c>
    </row>
    <row r="270" spans="27:32" x14ac:dyDescent="0.2">
      <c r="AA270" s="336" t="str">
        <f t="shared" si="31"/>
        <v/>
      </c>
      <c r="AB270" s="336" t="str">
        <f t="shared" si="26"/>
        <v/>
      </c>
      <c r="AC270" s="336" t="str">
        <f t="shared" si="27"/>
        <v/>
      </c>
      <c r="AD270" s="336" t="str">
        <f t="shared" si="28"/>
        <v/>
      </c>
      <c r="AE270" s="336" t="str">
        <f t="shared" si="29"/>
        <v/>
      </c>
      <c r="AF270" s="336" t="str">
        <f t="shared" si="30"/>
        <v/>
      </c>
    </row>
    <row r="271" spans="27:32" x14ac:dyDescent="0.2">
      <c r="AA271" s="336" t="str">
        <f t="shared" si="31"/>
        <v/>
      </c>
      <c r="AB271" s="336" t="str">
        <f t="shared" si="26"/>
        <v/>
      </c>
      <c r="AC271" s="336" t="str">
        <f t="shared" si="27"/>
        <v/>
      </c>
      <c r="AD271" s="336" t="str">
        <f t="shared" si="28"/>
        <v/>
      </c>
      <c r="AE271" s="336" t="str">
        <f t="shared" si="29"/>
        <v/>
      </c>
      <c r="AF271" s="336" t="str">
        <f t="shared" si="30"/>
        <v/>
      </c>
    </row>
    <row r="272" spans="27:32" x14ac:dyDescent="0.2">
      <c r="AA272" s="336" t="str">
        <f t="shared" si="31"/>
        <v/>
      </c>
      <c r="AB272" s="336" t="str">
        <f t="shared" si="26"/>
        <v/>
      </c>
      <c r="AC272" s="336" t="str">
        <f t="shared" si="27"/>
        <v/>
      </c>
      <c r="AD272" s="336" t="str">
        <f t="shared" si="28"/>
        <v/>
      </c>
      <c r="AE272" s="336" t="str">
        <f t="shared" si="29"/>
        <v/>
      </c>
      <c r="AF272" s="336" t="str">
        <f t="shared" si="30"/>
        <v/>
      </c>
    </row>
    <row r="273" spans="27:32" x14ac:dyDescent="0.2">
      <c r="AA273" s="336" t="str">
        <f t="shared" si="31"/>
        <v/>
      </c>
      <c r="AB273" s="336" t="str">
        <f t="shared" si="26"/>
        <v/>
      </c>
      <c r="AC273" s="336" t="str">
        <f t="shared" si="27"/>
        <v/>
      </c>
      <c r="AD273" s="336" t="str">
        <f t="shared" si="28"/>
        <v/>
      </c>
      <c r="AE273" s="336" t="str">
        <f t="shared" si="29"/>
        <v/>
      </c>
      <c r="AF273" s="336" t="str">
        <f t="shared" si="30"/>
        <v/>
      </c>
    </row>
    <row r="274" spans="27:32" x14ac:dyDescent="0.2">
      <c r="AA274" s="336" t="str">
        <f t="shared" si="31"/>
        <v/>
      </c>
      <c r="AB274" s="336" t="str">
        <f t="shared" si="26"/>
        <v/>
      </c>
      <c r="AC274" s="336" t="str">
        <f t="shared" si="27"/>
        <v/>
      </c>
      <c r="AD274" s="336" t="str">
        <f t="shared" si="28"/>
        <v/>
      </c>
      <c r="AE274" s="336" t="str">
        <f t="shared" si="29"/>
        <v/>
      </c>
      <c r="AF274" s="336" t="str">
        <f t="shared" si="30"/>
        <v/>
      </c>
    </row>
    <row r="275" spans="27:32" x14ac:dyDescent="0.2">
      <c r="AA275" s="336" t="str">
        <f t="shared" si="31"/>
        <v/>
      </c>
      <c r="AB275" s="336" t="str">
        <f t="shared" si="26"/>
        <v/>
      </c>
      <c r="AC275" s="336" t="str">
        <f t="shared" si="27"/>
        <v/>
      </c>
      <c r="AD275" s="336" t="str">
        <f t="shared" si="28"/>
        <v/>
      </c>
      <c r="AE275" s="336" t="str">
        <f t="shared" si="29"/>
        <v/>
      </c>
      <c r="AF275" s="336" t="str">
        <f t="shared" si="30"/>
        <v/>
      </c>
    </row>
    <row r="276" spans="27:32" x14ac:dyDescent="0.2">
      <c r="AA276" s="336" t="str">
        <f t="shared" si="31"/>
        <v/>
      </c>
      <c r="AB276" s="336" t="str">
        <f t="shared" si="26"/>
        <v/>
      </c>
      <c r="AC276" s="336" t="str">
        <f t="shared" si="27"/>
        <v/>
      </c>
      <c r="AD276" s="336" t="str">
        <f t="shared" si="28"/>
        <v/>
      </c>
      <c r="AE276" s="336" t="str">
        <f t="shared" si="29"/>
        <v/>
      </c>
      <c r="AF276" s="336" t="str">
        <f t="shared" si="30"/>
        <v/>
      </c>
    </row>
    <row r="277" spans="27:32" x14ac:dyDescent="0.2">
      <c r="AA277" s="336" t="str">
        <f t="shared" si="31"/>
        <v/>
      </c>
      <c r="AB277" s="336" t="str">
        <f t="shared" si="26"/>
        <v/>
      </c>
      <c r="AC277" s="336" t="str">
        <f t="shared" si="27"/>
        <v/>
      </c>
      <c r="AD277" s="336" t="str">
        <f t="shared" si="28"/>
        <v/>
      </c>
      <c r="AE277" s="336" t="str">
        <f t="shared" si="29"/>
        <v/>
      </c>
      <c r="AF277" s="336" t="str">
        <f t="shared" si="30"/>
        <v/>
      </c>
    </row>
    <row r="278" spans="27:32" x14ac:dyDescent="0.2">
      <c r="AA278" s="336" t="str">
        <f t="shared" si="31"/>
        <v/>
      </c>
      <c r="AB278" s="336" t="str">
        <f t="shared" si="26"/>
        <v/>
      </c>
      <c r="AC278" s="336" t="str">
        <f t="shared" si="27"/>
        <v/>
      </c>
      <c r="AD278" s="336" t="str">
        <f t="shared" si="28"/>
        <v/>
      </c>
      <c r="AE278" s="336" t="str">
        <f t="shared" si="29"/>
        <v/>
      </c>
      <c r="AF278" s="336" t="str">
        <f t="shared" si="30"/>
        <v/>
      </c>
    </row>
    <row r="279" spans="27:32" x14ac:dyDescent="0.2">
      <c r="AA279" s="336" t="str">
        <f t="shared" si="31"/>
        <v/>
      </c>
      <c r="AB279" s="336" t="str">
        <f t="shared" si="26"/>
        <v/>
      </c>
      <c r="AC279" s="336" t="str">
        <f t="shared" si="27"/>
        <v/>
      </c>
      <c r="AD279" s="336" t="str">
        <f t="shared" si="28"/>
        <v/>
      </c>
      <c r="AE279" s="336" t="str">
        <f t="shared" si="29"/>
        <v/>
      </c>
      <c r="AF279" s="336" t="str">
        <f t="shared" si="30"/>
        <v/>
      </c>
    </row>
    <row r="280" spans="27:32" x14ac:dyDescent="0.2">
      <c r="AA280" s="336" t="str">
        <f t="shared" si="31"/>
        <v/>
      </c>
      <c r="AB280" s="336" t="str">
        <f t="shared" si="26"/>
        <v/>
      </c>
      <c r="AC280" s="336" t="str">
        <f t="shared" si="27"/>
        <v/>
      </c>
      <c r="AD280" s="336" t="str">
        <f t="shared" si="28"/>
        <v/>
      </c>
      <c r="AE280" s="336" t="str">
        <f t="shared" si="29"/>
        <v/>
      </c>
      <c r="AF280" s="336" t="str">
        <f t="shared" si="30"/>
        <v/>
      </c>
    </row>
    <row r="281" spans="27:32" x14ac:dyDescent="0.2">
      <c r="AA281" s="336" t="str">
        <f t="shared" si="31"/>
        <v/>
      </c>
      <c r="AB281" s="336" t="str">
        <f t="shared" si="26"/>
        <v/>
      </c>
      <c r="AC281" s="336" t="str">
        <f t="shared" si="27"/>
        <v/>
      </c>
      <c r="AD281" s="336" t="str">
        <f t="shared" si="28"/>
        <v/>
      </c>
      <c r="AE281" s="336" t="str">
        <f t="shared" si="29"/>
        <v/>
      </c>
      <c r="AF281" s="336" t="str">
        <f t="shared" si="30"/>
        <v/>
      </c>
    </row>
    <row r="282" spans="27:32" x14ac:dyDescent="0.2">
      <c r="AA282" s="336" t="str">
        <f t="shared" si="31"/>
        <v/>
      </c>
      <c r="AB282" s="336" t="str">
        <f t="shared" si="26"/>
        <v/>
      </c>
      <c r="AC282" s="336" t="str">
        <f t="shared" si="27"/>
        <v/>
      </c>
      <c r="AD282" s="336" t="str">
        <f t="shared" si="28"/>
        <v/>
      </c>
      <c r="AE282" s="336" t="str">
        <f t="shared" si="29"/>
        <v/>
      </c>
      <c r="AF282" s="336" t="str">
        <f t="shared" si="30"/>
        <v/>
      </c>
    </row>
    <row r="283" spans="27:32" x14ac:dyDescent="0.2">
      <c r="AA283" s="336" t="str">
        <f t="shared" si="31"/>
        <v/>
      </c>
      <c r="AB283" s="336" t="str">
        <f t="shared" si="26"/>
        <v/>
      </c>
      <c r="AC283" s="336" t="str">
        <f t="shared" si="27"/>
        <v/>
      </c>
      <c r="AD283" s="336" t="str">
        <f t="shared" si="28"/>
        <v/>
      </c>
      <c r="AE283" s="336" t="str">
        <f t="shared" si="29"/>
        <v/>
      </c>
      <c r="AF283" s="336" t="str">
        <f t="shared" si="30"/>
        <v/>
      </c>
    </row>
    <row r="284" spans="27:32" x14ac:dyDescent="0.2">
      <c r="AA284" s="336" t="str">
        <f t="shared" si="31"/>
        <v/>
      </c>
      <c r="AB284" s="336" t="str">
        <f t="shared" si="26"/>
        <v/>
      </c>
      <c r="AC284" s="336" t="str">
        <f t="shared" si="27"/>
        <v/>
      </c>
      <c r="AD284" s="336" t="str">
        <f t="shared" si="28"/>
        <v/>
      </c>
      <c r="AE284" s="336" t="str">
        <f t="shared" si="29"/>
        <v/>
      </c>
      <c r="AF284" s="336" t="str">
        <f t="shared" si="30"/>
        <v/>
      </c>
    </row>
    <row r="285" spans="27:32" x14ac:dyDescent="0.2">
      <c r="AA285" s="336" t="str">
        <f t="shared" si="31"/>
        <v/>
      </c>
      <c r="AB285" s="336" t="str">
        <f t="shared" si="26"/>
        <v/>
      </c>
      <c r="AC285" s="336" t="str">
        <f t="shared" si="27"/>
        <v/>
      </c>
      <c r="AD285" s="336" t="str">
        <f t="shared" si="28"/>
        <v/>
      </c>
      <c r="AE285" s="336" t="str">
        <f t="shared" si="29"/>
        <v/>
      </c>
      <c r="AF285" s="336" t="str">
        <f t="shared" si="30"/>
        <v/>
      </c>
    </row>
    <row r="286" spans="27:32" x14ac:dyDescent="0.2">
      <c r="AA286" s="336" t="str">
        <f t="shared" si="31"/>
        <v/>
      </c>
      <c r="AB286" s="336" t="str">
        <f t="shared" si="26"/>
        <v/>
      </c>
      <c r="AC286" s="336" t="str">
        <f t="shared" si="27"/>
        <v/>
      </c>
      <c r="AD286" s="336" t="str">
        <f t="shared" si="28"/>
        <v/>
      </c>
      <c r="AE286" s="336" t="str">
        <f t="shared" si="29"/>
        <v/>
      </c>
      <c r="AF286" s="336" t="str">
        <f t="shared" si="30"/>
        <v/>
      </c>
    </row>
    <row r="287" spans="27:32" x14ac:dyDescent="0.2">
      <c r="AA287" s="336" t="str">
        <f t="shared" si="31"/>
        <v/>
      </c>
      <c r="AB287" s="336" t="str">
        <f t="shared" si="26"/>
        <v/>
      </c>
      <c r="AC287" s="336" t="str">
        <f t="shared" si="27"/>
        <v/>
      </c>
      <c r="AD287" s="336" t="str">
        <f t="shared" si="28"/>
        <v/>
      </c>
      <c r="AE287" s="336" t="str">
        <f t="shared" si="29"/>
        <v/>
      </c>
      <c r="AF287" s="336" t="str">
        <f t="shared" si="30"/>
        <v/>
      </c>
    </row>
    <row r="288" spans="27:32" x14ac:dyDescent="0.2">
      <c r="AA288" s="336" t="str">
        <f t="shared" si="31"/>
        <v/>
      </c>
      <c r="AB288" s="336" t="str">
        <f t="shared" si="26"/>
        <v/>
      </c>
      <c r="AC288" s="336" t="str">
        <f t="shared" si="27"/>
        <v/>
      </c>
      <c r="AD288" s="336" t="str">
        <f t="shared" si="28"/>
        <v/>
      </c>
      <c r="AE288" s="336" t="str">
        <f t="shared" si="29"/>
        <v/>
      </c>
      <c r="AF288" s="336" t="str">
        <f t="shared" si="30"/>
        <v/>
      </c>
    </row>
    <row r="289" spans="5:32" x14ac:dyDescent="0.2">
      <c r="AA289" s="336" t="str">
        <f t="shared" si="31"/>
        <v/>
      </c>
      <c r="AB289" s="336" t="str">
        <f t="shared" si="26"/>
        <v/>
      </c>
      <c r="AC289" s="336" t="str">
        <f t="shared" si="27"/>
        <v/>
      </c>
      <c r="AD289" s="336" t="str">
        <f t="shared" si="28"/>
        <v/>
      </c>
      <c r="AE289" s="336" t="str">
        <f t="shared" si="29"/>
        <v/>
      </c>
      <c r="AF289" s="336" t="str">
        <f t="shared" si="30"/>
        <v/>
      </c>
    </row>
    <row r="290" spans="5:32" x14ac:dyDescent="0.2">
      <c r="AA290" s="336" t="str">
        <f t="shared" si="31"/>
        <v/>
      </c>
      <c r="AB290" s="336" t="str">
        <f t="shared" si="26"/>
        <v/>
      </c>
      <c r="AC290" s="336" t="str">
        <f t="shared" si="27"/>
        <v/>
      </c>
      <c r="AD290" s="336" t="str">
        <f t="shared" si="28"/>
        <v/>
      </c>
      <c r="AE290" s="336" t="str">
        <f t="shared" si="29"/>
        <v/>
      </c>
      <c r="AF290" s="336" t="str">
        <f t="shared" si="30"/>
        <v/>
      </c>
    </row>
    <row r="291" spans="5:32" x14ac:dyDescent="0.2">
      <c r="AA291" s="336" t="str">
        <f t="shared" si="31"/>
        <v/>
      </c>
      <c r="AB291" s="336" t="str">
        <f t="shared" si="26"/>
        <v/>
      </c>
      <c r="AC291" s="336" t="str">
        <f t="shared" si="27"/>
        <v/>
      </c>
      <c r="AD291" s="336" t="str">
        <f t="shared" si="28"/>
        <v/>
      </c>
      <c r="AE291" s="336" t="str">
        <f t="shared" si="29"/>
        <v/>
      </c>
      <c r="AF291" s="336" t="str">
        <f t="shared" si="30"/>
        <v/>
      </c>
    </row>
    <row r="292" spans="5:32" x14ac:dyDescent="0.2">
      <c r="AA292" s="336" t="str">
        <f t="shared" si="31"/>
        <v/>
      </c>
      <c r="AB292" s="336" t="str">
        <f t="shared" si="26"/>
        <v/>
      </c>
      <c r="AC292" s="336" t="str">
        <f t="shared" si="27"/>
        <v/>
      </c>
      <c r="AD292" s="336" t="str">
        <f t="shared" si="28"/>
        <v/>
      </c>
      <c r="AE292" s="336" t="str">
        <f t="shared" si="29"/>
        <v/>
      </c>
      <c r="AF292" s="336" t="str">
        <f t="shared" si="30"/>
        <v/>
      </c>
    </row>
    <row r="293" spans="5:32" x14ac:dyDescent="0.2">
      <c r="AA293" s="336" t="str">
        <f t="shared" si="31"/>
        <v/>
      </c>
      <c r="AB293" s="336" t="str">
        <f t="shared" si="26"/>
        <v/>
      </c>
      <c r="AC293" s="336" t="str">
        <f t="shared" si="27"/>
        <v/>
      </c>
      <c r="AD293" s="336" t="str">
        <f t="shared" si="28"/>
        <v/>
      </c>
      <c r="AE293" s="336" t="str">
        <f t="shared" si="29"/>
        <v/>
      </c>
      <c r="AF293" s="336" t="str">
        <f t="shared" si="30"/>
        <v/>
      </c>
    </row>
    <row r="294" spans="5:32" x14ac:dyDescent="0.2">
      <c r="AA294" s="336" t="str">
        <f t="shared" si="31"/>
        <v/>
      </c>
      <c r="AB294" s="336" t="str">
        <f t="shared" si="26"/>
        <v/>
      </c>
      <c r="AC294" s="336" t="str">
        <f t="shared" si="27"/>
        <v/>
      </c>
      <c r="AD294" s="336" t="str">
        <f t="shared" si="28"/>
        <v/>
      </c>
      <c r="AE294" s="336" t="str">
        <f t="shared" si="29"/>
        <v/>
      </c>
      <c r="AF294" s="336" t="str">
        <f t="shared" si="30"/>
        <v/>
      </c>
    </row>
    <row r="295" spans="5:32" x14ac:dyDescent="0.2">
      <c r="AA295" s="336" t="str">
        <f t="shared" si="31"/>
        <v/>
      </c>
      <c r="AB295" s="336" t="str">
        <f t="shared" si="26"/>
        <v/>
      </c>
      <c r="AC295" s="336" t="str">
        <f t="shared" si="27"/>
        <v/>
      </c>
      <c r="AD295" s="336" t="str">
        <f t="shared" si="28"/>
        <v/>
      </c>
      <c r="AE295" s="336" t="str">
        <f t="shared" si="29"/>
        <v/>
      </c>
      <c r="AF295" s="336" t="str">
        <f t="shared" si="30"/>
        <v/>
      </c>
    </row>
    <row r="296" spans="5:32" x14ac:dyDescent="0.2">
      <c r="AA296" s="336" t="str">
        <f t="shared" si="31"/>
        <v/>
      </c>
      <c r="AB296" s="336" t="str">
        <f t="shared" si="26"/>
        <v/>
      </c>
      <c r="AC296" s="336" t="str">
        <f t="shared" si="27"/>
        <v/>
      </c>
      <c r="AD296" s="336" t="str">
        <f t="shared" si="28"/>
        <v/>
      </c>
      <c r="AE296" s="336" t="str">
        <f t="shared" si="29"/>
        <v/>
      </c>
      <c r="AF296" s="336" t="str">
        <f t="shared" si="30"/>
        <v/>
      </c>
    </row>
    <row r="297" spans="5:32" x14ac:dyDescent="0.2">
      <c r="AA297" s="336" t="str">
        <f t="shared" si="31"/>
        <v/>
      </c>
      <c r="AB297" s="336" t="str">
        <f t="shared" si="26"/>
        <v/>
      </c>
      <c r="AC297" s="336" t="str">
        <f t="shared" si="27"/>
        <v/>
      </c>
      <c r="AD297" s="336" t="str">
        <f t="shared" si="28"/>
        <v/>
      </c>
      <c r="AE297" s="336" t="str">
        <f t="shared" si="29"/>
        <v/>
      </c>
      <c r="AF297" s="336" t="str">
        <f t="shared" si="30"/>
        <v/>
      </c>
    </row>
    <row r="298" spans="5:32" x14ac:dyDescent="0.2">
      <c r="AA298" s="336" t="str">
        <f t="shared" si="31"/>
        <v/>
      </c>
      <c r="AB298" s="336" t="str">
        <f t="shared" si="26"/>
        <v/>
      </c>
      <c r="AC298" s="336" t="str">
        <f t="shared" si="27"/>
        <v/>
      </c>
      <c r="AD298" s="336" t="str">
        <f t="shared" si="28"/>
        <v/>
      </c>
      <c r="AE298" s="336" t="str">
        <f t="shared" si="29"/>
        <v/>
      </c>
      <c r="AF298" s="336" t="str">
        <f t="shared" si="30"/>
        <v/>
      </c>
    </row>
    <row r="299" spans="5:32" x14ac:dyDescent="0.2">
      <c r="AA299" s="336" t="str">
        <f t="shared" si="31"/>
        <v/>
      </c>
      <c r="AB299" s="336" t="str">
        <f t="shared" si="26"/>
        <v/>
      </c>
      <c r="AC299" s="336" t="str">
        <f t="shared" si="27"/>
        <v/>
      </c>
      <c r="AD299" s="336" t="str">
        <f t="shared" si="28"/>
        <v/>
      </c>
      <c r="AE299" s="336" t="str">
        <f t="shared" si="29"/>
        <v/>
      </c>
      <c r="AF299" s="336" t="str">
        <f t="shared" si="30"/>
        <v/>
      </c>
    </row>
    <row r="300" spans="5:32" x14ac:dyDescent="0.2">
      <c r="E300" s="350">
        <f t="shared" ref="E300:J300" si="32">COUNTA(E6:E299)</f>
        <v>0</v>
      </c>
      <c r="F300" s="350">
        <f t="shared" si="32"/>
        <v>0</v>
      </c>
      <c r="G300" s="350">
        <f t="shared" si="32"/>
        <v>0</v>
      </c>
      <c r="H300" s="350">
        <f t="shared" si="32"/>
        <v>0</v>
      </c>
      <c r="I300" s="350">
        <f t="shared" si="32"/>
        <v>0</v>
      </c>
      <c r="J300" s="350">
        <f t="shared" si="32"/>
        <v>0</v>
      </c>
      <c r="L300" s="350">
        <f>SUM(L6:L299)</f>
        <v>0</v>
      </c>
      <c r="AA300" s="336">
        <f t="shared" ref="AA300:AF300" si="33">SUM(AA6:AA299)</f>
        <v>0</v>
      </c>
      <c r="AB300" s="336">
        <f t="shared" si="33"/>
        <v>0</v>
      </c>
      <c r="AC300" s="336">
        <f t="shared" si="33"/>
        <v>0</v>
      </c>
      <c r="AD300" s="336">
        <f t="shared" si="33"/>
        <v>0</v>
      </c>
      <c r="AE300" s="336">
        <f t="shared" si="33"/>
        <v>0</v>
      </c>
      <c r="AF300" s="336">
        <f t="shared" si="33"/>
        <v>0</v>
      </c>
    </row>
  </sheetData>
  <sheetProtection sheet="1"/>
  <mergeCells count="7">
    <mergeCell ref="E3:V3"/>
    <mergeCell ref="K4:V4"/>
    <mergeCell ref="E1:V1"/>
    <mergeCell ref="E4:J4"/>
    <mergeCell ref="E2:M2"/>
    <mergeCell ref="N2:P2"/>
    <mergeCell ref="Q2:V2"/>
  </mergeCells>
  <phoneticPr fontId="6" type="noConversion"/>
  <hyperlinks>
    <hyperlink ref="N5" location="defs_NPI" display="NPI"/>
    <hyperlink ref="Q2:V2" location="text_11" display="Document Explanations if needed"/>
  </hyperlinks>
  <printOptions horizontalCentered="1"/>
  <pageMargins left="0.75" right="0.75" top="1" bottom="1" header="0.5" footer="0.5"/>
  <pageSetup scale="66" orientation="landscape"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colBreaks count="1" manualBreakCount="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topLeftCell="C1" zoomScaleNormal="100" workbookViewId="0">
      <selection activeCell="C1" sqref="C1:H1"/>
    </sheetView>
  </sheetViews>
  <sheetFormatPr defaultRowHeight="12.75" x14ac:dyDescent="0.2"/>
  <cols>
    <col min="1" max="2" width="9.140625" style="127" hidden="1" customWidth="1"/>
    <col min="3" max="3" width="20.28515625" style="361" customWidth="1"/>
    <col min="4" max="4" width="3.7109375" style="362" customWidth="1"/>
    <col min="5" max="5" width="23.42578125" style="361" customWidth="1"/>
    <col min="6" max="6" width="7.28515625" style="361" customWidth="1"/>
    <col min="7" max="7" width="11" style="361" customWidth="1"/>
    <col min="8" max="8" width="11.42578125" style="361" customWidth="1"/>
    <col min="9" max="9" width="9.140625" style="127" hidden="1" customWidth="1"/>
    <col min="10" max="10" width="8.85546875" style="127" hidden="1" customWidth="1"/>
    <col min="11" max="16384" width="9.140625" style="127"/>
  </cols>
  <sheetData>
    <row r="1" spans="1:15" ht="24.75" customHeight="1" thickBot="1" x14ac:dyDescent="0.25">
      <c r="C1" s="1063" t="e">
        <f>CONCATENATE('Demog Contact'!D$5," ",'Demog Contact'!D$6)</f>
        <v>#N/A</v>
      </c>
      <c r="D1" s="1064"/>
      <c r="E1" s="1064"/>
      <c r="F1" s="1064"/>
      <c r="G1" s="1064"/>
      <c r="H1" s="1064"/>
      <c r="I1" s="290"/>
      <c r="J1" s="290"/>
      <c r="K1" s="351"/>
      <c r="L1" s="351"/>
      <c r="M1" s="290"/>
      <c r="N1" s="290"/>
      <c r="O1" s="290"/>
    </row>
    <row r="2" spans="1:15" ht="24.95" customHeight="1" x14ac:dyDescent="0.2">
      <c r="C2" s="1009" t="s">
        <v>112</v>
      </c>
      <c r="D2" s="1010"/>
      <c r="E2" s="1010"/>
      <c r="F2" s="1065" t="s">
        <v>414</v>
      </c>
      <c r="G2" s="1065"/>
      <c r="H2" s="352" t="str">
        <f>CONCATENATE("Fiscal Year ",'Demog Contact'!N1)</f>
        <v>Fiscal Year 2019</v>
      </c>
      <c r="I2" s="325"/>
      <c r="J2" s="353"/>
      <c r="K2" s="323"/>
      <c r="L2" s="323"/>
      <c r="M2" s="323"/>
      <c r="N2" s="323"/>
      <c r="O2" s="323"/>
    </row>
    <row r="3" spans="1:15" ht="55.5" customHeight="1" x14ac:dyDescent="0.2">
      <c r="A3" s="337"/>
      <c r="B3" s="337"/>
      <c r="C3" s="1060" t="s">
        <v>689</v>
      </c>
      <c r="D3" s="1061"/>
      <c r="E3" s="1061"/>
      <c r="F3" s="1061"/>
      <c r="G3" s="1061"/>
      <c r="H3" s="1062"/>
      <c r="I3" s="325"/>
      <c r="J3" s="353"/>
      <c r="K3" s="323"/>
      <c r="L3" s="323"/>
      <c r="M3" s="323"/>
      <c r="N3" s="323"/>
      <c r="O3" s="323"/>
    </row>
    <row r="4" spans="1:15" ht="24.95" customHeight="1" x14ac:dyDescent="0.2">
      <c r="A4" s="337" t="s">
        <v>66</v>
      </c>
      <c r="B4" s="337" t="s">
        <v>67</v>
      </c>
      <c r="C4" s="354" t="s">
        <v>157</v>
      </c>
      <c r="D4" s="355" t="s">
        <v>212</v>
      </c>
      <c r="E4" s="356" t="s">
        <v>158</v>
      </c>
      <c r="F4" s="356" t="s">
        <v>159</v>
      </c>
      <c r="G4" s="356" t="s">
        <v>38</v>
      </c>
      <c r="H4" s="357" t="s">
        <v>87</v>
      </c>
      <c r="I4" s="358" t="s">
        <v>121</v>
      </c>
      <c r="J4" s="359" t="s">
        <v>122</v>
      </c>
      <c r="K4" s="325"/>
      <c r="L4" s="325"/>
      <c r="M4" s="325"/>
      <c r="N4" s="325"/>
      <c r="O4" s="325"/>
    </row>
    <row r="5" spans="1:15" x14ac:dyDescent="0.2">
      <c r="A5" s="127">
        <f t="shared" ref="A5:A39" si="0">start</f>
        <v>0</v>
      </c>
      <c r="B5" s="127">
        <v>2019</v>
      </c>
      <c r="C5" s="360"/>
      <c r="D5" s="343"/>
      <c r="E5" s="329"/>
      <c r="F5" s="343"/>
      <c r="G5" s="343"/>
      <c r="H5" s="345"/>
      <c r="J5" s="127">
        <v>20</v>
      </c>
    </row>
    <row r="6" spans="1:15" x14ac:dyDescent="0.2">
      <c r="A6" s="127">
        <f t="shared" si="0"/>
        <v>0</v>
      </c>
      <c r="B6" s="127">
        <v>2019</v>
      </c>
      <c r="C6" s="331"/>
      <c r="D6" s="343"/>
      <c r="E6" s="328"/>
      <c r="F6" s="343"/>
      <c r="G6" s="343"/>
      <c r="H6" s="345"/>
      <c r="J6" s="127">
        <v>20</v>
      </c>
    </row>
    <row r="7" spans="1:15" x14ac:dyDescent="0.2">
      <c r="A7" s="127">
        <f t="shared" si="0"/>
        <v>0</v>
      </c>
      <c r="B7" s="127">
        <v>2019</v>
      </c>
      <c r="C7" s="331"/>
      <c r="D7" s="343"/>
      <c r="E7" s="328"/>
      <c r="F7" s="343"/>
      <c r="G7" s="343"/>
      <c r="H7" s="345"/>
      <c r="J7" s="127">
        <v>20</v>
      </c>
    </row>
    <row r="8" spans="1:15" x14ac:dyDescent="0.2">
      <c r="A8" s="127">
        <f t="shared" si="0"/>
        <v>0</v>
      </c>
      <c r="B8" s="127">
        <v>2019</v>
      </c>
      <c r="C8" s="331"/>
      <c r="D8" s="343"/>
      <c r="E8" s="328"/>
      <c r="F8" s="343"/>
      <c r="G8" s="343"/>
      <c r="H8" s="345"/>
      <c r="J8" s="127">
        <v>20</v>
      </c>
    </row>
    <row r="9" spans="1:15" x14ac:dyDescent="0.2">
      <c r="A9" s="127">
        <f t="shared" si="0"/>
        <v>0</v>
      </c>
      <c r="B9" s="127">
        <v>2019</v>
      </c>
      <c r="C9" s="331"/>
      <c r="D9" s="343"/>
      <c r="E9" s="328"/>
      <c r="F9" s="343"/>
      <c r="G9" s="343"/>
      <c r="H9" s="345"/>
      <c r="J9" s="127">
        <v>20</v>
      </c>
    </row>
    <row r="10" spans="1:15" x14ac:dyDescent="0.2">
      <c r="A10" s="127">
        <f t="shared" si="0"/>
        <v>0</v>
      </c>
      <c r="B10" s="127">
        <v>2019</v>
      </c>
      <c r="C10" s="331"/>
      <c r="D10" s="343"/>
      <c r="E10" s="328"/>
      <c r="F10" s="343"/>
      <c r="G10" s="343"/>
      <c r="H10" s="345"/>
      <c r="J10" s="127">
        <v>20</v>
      </c>
    </row>
    <row r="11" spans="1:15" x14ac:dyDescent="0.2">
      <c r="A11" s="127">
        <f t="shared" si="0"/>
        <v>0</v>
      </c>
      <c r="B11" s="127">
        <v>2019</v>
      </c>
      <c r="C11" s="331"/>
      <c r="D11" s="343"/>
      <c r="E11" s="328"/>
      <c r="F11" s="343"/>
      <c r="G11" s="343"/>
      <c r="H11" s="345"/>
      <c r="J11" s="127">
        <v>20</v>
      </c>
    </row>
    <row r="12" spans="1:15" x14ac:dyDescent="0.2">
      <c r="A12" s="127">
        <f t="shared" si="0"/>
        <v>0</v>
      </c>
      <c r="B12" s="127">
        <v>2019</v>
      </c>
      <c r="C12" s="331"/>
      <c r="D12" s="343"/>
      <c r="E12" s="328"/>
      <c r="F12" s="343"/>
      <c r="G12" s="343"/>
      <c r="H12" s="345"/>
      <c r="J12" s="127">
        <v>20</v>
      </c>
    </row>
    <row r="13" spans="1:15" x14ac:dyDescent="0.2">
      <c r="A13" s="127">
        <f t="shared" si="0"/>
        <v>0</v>
      </c>
      <c r="B13" s="127">
        <v>2019</v>
      </c>
      <c r="C13" s="331"/>
      <c r="D13" s="343"/>
      <c r="E13" s="328"/>
      <c r="F13" s="343"/>
      <c r="G13" s="343"/>
      <c r="H13" s="345"/>
      <c r="J13" s="127">
        <v>20</v>
      </c>
    </row>
    <row r="14" spans="1:15" x14ac:dyDescent="0.2">
      <c r="A14" s="127">
        <f t="shared" si="0"/>
        <v>0</v>
      </c>
      <c r="B14" s="127">
        <v>2019</v>
      </c>
      <c r="C14" s="331"/>
      <c r="D14" s="343"/>
      <c r="E14" s="328"/>
      <c r="F14" s="343"/>
      <c r="G14" s="343"/>
      <c r="H14" s="345"/>
      <c r="J14" s="127">
        <v>20</v>
      </c>
    </row>
    <row r="15" spans="1:15" x14ac:dyDescent="0.2">
      <c r="A15" s="127">
        <f t="shared" si="0"/>
        <v>0</v>
      </c>
      <c r="B15" s="127">
        <v>2019</v>
      </c>
      <c r="C15" s="331"/>
      <c r="D15" s="343"/>
      <c r="E15" s="328"/>
      <c r="F15" s="343"/>
      <c r="G15" s="343"/>
      <c r="H15" s="345"/>
      <c r="J15" s="127">
        <v>20</v>
      </c>
    </row>
    <row r="16" spans="1:15" x14ac:dyDescent="0.2">
      <c r="A16" s="127">
        <f t="shared" si="0"/>
        <v>0</v>
      </c>
      <c r="B16" s="127">
        <v>2019</v>
      </c>
      <c r="C16" s="331"/>
      <c r="D16" s="343"/>
      <c r="E16" s="328"/>
      <c r="F16" s="343"/>
      <c r="G16" s="343"/>
      <c r="H16" s="345"/>
      <c r="J16" s="127">
        <v>20</v>
      </c>
    </row>
    <row r="17" spans="1:10" x14ac:dyDescent="0.2">
      <c r="A17" s="127">
        <f t="shared" si="0"/>
        <v>0</v>
      </c>
      <c r="B17" s="127">
        <v>2019</v>
      </c>
      <c r="C17" s="331"/>
      <c r="D17" s="343"/>
      <c r="E17" s="328"/>
      <c r="F17" s="343"/>
      <c r="G17" s="343"/>
      <c r="H17" s="345"/>
      <c r="J17" s="127">
        <v>20</v>
      </c>
    </row>
    <row r="18" spans="1:10" x14ac:dyDescent="0.2">
      <c r="A18" s="127">
        <f t="shared" si="0"/>
        <v>0</v>
      </c>
      <c r="B18" s="127">
        <v>2019</v>
      </c>
      <c r="C18" s="331"/>
      <c r="D18" s="343"/>
      <c r="E18" s="328"/>
      <c r="F18" s="343"/>
      <c r="G18" s="343"/>
      <c r="H18" s="345"/>
      <c r="J18" s="127">
        <v>20</v>
      </c>
    </row>
    <row r="19" spans="1:10" x14ac:dyDescent="0.2">
      <c r="A19" s="127">
        <f t="shared" si="0"/>
        <v>0</v>
      </c>
      <c r="B19" s="127">
        <v>2019</v>
      </c>
      <c r="C19" s="331"/>
      <c r="D19" s="343"/>
      <c r="E19" s="328"/>
      <c r="F19" s="343"/>
      <c r="G19" s="343"/>
      <c r="H19" s="345"/>
      <c r="J19" s="127">
        <v>20</v>
      </c>
    </row>
    <row r="20" spans="1:10" x14ac:dyDescent="0.2">
      <c r="A20" s="127">
        <f t="shared" si="0"/>
        <v>0</v>
      </c>
      <c r="B20" s="127">
        <v>2019</v>
      </c>
      <c r="C20" s="331"/>
      <c r="D20" s="343"/>
      <c r="E20" s="328"/>
      <c r="F20" s="343"/>
      <c r="G20" s="343"/>
      <c r="H20" s="345"/>
      <c r="J20" s="127">
        <v>20</v>
      </c>
    </row>
    <row r="21" spans="1:10" x14ac:dyDescent="0.2">
      <c r="A21" s="127">
        <f t="shared" si="0"/>
        <v>0</v>
      </c>
      <c r="B21" s="127">
        <v>2019</v>
      </c>
      <c r="C21" s="331"/>
      <c r="D21" s="343"/>
      <c r="E21" s="328"/>
      <c r="F21" s="343"/>
      <c r="G21" s="343"/>
      <c r="H21" s="345"/>
      <c r="J21" s="127">
        <v>20</v>
      </c>
    </row>
    <row r="22" spans="1:10" x14ac:dyDescent="0.2">
      <c r="A22" s="127">
        <f t="shared" si="0"/>
        <v>0</v>
      </c>
      <c r="B22" s="127">
        <v>2019</v>
      </c>
      <c r="C22" s="331"/>
      <c r="D22" s="343"/>
      <c r="E22" s="328"/>
      <c r="F22" s="343"/>
      <c r="G22" s="343"/>
      <c r="H22" s="345"/>
      <c r="J22" s="127">
        <v>20</v>
      </c>
    </row>
    <row r="23" spans="1:10" x14ac:dyDescent="0.2">
      <c r="A23" s="127">
        <f t="shared" si="0"/>
        <v>0</v>
      </c>
      <c r="B23" s="127">
        <v>2019</v>
      </c>
      <c r="C23" s="331"/>
      <c r="D23" s="343"/>
      <c r="E23" s="328"/>
      <c r="F23" s="343"/>
      <c r="G23" s="343"/>
      <c r="H23" s="345"/>
      <c r="J23" s="127">
        <v>20</v>
      </c>
    </row>
    <row r="24" spans="1:10" x14ac:dyDescent="0.2">
      <c r="A24" s="127">
        <f t="shared" si="0"/>
        <v>0</v>
      </c>
      <c r="B24" s="127">
        <v>2019</v>
      </c>
      <c r="C24" s="331"/>
      <c r="D24" s="343"/>
      <c r="E24" s="328"/>
      <c r="F24" s="343"/>
      <c r="G24" s="343"/>
      <c r="H24" s="345"/>
      <c r="J24" s="127">
        <v>20</v>
      </c>
    </row>
    <row r="25" spans="1:10" x14ac:dyDescent="0.2">
      <c r="A25" s="127">
        <f t="shared" si="0"/>
        <v>0</v>
      </c>
      <c r="B25" s="127">
        <v>2019</v>
      </c>
      <c r="C25" s="331"/>
      <c r="D25" s="343"/>
      <c r="E25" s="328"/>
      <c r="F25" s="343"/>
      <c r="G25" s="343"/>
      <c r="H25" s="345"/>
      <c r="J25" s="127">
        <v>20</v>
      </c>
    </row>
    <row r="26" spans="1:10" x14ac:dyDescent="0.2">
      <c r="A26" s="127">
        <f t="shared" si="0"/>
        <v>0</v>
      </c>
      <c r="B26" s="127">
        <v>2019</v>
      </c>
      <c r="C26" s="331"/>
      <c r="D26" s="343"/>
      <c r="E26" s="328"/>
      <c r="F26" s="343"/>
      <c r="G26" s="343"/>
      <c r="H26" s="345"/>
      <c r="J26" s="127">
        <v>20</v>
      </c>
    </row>
    <row r="27" spans="1:10" x14ac:dyDescent="0.2">
      <c r="A27" s="127">
        <f t="shared" si="0"/>
        <v>0</v>
      </c>
      <c r="B27" s="127">
        <v>2019</v>
      </c>
      <c r="C27" s="331"/>
      <c r="D27" s="343"/>
      <c r="E27" s="328"/>
      <c r="F27" s="343"/>
      <c r="G27" s="343"/>
      <c r="H27" s="345"/>
      <c r="J27" s="127">
        <v>20</v>
      </c>
    </row>
    <row r="28" spans="1:10" x14ac:dyDescent="0.2">
      <c r="A28" s="127">
        <f t="shared" si="0"/>
        <v>0</v>
      </c>
      <c r="B28" s="127">
        <v>2019</v>
      </c>
      <c r="C28" s="331"/>
      <c r="D28" s="343"/>
      <c r="E28" s="328"/>
      <c r="F28" s="343"/>
      <c r="G28" s="343"/>
      <c r="H28" s="345"/>
      <c r="J28" s="127">
        <v>20</v>
      </c>
    </row>
    <row r="29" spans="1:10" x14ac:dyDescent="0.2">
      <c r="A29" s="127">
        <f t="shared" si="0"/>
        <v>0</v>
      </c>
      <c r="B29" s="127">
        <v>2019</v>
      </c>
      <c r="C29" s="331"/>
      <c r="D29" s="343"/>
      <c r="E29" s="328"/>
      <c r="F29" s="343"/>
      <c r="G29" s="343"/>
      <c r="H29" s="345"/>
      <c r="J29" s="127">
        <v>20</v>
      </c>
    </row>
    <row r="30" spans="1:10" x14ac:dyDescent="0.2">
      <c r="A30" s="127">
        <f t="shared" si="0"/>
        <v>0</v>
      </c>
      <c r="B30" s="127">
        <v>2019</v>
      </c>
      <c r="C30" s="331"/>
      <c r="D30" s="343"/>
      <c r="E30" s="328"/>
      <c r="F30" s="343"/>
      <c r="G30" s="343"/>
      <c r="H30" s="345"/>
      <c r="J30" s="127">
        <v>20</v>
      </c>
    </row>
    <row r="31" spans="1:10" x14ac:dyDescent="0.2">
      <c r="A31" s="127">
        <f t="shared" si="0"/>
        <v>0</v>
      </c>
      <c r="B31" s="127">
        <v>2019</v>
      </c>
      <c r="C31" s="331"/>
      <c r="D31" s="343"/>
      <c r="E31" s="328"/>
      <c r="F31" s="343"/>
      <c r="G31" s="343"/>
      <c r="H31" s="345"/>
      <c r="J31" s="127">
        <v>20</v>
      </c>
    </row>
    <row r="32" spans="1:10" x14ac:dyDescent="0.2">
      <c r="A32" s="127">
        <f t="shared" si="0"/>
        <v>0</v>
      </c>
      <c r="B32" s="127">
        <v>2019</v>
      </c>
      <c r="C32" s="331"/>
      <c r="D32" s="343"/>
      <c r="E32" s="328"/>
      <c r="F32" s="343"/>
      <c r="G32" s="343"/>
      <c r="H32" s="345"/>
      <c r="J32" s="127">
        <v>20</v>
      </c>
    </row>
    <row r="33" spans="1:10" x14ac:dyDescent="0.2">
      <c r="A33" s="127">
        <f t="shared" si="0"/>
        <v>0</v>
      </c>
      <c r="B33" s="127">
        <v>2019</v>
      </c>
      <c r="C33" s="331"/>
      <c r="D33" s="343"/>
      <c r="E33" s="328"/>
      <c r="F33" s="343"/>
      <c r="G33" s="343"/>
      <c r="H33" s="345"/>
      <c r="J33" s="127">
        <v>20</v>
      </c>
    </row>
    <row r="34" spans="1:10" x14ac:dyDescent="0.2">
      <c r="A34" s="127">
        <f t="shared" si="0"/>
        <v>0</v>
      </c>
      <c r="B34" s="127">
        <v>2019</v>
      </c>
      <c r="C34" s="331"/>
      <c r="D34" s="343"/>
      <c r="E34" s="328"/>
      <c r="F34" s="343"/>
      <c r="G34" s="343"/>
      <c r="H34" s="345"/>
      <c r="J34" s="127">
        <v>20</v>
      </c>
    </row>
    <row r="35" spans="1:10" x14ac:dyDescent="0.2">
      <c r="A35" s="127">
        <f t="shared" si="0"/>
        <v>0</v>
      </c>
      <c r="B35" s="127">
        <v>2019</v>
      </c>
      <c r="C35" s="331"/>
      <c r="D35" s="343"/>
      <c r="E35" s="328"/>
      <c r="F35" s="343"/>
      <c r="G35" s="343"/>
      <c r="H35" s="345"/>
      <c r="J35" s="127">
        <v>20</v>
      </c>
    </row>
    <row r="36" spans="1:10" x14ac:dyDescent="0.2">
      <c r="A36" s="127">
        <f t="shared" si="0"/>
        <v>0</v>
      </c>
      <c r="B36" s="127">
        <v>2019</v>
      </c>
      <c r="C36" s="331"/>
      <c r="D36" s="343"/>
      <c r="E36" s="328"/>
      <c r="F36" s="343"/>
      <c r="G36" s="343"/>
      <c r="H36" s="345"/>
      <c r="J36" s="127">
        <v>20</v>
      </c>
    </row>
    <row r="37" spans="1:10" x14ac:dyDescent="0.2">
      <c r="A37" s="127">
        <f t="shared" si="0"/>
        <v>0</v>
      </c>
      <c r="B37" s="127">
        <v>2019</v>
      </c>
      <c r="C37" s="331"/>
      <c r="D37" s="343"/>
      <c r="E37" s="328"/>
      <c r="F37" s="343"/>
      <c r="G37" s="343"/>
      <c r="H37" s="345"/>
      <c r="J37" s="127">
        <v>20</v>
      </c>
    </row>
    <row r="38" spans="1:10" x14ac:dyDescent="0.2">
      <c r="A38" s="127">
        <f t="shared" si="0"/>
        <v>0</v>
      </c>
      <c r="B38" s="127">
        <v>2019</v>
      </c>
      <c r="C38" s="331"/>
      <c r="D38" s="343"/>
      <c r="E38" s="328"/>
      <c r="F38" s="343"/>
      <c r="G38" s="343"/>
      <c r="H38" s="345"/>
      <c r="J38" s="127">
        <v>20</v>
      </c>
    </row>
    <row r="39" spans="1:10" ht="13.5" thickBot="1" x14ac:dyDescent="0.25">
      <c r="A39" s="127">
        <f t="shared" si="0"/>
        <v>0</v>
      </c>
      <c r="B39" s="127">
        <v>2019</v>
      </c>
      <c r="C39" s="332"/>
      <c r="D39" s="347"/>
      <c r="E39" s="333"/>
      <c r="F39" s="347"/>
      <c r="G39" s="347"/>
      <c r="H39" s="349"/>
      <c r="J39" s="127">
        <v>20</v>
      </c>
    </row>
  </sheetData>
  <sheetProtection sheet="1"/>
  <mergeCells count="4">
    <mergeCell ref="C3:H3"/>
    <mergeCell ref="C1:H1"/>
    <mergeCell ref="C2:E2"/>
    <mergeCell ref="F2:G2"/>
  </mergeCells>
  <phoneticPr fontId="0" type="noConversion"/>
  <dataValidations count="1">
    <dataValidation type="textLength" operator="lessThanOrEqual" allowBlank="1" showInputMessage="1" showErrorMessage="1" error="Enter only one initial. Use First Name field for alternate names." sqref="D5:D39">
      <formula1>1</formula1>
    </dataValidation>
  </dataValidations>
  <hyperlinks>
    <hyperlink ref="C3:H3" location="def_econ_interest" display="Please enter the names of all physicians with any financial or economic interest excluding salaried physicians, unless the physicians' salary is adjusted for volume of service, and all other individuals with a ten percent or greater financial or economic "/>
    <hyperlink ref="H4" location="defs_NPI" display="NPI (when available and when applicable)"/>
    <hyperlink ref="F2:G2" location="text_12" display="Document Explanations if needed"/>
  </hyperlinks>
  <printOptions horizontalCentered="1"/>
  <pageMargins left="0.75" right="0.75" top="1" bottom="1" header="0.5" footer="0.5"/>
  <pageSetup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1"/>
    <pageSetUpPr fitToPage="1"/>
  </sheetPr>
  <dimension ref="A1:X33"/>
  <sheetViews>
    <sheetView zoomScaleNormal="100" workbookViewId="0">
      <selection sqref="A1:O1"/>
    </sheetView>
  </sheetViews>
  <sheetFormatPr defaultColWidth="7.7109375" defaultRowHeight="30" customHeight="1" x14ac:dyDescent="0.2"/>
  <cols>
    <col min="1" max="17" width="7.7109375" style="121" customWidth="1"/>
    <col min="18" max="23" width="9" style="121" hidden="1" customWidth="1"/>
    <col min="24" max="16384" width="7.7109375" style="121"/>
  </cols>
  <sheetData>
    <row r="1" spans="1:23" s="365" customFormat="1" ht="24.75" customHeight="1" thickBot="1" x14ac:dyDescent="0.25">
      <c r="A1" s="1110" t="e">
        <f>CONCATENATE('Demog Contact'!D$5," ",'Demog Contact'!D$6)</f>
        <v>#N/A</v>
      </c>
      <c r="B1" s="1111"/>
      <c r="C1" s="1111"/>
      <c r="D1" s="1111"/>
      <c r="E1" s="1111"/>
      <c r="F1" s="1111"/>
      <c r="G1" s="1111"/>
      <c r="H1" s="1111"/>
      <c r="I1" s="1111"/>
      <c r="J1" s="1111"/>
      <c r="K1" s="1111"/>
      <c r="L1" s="1111"/>
      <c r="M1" s="1111"/>
      <c r="N1" s="1111"/>
      <c r="O1" s="1111"/>
      <c r="P1" s="363"/>
      <c r="Q1" s="363"/>
      <c r="R1" s="139"/>
      <c r="S1" s="139"/>
      <c r="T1" s="364"/>
      <c r="U1" s="364"/>
      <c r="V1" s="364"/>
      <c r="W1" s="364"/>
    </row>
    <row r="2" spans="1:23" ht="30" customHeight="1" x14ac:dyDescent="0.2">
      <c r="A2" s="1008" t="s">
        <v>113</v>
      </c>
      <c r="B2" s="974"/>
      <c r="C2" s="974"/>
      <c r="D2" s="974"/>
      <c r="E2" s="974"/>
      <c r="F2" s="974"/>
      <c r="G2" s="974"/>
      <c r="H2" s="974"/>
      <c r="I2" s="974"/>
      <c r="J2" s="1050" t="str">
        <f>CONCATENATE("FY ",'Demog Contact'!N1)</f>
        <v>FY 2019</v>
      </c>
      <c r="K2" s="1133"/>
      <c r="L2" s="1131" t="s">
        <v>413</v>
      </c>
      <c r="M2" s="1132"/>
      <c r="N2" s="1132"/>
      <c r="O2" s="192"/>
      <c r="P2" s="192"/>
      <c r="R2" s="364"/>
      <c r="S2" s="364"/>
      <c r="T2" s="364"/>
      <c r="U2" s="364"/>
      <c r="V2" s="364"/>
      <c r="W2" s="364"/>
    </row>
    <row r="3" spans="1:23" s="137" customFormat="1" ht="42.75" customHeight="1" x14ac:dyDescent="0.2">
      <c r="A3" s="1112" t="s">
        <v>241</v>
      </c>
      <c r="B3" s="1113"/>
      <c r="C3" s="1113"/>
      <c r="D3" s="1113"/>
      <c r="E3" s="1113"/>
      <c r="F3" s="1113"/>
      <c r="G3" s="1113"/>
      <c r="H3" s="1113"/>
      <c r="I3" s="1113"/>
      <c r="J3" s="1113"/>
      <c r="K3" s="1114"/>
      <c r="R3" s="366"/>
      <c r="S3" s="366"/>
      <c r="T3" s="366"/>
      <c r="U3" s="366"/>
      <c r="V3" s="366"/>
      <c r="W3" s="366"/>
    </row>
    <row r="4" spans="1:23" ht="30" customHeight="1" x14ac:dyDescent="0.2">
      <c r="A4" s="1076">
        <v>7594</v>
      </c>
      <c r="B4" s="1125" t="str">
        <f>CONCATENATE("Did your Facility have any Major Capital Expenditure Commitments in FY ",'Demog Contact'!N1," that were over $1 million dollars each?")</f>
        <v>Did your Facility have any Major Capital Expenditure Commitments in FY 2019 that were over $1 million dollars each?</v>
      </c>
      <c r="C4" s="1126"/>
      <c r="D4" s="1126"/>
      <c r="E4" s="1126"/>
      <c r="F4" s="1126"/>
      <c r="G4" s="1126"/>
      <c r="H4" s="1126"/>
      <c r="I4" s="1127"/>
      <c r="J4" s="367" t="s">
        <v>269</v>
      </c>
      <c r="K4" s="276" t="s">
        <v>270</v>
      </c>
      <c r="N4" s="325"/>
      <c r="O4" s="325"/>
      <c r="R4" s="364"/>
      <c r="S4" s="364"/>
      <c r="T4" s="364"/>
      <c r="U4" s="364"/>
      <c r="V4" s="364"/>
      <c r="W4" s="364"/>
    </row>
    <row r="5" spans="1:23" ht="30" customHeight="1" x14ac:dyDescent="0.2">
      <c r="A5" s="1077"/>
      <c r="B5" s="1128"/>
      <c r="C5" s="1129"/>
      <c r="D5" s="1129"/>
      <c r="E5" s="1129"/>
      <c r="F5" s="1129"/>
      <c r="G5" s="1129"/>
      <c r="H5" s="1129"/>
      <c r="I5" s="1130"/>
      <c r="J5" s="368"/>
      <c r="K5" s="369"/>
      <c r="L5" s="1089" t="str">
        <f>IF(COUNTBLANK(J5:K5)=2,"Please enter response.",IF(COUNTBLANK(J5:K5)&lt;&gt;1,"Please VERIFY response.",""))</f>
        <v>Please enter response.</v>
      </c>
      <c r="M5" s="612"/>
      <c r="N5" s="612"/>
      <c r="O5" s="612"/>
      <c r="R5" s="370" t="str">
        <f>IF(AND(ISBLANK(J5),(NOT(ISBLANK(K5)))),"X","")</f>
        <v/>
      </c>
      <c r="S5" s="364"/>
      <c r="T5" s="364"/>
      <c r="U5" s="1082" t="s">
        <v>117</v>
      </c>
      <c r="V5" s="983"/>
      <c r="W5" s="1083"/>
    </row>
    <row r="6" spans="1:23" ht="30" customHeight="1" x14ac:dyDescent="0.2">
      <c r="A6" s="371">
        <v>7595</v>
      </c>
      <c r="B6" s="1121" t="s">
        <v>690</v>
      </c>
      <c r="C6" s="1098"/>
      <c r="D6" s="1098"/>
      <c r="E6" s="1098"/>
      <c r="F6" s="1098"/>
      <c r="G6" s="1098"/>
      <c r="H6" s="1098"/>
      <c r="I6" s="1122"/>
      <c r="J6" s="1123"/>
      <c r="K6" s="1124"/>
      <c r="L6" s="372"/>
      <c r="M6" s="137"/>
      <c r="N6" s="137"/>
      <c r="O6" s="137"/>
      <c r="R6" s="364"/>
      <c r="S6" s="364"/>
      <c r="T6" s="364"/>
      <c r="U6" s="373" t="s">
        <v>118</v>
      </c>
      <c r="V6" s="373" t="s">
        <v>119</v>
      </c>
      <c r="W6" s="373" t="s">
        <v>120</v>
      </c>
    </row>
    <row r="7" spans="1:23" ht="30" customHeight="1" thickBot="1" x14ac:dyDescent="0.25">
      <c r="A7" s="374">
        <v>7596</v>
      </c>
      <c r="B7" s="1090" t="s">
        <v>279</v>
      </c>
      <c r="C7" s="1091"/>
      <c r="D7" s="1091"/>
      <c r="E7" s="1091"/>
      <c r="F7" s="1091"/>
      <c r="G7" s="1091"/>
      <c r="H7" s="1091"/>
      <c r="I7" s="1092"/>
      <c r="J7" s="1084"/>
      <c r="K7" s="1085"/>
      <c r="L7" s="372"/>
      <c r="M7" s="137"/>
      <c r="N7" s="137"/>
      <c r="O7" s="137"/>
      <c r="R7" s="364"/>
      <c r="S7" s="364"/>
      <c r="T7" s="364"/>
      <c r="U7" s="375">
        <f>code_7596</f>
        <v>0</v>
      </c>
      <c r="V7" s="375">
        <f>O23</f>
        <v>0</v>
      </c>
      <c r="W7" s="375">
        <f>'Capital Expend Project Specific'!P1</f>
        <v>0</v>
      </c>
    </row>
    <row r="8" spans="1:23" ht="30" customHeight="1" thickBot="1" x14ac:dyDescent="0.25">
      <c r="A8" s="293"/>
      <c r="B8" s="195"/>
      <c r="C8" s="195"/>
      <c r="D8" s="195"/>
      <c r="E8" s="195"/>
      <c r="F8" s="195"/>
      <c r="G8" s="195"/>
      <c r="H8" s="650" t="e">
        <f>IF(AND(OR(ISNA(cap_exp_contact),TRIM(cap_exp_contact)=""),NOT(ISBLANK(code_7594))),"The Capital Expenditure Contact information has NOT been provided.  Click here to go to Capital Expenditure Contact Section to fill in this information now.","")</f>
        <v>#N/A</v>
      </c>
      <c r="I8" s="1093"/>
      <c r="J8" s="1093"/>
      <c r="K8" s="1093"/>
      <c r="L8" s="1093"/>
      <c r="M8" s="1093"/>
      <c r="N8" s="1093"/>
      <c r="O8" s="1093"/>
      <c r="P8" s="1093"/>
      <c r="R8" s="364"/>
      <c r="S8" s="364"/>
      <c r="T8" s="364"/>
      <c r="U8" s="364"/>
      <c r="V8" s="364"/>
      <c r="W8" s="364"/>
    </row>
    <row r="9" spans="1:23" ht="30" customHeight="1" x14ac:dyDescent="0.2">
      <c r="A9" s="1008" t="s">
        <v>114</v>
      </c>
      <c r="B9" s="974"/>
      <c r="C9" s="974"/>
      <c r="D9" s="974"/>
      <c r="E9" s="974"/>
      <c r="F9" s="974"/>
      <c r="G9" s="974"/>
      <c r="H9" s="974"/>
      <c r="I9" s="974"/>
      <c r="J9" s="974"/>
      <c r="K9" s="974"/>
      <c r="L9" s="969" t="s">
        <v>413</v>
      </c>
      <c r="M9" s="969"/>
      <c r="N9" s="969"/>
      <c r="O9" s="1050" t="str">
        <f>CONCATENATE("FY ",'Demog Contact'!N1)</f>
        <v>FY 2019</v>
      </c>
      <c r="P9" s="1078"/>
      <c r="R9" s="364"/>
      <c r="S9" s="364"/>
      <c r="T9" s="364"/>
      <c r="U9" s="364"/>
      <c r="V9" s="364"/>
      <c r="W9" s="364"/>
    </row>
    <row r="10" spans="1:23" ht="38.25" customHeight="1" x14ac:dyDescent="0.2">
      <c r="A10" s="1073" t="s">
        <v>691</v>
      </c>
      <c r="B10" s="1074"/>
      <c r="C10" s="1074"/>
      <c r="D10" s="1074"/>
      <c r="E10" s="1074"/>
      <c r="F10" s="1074"/>
      <c r="G10" s="1074"/>
      <c r="H10" s="1074"/>
      <c r="I10" s="1074"/>
      <c r="J10" s="1074"/>
      <c r="K10" s="1074"/>
      <c r="L10" s="1074"/>
      <c r="M10" s="1074"/>
      <c r="N10" s="1069"/>
      <c r="O10" s="1069"/>
      <c r="P10" s="1075"/>
      <c r="R10" s="364"/>
      <c r="S10" s="364"/>
      <c r="T10" s="364"/>
      <c r="U10" s="364"/>
      <c r="V10" s="364"/>
      <c r="W10" s="364"/>
    </row>
    <row r="11" spans="1:23" ht="30" customHeight="1" thickBot="1" x14ac:dyDescent="0.25">
      <c r="A11" s="376"/>
      <c r="B11" s="377"/>
      <c r="C11" s="377"/>
      <c r="D11" s="377"/>
      <c r="E11" s="377"/>
      <c r="F11" s="1079" t="s">
        <v>161</v>
      </c>
      <c r="G11" s="1080"/>
      <c r="H11" s="377"/>
      <c r="I11" s="1079" t="s">
        <v>162</v>
      </c>
      <c r="J11" s="1080"/>
      <c r="K11" s="377"/>
      <c r="L11" s="1079" t="s">
        <v>172</v>
      </c>
      <c r="M11" s="1080"/>
      <c r="N11" s="377"/>
      <c r="O11" s="1079" t="s">
        <v>173</v>
      </c>
      <c r="P11" s="1081"/>
      <c r="R11" s="364"/>
      <c r="S11" s="364"/>
      <c r="T11" s="364"/>
      <c r="U11" s="364"/>
      <c r="V11" s="364"/>
      <c r="W11" s="364"/>
    </row>
    <row r="12" spans="1:23" ht="30" customHeight="1" x14ac:dyDescent="0.2">
      <c r="A12" s="1115" t="s">
        <v>174</v>
      </c>
      <c r="B12" s="1116"/>
      <c r="C12" s="1116"/>
      <c r="D12" s="1117"/>
      <c r="E12" s="378">
        <v>7597</v>
      </c>
      <c r="F12" s="1118">
        <f>F13+F18</f>
        <v>0</v>
      </c>
      <c r="G12" s="1120"/>
      <c r="H12" s="378">
        <v>7620</v>
      </c>
      <c r="I12" s="1118">
        <f>I13+I18</f>
        <v>0</v>
      </c>
      <c r="J12" s="1120"/>
      <c r="K12" s="378">
        <v>7643</v>
      </c>
      <c r="L12" s="1118">
        <f>L13+L18</f>
        <v>0</v>
      </c>
      <c r="M12" s="1120"/>
      <c r="N12" s="378">
        <v>7666</v>
      </c>
      <c r="O12" s="1118">
        <f>O13+O18</f>
        <v>0</v>
      </c>
      <c r="P12" s="1119"/>
      <c r="R12" s="364"/>
      <c r="S12" s="364"/>
      <c r="T12" s="364"/>
      <c r="U12" s="364"/>
      <c r="V12" s="364"/>
      <c r="W12" s="364"/>
    </row>
    <row r="13" spans="1:23" ht="37.5" customHeight="1" x14ac:dyDescent="0.2">
      <c r="A13" s="379"/>
      <c r="B13" s="1068" t="s">
        <v>692</v>
      </c>
      <c r="C13" s="1069"/>
      <c r="D13" s="1070"/>
      <c r="E13" s="380">
        <v>7610</v>
      </c>
      <c r="F13" s="1071">
        <f>SUM(F14:G17)</f>
        <v>0</v>
      </c>
      <c r="G13" s="1072"/>
      <c r="H13" s="380">
        <v>7633</v>
      </c>
      <c r="I13" s="1071">
        <f>SUM(I14:J17)</f>
        <v>0</v>
      </c>
      <c r="J13" s="1094"/>
      <c r="K13" s="380">
        <v>7656</v>
      </c>
      <c r="L13" s="1071">
        <f>SUM(L14:M17)</f>
        <v>0</v>
      </c>
      <c r="M13" s="1094"/>
      <c r="N13" s="380">
        <v>7679</v>
      </c>
      <c r="O13" s="1066">
        <f>SUM(O14:P17)</f>
        <v>0</v>
      </c>
      <c r="P13" s="1067"/>
      <c r="R13" s="364"/>
      <c r="S13" s="364"/>
      <c r="T13" s="364"/>
      <c r="U13" s="364"/>
      <c r="V13" s="364"/>
      <c r="W13" s="364"/>
    </row>
    <row r="14" spans="1:23" ht="30" customHeight="1" x14ac:dyDescent="0.2">
      <c r="A14" s="381"/>
      <c r="B14" s="382"/>
      <c r="C14" s="1096" t="s">
        <v>273</v>
      </c>
      <c r="D14" s="1097"/>
      <c r="E14" s="383">
        <v>7611</v>
      </c>
      <c r="F14" s="1087"/>
      <c r="G14" s="1088"/>
      <c r="H14" s="383">
        <v>7634</v>
      </c>
      <c r="I14" s="1087"/>
      <c r="J14" s="1088"/>
      <c r="K14" s="383">
        <v>7657</v>
      </c>
      <c r="L14" s="1087"/>
      <c r="M14" s="1088"/>
      <c r="N14" s="383">
        <v>7680</v>
      </c>
      <c r="O14" s="1086">
        <f>F14+I14+L14</f>
        <v>0</v>
      </c>
      <c r="P14" s="1067"/>
      <c r="R14" s="364"/>
      <c r="S14" s="364"/>
      <c r="T14" s="364"/>
      <c r="U14" s="364"/>
      <c r="V14" s="364"/>
      <c r="W14" s="364"/>
    </row>
    <row r="15" spans="1:23" ht="30" customHeight="1" x14ac:dyDescent="0.2">
      <c r="A15" s="381"/>
      <c r="B15" s="382"/>
      <c r="C15" s="1096" t="s">
        <v>276</v>
      </c>
      <c r="D15" s="1097"/>
      <c r="E15" s="383">
        <v>7612</v>
      </c>
      <c r="F15" s="1087"/>
      <c r="G15" s="1088"/>
      <c r="H15" s="383">
        <v>7635</v>
      </c>
      <c r="I15" s="1087"/>
      <c r="J15" s="1088"/>
      <c r="K15" s="383">
        <v>7658</v>
      </c>
      <c r="L15" s="1087"/>
      <c r="M15" s="1088"/>
      <c r="N15" s="383">
        <v>7681</v>
      </c>
      <c r="O15" s="1086">
        <f>F15+I15+L15</f>
        <v>0</v>
      </c>
      <c r="P15" s="1067"/>
      <c r="R15" s="364"/>
      <c r="S15" s="364"/>
      <c r="T15" s="364"/>
      <c r="U15" s="364"/>
      <c r="V15" s="364"/>
      <c r="W15" s="364"/>
    </row>
    <row r="16" spans="1:23" ht="30" customHeight="1" x14ac:dyDescent="0.2">
      <c r="A16" s="381"/>
      <c r="B16" s="382"/>
      <c r="C16" s="1096" t="s">
        <v>274</v>
      </c>
      <c r="D16" s="1097"/>
      <c r="E16" s="383">
        <v>7613</v>
      </c>
      <c r="F16" s="1087"/>
      <c r="G16" s="1088"/>
      <c r="H16" s="383">
        <v>7636</v>
      </c>
      <c r="I16" s="1087"/>
      <c r="J16" s="1088"/>
      <c r="K16" s="383">
        <v>7659</v>
      </c>
      <c r="L16" s="1087"/>
      <c r="M16" s="1088"/>
      <c r="N16" s="383">
        <v>7682</v>
      </c>
      <c r="O16" s="1086">
        <f>F16+I16+L16</f>
        <v>0</v>
      </c>
      <c r="P16" s="1067"/>
      <c r="R16" s="364"/>
      <c r="S16" s="364"/>
      <c r="T16" s="364"/>
      <c r="U16" s="364"/>
      <c r="V16" s="364"/>
      <c r="W16" s="364"/>
    </row>
    <row r="17" spans="1:24" ht="30" customHeight="1" x14ac:dyDescent="0.2">
      <c r="A17" s="381"/>
      <c r="B17" s="384"/>
      <c r="C17" s="1096" t="s">
        <v>176</v>
      </c>
      <c r="D17" s="1097"/>
      <c r="E17" s="383">
        <v>7614</v>
      </c>
      <c r="F17" s="1087"/>
      <c r="G17" s="1088"/>
      <c r="H17" s="383">
        <v>7637</v>
      </c>
      <c r="I17" s="1087"/>
      <c r="J17" s="1088"/>
      <c r="K17" s="383">
        <v>7660</v>
      </c>
      <c r="L17" s="1087"/>
      <c r="M17" s="1088"/>
      <c r="N17" s="383">
        <v>7683</v>
      </c>
      <c r="O17" s="1086">
        <f>F17+I17+L17</f>
        <v>0</v>
      </c>
      <c r="P17" s="1067"/>
      <c r="R17" s="364"/>
      <c r="S17" s="364"/>
      <c r="T17" s="364"/>
      <c r="U17" s="364"/>
      <c r="V17" s="364"/>
      <c r="W17" s="364"/>
    </row>
    <row r="18" spans="1:24" ht="30" customHeight="1" x14ac:dyDescent="0.2">
      <c r="A18" s="381"/>
      <c r="B18" s="1098" t="s">
        <v>175</v>
      </c>
      <c r="C18" s="1108"/>
      <c r="D18" s="1109"/>
      <c r="E18" s="383">
        <v>7609</v>
      </c>
      <c r="F18" s="1087"/>
      <c r="G18" s="1088"/>
      <c r="H18" s="383">
        <v>7632</v>
      </c>
      <c r="I18" s="1087"/>
      <c r="J18" s="1088"/>
      <c r="K18" s="383">
        <v>7655</v>
      </c>
      <c r="L18" s="1087"/>
      <c r="M18" s="1088"/>
      <c r="N18" s="383">
        <v>7678</v>
      </c>
      <c r="O18" s="1086">
        <f>F18+I18+L18</f>
        <v>0</v>
      </c>
      <c r="P18" s="1067"/>
      <c r="R18" s="364"/>
      <c r="S18" s="364"/>
      <c r="T18" s="364"/>
      <c r="U18" s="364"/>
      <c r="V18" s="364"/>
      <c r="W18" s="364"/>
    </row>
    <row r="19" spans="1:24" ht="30" customHeight="1" x14ac:dyDescent="0.2">
      <c r="A19" s="1095" t="s">
        <v>177</v>
      </c>
      <c r="B19" s="1069"/>
      <c r="C19" s="1069"/>
      <c r="D19" s="1070"/>
      <c r="E19" s="380">
        <v>7615</v>
      </c>
      <c r="F19" s="1071">
        <f>SUM(F20:G22)</f>
        <v>0</v>
      </c>
      <c r="G19" s="1072"/>
      <c r="H19" s="380">
        <v>7638</v>
      </c>
      <c r="I19" s="1071">
        <f>SUM(I20:J22)</f>
        <v>0</v>
      </c>
      <c r="J19" s="1094"/>
      <c r="K19" s="380">
        <v>7661</v>
      </c>
      <c r="L19" s="1071">
        <f>SUM(L20:M22)</f>
        <v>0</v>
      </c>
      <c r="M19" s="1094"/>
      <c r="N19" s="380">
        <v>7684</v>
      </c>
      <c r="O19" s="1066">
        <f>SUM(O20:P22)</f>
        <v>0</v>
      </c>
      <c r="P19" s="1067"/>
      <c r="R19" s="364"/>
      <c r="S19" s="364"/>
      <c r="T19" s="364"/>
      <c r="U19" s="364"/>
      <c r="V19" s="364"/>
      <c r="W19" s="364"/>
    </row>
    <row r="20" spans="1:24" ht="30" customHeight="1" x14ac:dyDescent="0.2">
      <c r="A20" s="381"/>
      <c r="B20" s="1098" t="s">
        <v>178</v>
      </c>
      <c r="C20" s="1069"/>
      <c r="D20" s="1070"/>
      <c r="E20" s="383">
        <v>7616</v>
      </c>
      <c r="F20" s="1087"/>
      <c r="G20" s="1088"/>
      <c r="H20" s="383">
        <v>7639</v>
      </c>
      <c r="I20" s="1087"/>
      <c r="J20" s="1088"/>
      <c r="K20" s="383">
        <v>7662</v>
      </c>
      <c r="L20" s="1087"/>
      <c r="M20" s="1088"/>
      <c r="N20" s="383">
        <v>7685</v>
      </c>
      <c r="O20" s="1086">
        <f>F20+I20+L20</f>
        <v>0</v>
      </c>
      <c r="P20" s="1067"/>
      <c r="R20" s="364"/>
      <c r="S20" s="364"/>
      <c r="T20" s="364"/>
      <c r="U20" s="364"/>
      <c r="V20" s="364"/>
      <c r="W20" s="364"/>
    </row>
    <row r="21" spans="1:24" ht="30" customHeight="1" x14ac:dyDescent="0.2">
      <c r="A21" s="381"/>
      <c r="B21" s="1098" t="s">
        <v>179</v>
      </c>
      <c r="C21" s="1069"/>
      <c r="D21" s="1070"/>
      <c r="E21" s="383">
        <v>7617</v>
      </c>
      <c r="F21" s="1087"/>
      <c r="G21" s="1088"/>
      <c r="H21" s="383">
        <v>7640</v>
      </c>
      <c r="I21" s="1087"/>
      <c r="J21" s="1088"/>
      <c r="K21" s="383">
        <v>7663</v>
      </c>
      <c r="L21" s="1087"/>
      <c r="M21" s="1088"/>
      <c r="N21" s="383">
        <v>7686</v>
      </c>
      <c r="O21" s="1086">
        <f>F21+I21+L21</f>
        <v>0</v>
      </c>
      <c r="P21" s="1067"/>
      <c r="R21" s="364"/>
      <c r="S21" s="364"/>
      <c r="T21" s="364"/>
      <c r="U21" s="364"/>
      <c r="V21" s="364"/>
      <c r="W21" s="364"/>
    </row>
    <row r="22" spans="1:24" ht="30" customHeight="1" x14ac:dyDescent="0.2">
      <c r="A22" s="381"/>
      <c r="B22" s="1098" t="s">
        <v>180</v>
      </c>
      <c r="C22" s="1069"/>
      <c r="D22" s="1070"/>
      <c r="E22" s="383">
        <v>7618</v>
      </c>
      <c r="F22" s="1087"/>
      <c r="G22" s="1088"/>
      <c r="H22" s="383">
        <v>7641</v>
      </c>
      <c r="I22" s="1087"/>
      <c r="J22" s="1088"/>
      <c r="K22" s="383">
        <v>7664</v>
      </c>
      <c r="L22" s="1087"/>
      <c r="M22" s="1088"/>
      <c r="N22" s="383">
        <v>7687</v>
      </c>
      <c r="O22" s="1086">
        <f>F22+I22+L22</f>
        <v>0</v>
      </c>
      <c r="P22" s="1067"/>
      <c r="R22" s="364"/>
      <c r="S22" s="364"/>
      <c r="T22" s="364"/>
      <c r="U22" s="364"/>
      <c r="V22" s="364"/>
      <c r="W22" s="364"/>
    </row>
    <row r="23" spans="1:24" ht="30" customHeight="1" thickBot="1" x14ac:dyDescent="0.25">
      <c r="A23" s="1105" t="s">
        <v>181</v>
      </c>
      <c r="B23" s="1106"/>
      <c r="C23" s="1106"/>
      <c r="D23" s="1107"/>
      <c r="E23" s="385">
        <v>7619</v>
      </c>
      <c r="F23" s="1099">
        <f>SUM(F12+F19)</f>
        <v>0</v>
      </c>
      <c r="G23" s="1100"/>
      <c r="H23" s="385">
        <v>7642</v>
      </c>
      <c r="I23" s="1099">
        <f>SUM(I12+I19)</f>
        <v>0</v>
      </c>
      <c r="J23" s="1104"/>
      <c r="K23" s="385">
        <v>7665</v>
      </c>
      <c r="L23" s="1101">
        <f>SUM(L12+L19)</f>
        <v>0</v>
      </c>
      <c r="M23" s="1103"/>
      <c r="N23" s="385">
        <v>7688</v>
      </c>
      <c r="O23" s="1101">
        <f>O12+O19</f>
        <v>0</v>
      </c>
      <c r="P23" s="1102"/>
      <c r="R23" s="364"/>
      <c r="S23" s="364"/>
      <c r="T23" s="364"/>
      <c r="U23" s="364"/>
      <c r="V23" s="364"/>
      <c r="W23" s="364"/>
      <c r="X23" s="386"/>
    </row>
    <row r="24" spans="1:24" ht="56.25" customHeight="1" x14ac:dyDescent="0.2">
      <c r="A24" s="1137" t="str">
        <f>IF('Capital Expend Project Specific'!K1=J6,"","Please review.  The number of Projects reported in Section 13 must equal the number of projects reported on the Capital Expenditure Project Specific Tab: "&amp;TEXT('Capital Expend Project Specific'!K1,"00"))</f>
        <v/>
      </c>
      <c r="B24" s="1138"/>
      <c r="C24" s="1138"/>
      <c r="D24" s="1138"/>
      <c r="E24" s="1138"/>
      <c r="F24" s="1138"/>
      <c r="G24" s="1139" t="str">
        <f>IF('Capital Expend Project Specific'!P1&lt;&gt;J7,CONCATENATE("Please review. The total dollars for expenditures reported in Section 13 must equal the total dollars reported on the Capital Expenditure Project Specific Tab:$  "&amp;TEXT('Capital Expend Project Specific'!P1,"$0,000")),"")</f>
        <v/>
      </c>
      <c r="H24" s="1140"/>
      <c r="I24" s="1140"/>
      <c r="J24" s="1140"/>
      <c r="K24" s="1140"/>
      <c r="L24" s="1140"/>
      <c r="M24" s="1139" t="str">
        <f>IF(O23=J7,"","Please review.  The value for 7688 in Section 14 must equal the value of code 7596 in Section 13.  "&amp;TEXT(J7,"$0,000") )</f>
        <v/>
      </c>
      <c r="N24" s="1141"/>
      <c r="O24" s="1141"/>
      <c r="P24" s="1141"/>
      <c r="R24" s="364"/>
      <c r="S24" s="364"/>
      <c r="T24" s="364"/>
      <c r="U24" s="364"/>
      <c r="V24" s="364"/>
      <c r="W24" s="364"/>
    </row>
    <row r="25" spans="1:24" ht="21" customHeight="1" x14ac:dyDescent="0.2">
      <c r="A25" s="1142" t="str">
        <f>IF(LEN(R25)&gt;0,"Section 13: Number of Projects","")</f>
        <v/>
      </c>
      <c r="B25" s="1143"/>
      <c r="C25" s="1143"/>
      <c r="D25" s="1143"/>
      <c r="E25" s="1143"/>
      <c r="F25" s="1143"/>
      <c r="G25" s="387"/>
      <c r="H25" s="387"/>
      <c r="I25" s="387"/>
      <c r="J25" s="1142" t="str">
        <f>IF(LEN(T25)&gt;0,"Section 13: Total dollars for expenditures","")</f>
        <v/>
      </c>
      <c r="K25" s="1143"/>
      <c r="L25" s="1143"/>
      <c r="M25" s="1143"/>
      <c r="N25" s="1143"/>
      <c r="O25" s="388"/>
      <c r="P25" s="388"/>
      <c r="R25" s="389" t="str">
        <f>IF(LEN(A24)&gt;0,"X","")</f>
        <v/>
      </c>
      <c r="S25" s="364"/>
      <c r="T25" s="389" t="str">
        <f>IF(OR(LEN(G24)&gt;0,LEN(M24)&gt;0),"X","")</f>
        <v/>
      </c>
      <c r="U25" s="364"/>
      <c r="V25" s="364"/>
      <c r="W25" s="364"/>
    </row>
    <row r="26" spans="1:24" ht="45" customHeight="1" x14ac:dyDescent="0.2">
      <c r="A26" s="390"/>
      <c r="B26" s="390"/>
      <c r="C26" s="390"/>
      <c r="D26" s="390"/>
      <c r="E26" s="1144" t="str">
        <f>IF(LEN(K5)&gt;0,"","Capital Expenditure Project Specific Tab
Please supply information on each project")</f>
        <v>Capital Expenditure Project Specific Tab
Please supply information on each project</v>
      </c>
      <c r="F26" s="1145"/>
      <c r="G26" s="1145"/>
      <c r="H26" s="1145"/>
      <c r="I26" s="1145"/>
      <c r="J26" s="1145"/>
      <c r="K26" s="1145"/>
      <c r="L26" s="1145"/>
      <c r="M26" s="1146" t="str">
        <f>IF(AND(R25&lt;&gt;"X",T25&lt;&gt;"X",'Capital Expend Project Specific'!AH14&gt;0),"Please go to the Capital Expend Project Specific tab and provide required information","")</f>
        <v/>
      </c>
      <c r="N26" s="1146"/>
      <c r="O26" s="1146"/>
      <c r="P26" s="1146"/>
      <c r="R26" s="364"/>
      <c r="S26" s="364"/>
      <c r="T26" s="364"/>
      <c r="U26" s="364"/>
      <c r="V26" s="364"/>
      <c r="W26" s="364"/>
    </row>
    <row r="27" spans="1:24" ht="45" customHeight="1" x14ac:dyDescent="0.2">
      <c r="A27" s="390"/>
      <c r="B27" s="390"/>
      <c r="C27" s="390"/>
      <c r="D27" s="390"/>
      <c r="E27" s="391"/>
      <c r="F27" s="363"/>
      <c r="G27" s="387"/>
      <c r="H27" s="387"/>
      <c r="I27" s="387"/>
      <c r="J27" s="387"/>
      <c r="K27" s="387"/>
      <c r="L27" s="392"/>
      <c r="M27" s="388"/>
      <c r="N27" s="388"/>
      <c r="O27" s="388"/>
      <c r="P27" s="388"/>
      <c r="R27" s="364"/>
      <c r="S27" s="364"/>
      <c r="T27" s="364"/>
      <c r="U27" s="364"/>
      <c r="V27" s="364"/>
      <c r="W27" s="364"/>
    </row>
    <row r="28" spans="1:24" ht="24" customHeight="1" x14ac:dyDescent="0.2">
      <c r="A28" s="393"/>
      <c r="B28" s="393"/>
      <c r="C28" s="393"/>
      <c r="D28" s="393"/>
      <c r="E28" s="394"/>
      <c r="F28" s="192"/>
      <c r="G28" s="395"/>
      <c r="H28" s="395"/>
      <c r="I28" s="395"/>
      <c r="J28" s="395"/>
      <c r="K28" s="395"/>
      <c r="L28" s="1134"/>
      <c r="M28" s="737"/>
      <c r="N28" s="737"/>
      <c r="O28" s="737"/>
      <c r="R28" s="364"/>
      <c r="S28" s="364"/>
      <c r="T28" s="364"/>
      <c r="U28" s="364"/>
      <c r="V28" s="364"/>
      <c r="W28" s="364"/>
    </row>
    <row r="29" spans="1:24" ht="16.5" customHeight="1" x14ac:dyDescent="0.2">
      <c r="A29" s="1135"/>
      <c r="B29" s="1135"/>
      <c r="C29" s="1135"/>
      <c r="D29" s="1135"/>
      <c r="E29" s="1135"/>
      <c r="F29" s="1135"/>
      <c r="G29" s="1135"/>
      <c r="R29" s="364"/>
      <c r="S29" s="364"/>
      <c r="T29" s="364"/>
      <c r="U29" s="364"/>
      <c r="V29" s="364"/>
      <c r="W29" s="364"/>
    </row>
    <row r="30" spans="1:24" ht="15.75" customHeight="1" x14ac:dyDescent="0.2">
      <c r="A30" s="1136"/>
      <c r="B30" s="1136"/>
      <c r="C30" s="1136"/>
      <c r="D30" s="1136"/>
      <c r="E30" s="1136"/>
      <c r="F30" s="1136"/>
      <c r="G30" s="1136"/>
      <c r="R30" s="364"/>
      <c r="S30" s="364"/>
      <c r="T30" s="364"/>
      <c r="U30" s="364"/>
      <c r="V30" s="364"/>
      <c r="W30" s="364"/>
    </row>
    <row r="31" spans="1:24" ht="30" customHeight="1" x14ac:dyDescent="0.2">
      <c r="R31" s="364"/>
      <c r="S31" s="364"/>
      <c r="T31" s="364"/>
      <c r="U31" s="364"/>
      <c r="V31" s="364"/>
      <c r="W31" s="364"/>
    </row>
    <row r="32" spans="1:24" ht="30" customHeight="1" x14ac:dyDescent="0.2">
      <c r="R32" s="364"/>
      <c r="S32" s="364"/>
      <c r="T32" s="364"/>
      <c r="U32" s="364"/>
      <c r="V32" s="364"/>
      <c r="W32" s="364"/>
    </row>
    <row r="33" spans="18:23" ht="30" customHeight="1" x14ac:dyDescent="0.2">
      <c r="R33" s="364"/>
      <c r="S33" s="364"/>
      <c r="T33" s="364"/>
      <c r="U33" s="364"/>
      <c r="V33" s="364"/>
      <c r="W33" s="364"/>
    </row>
  </sheetData>
  <sheetProtection sheet="1"/>
  <mergeCells count="91">
    <mergeCell ref="L28:O28"/>
    <mergeCell ref="A29:G30"/>
    <mergeCell ref="A24:F24"/>
    <mergeCell ref="G24:L24"/>
    <mergeCell ref="M24:P24"/>
    <mergeCell ref="A25:F25"/>
    <mergeCell ref="J25:N25"/>
    <mergeCell ref="E26:L26"/>
    <mergeCell ref="M26:P26"/>
    <mergeCell ref="A1:O1"/>
    <mergeCell ref="A3:K3"/>
    <mergeCell ref="A12:D12"/>
    <mergeCell ref="O12:P12"/>
    <mergeCell ref="F12:G12"/>
    <mergeCell ref="I12:J12"/>
    <mergeCell ref="L12:M12"/>
    <mergeCell ref="B6:I6"/>
    <mergeCell ref="J6:K6"/>
    <mergeCell ref="B4:I5"/>
    <mergeCell ref="L2:N2"/>
    <mergeCell ref="J2:K2"/>
    <mergeCell ref="A23:D23"/>
    <mergeCell ref="F22:G22"/>
    <mergeCell ref="F21:G21"/>
    <mergeCell ref="F15:G15"/>
    <mergeCell ref="C16:D16"/>
    <mergeCell ref="C17:D17"/>
    <mergeCell ref="C15:D15"/>
    <mergeCell ref="B22:D22"/>
    <mergeCell ref="B18:D18"/>
    <mergeCell ref="F18:G18"/>
    <mergeCell ref="O14:P14"/>
    <mergeCell ref="I16:J16"/>
    <mergeCell ref="L16:M16"/>
    <mergeCell ref="O16:P16"/>
    <mergeCell ref="F23:G23"/>
    <mergeCell ref="O23:P23"/>
    <mergeCell ref="L23:M23"/>
    <mergeCell ref="O21:P21"/>
    <mergeCell ref="L22:M22"/>
    <mergeCell ref="O22:P22"/>
    <mergeCell ref="I23:J23"/>
    <mergeCell ref="L21:M21"/>
    <mergeCell ref="I22:J22"/>
    <mergeCell ref="I21:J21"/>
    <mergeCell ref="O20:P20"/>
    <mergeCell ref="F19:G19"/>
    <mergeCell ref="O19:P19"/>
    <mergeCell ref="B21:D21"/>
    <mergeCell ref="F20:G20"/>
    <mergeCell ref="I20:J20"/>
    <mergeCell ref="L20:M20"/>
    <mergeCell ref="B20:D20"/>
    <mergeCell ref="I18:J18"/>
    <mergeCell ref="A19:D19"/>
    <mergeCell ref="L14:M14"/>
    <mergeCell ref="L13:M13"/>
    <mergeCell ref="F16:G16"/>
    <mergeCell ref="L18:M18"/>
    <mergeCell ref="C14:D14"/>
    <mergeCell ref="I19:J19"/>
    <mergeCell ref="L19:M19"/>
    <mergeCell ref="U5:W5"/>
    <mergeCell ref="J7:K7"/>
    <mergeCell ref="O15:P15"/>
    <mergeCell ref="O18:P18"/>
    <mergeCell ref="O17:P17"/>
    <mergeCell ref="I15:J15"/>
    <mergeCell ref="L15:M15"/>
    <mergeCell ref="L5:O5"/>
    <mergeCell ref="B7:I7"/>
    <mergeCell ref="H8:P8"/>
    <mergeCell ref="F14:G14"/>
    <mergeCell ref="I14:J14"/>
    <mergeCell ref="F17:G17"/>
    <mergeCell ref="I17:J17"/>
    <mergeCell ref="L17:M17"/>
    <mergeCell ref="I13:J13"/>
    <mergeCell ref="O13:P13"/>
    <mergeCell ref="B13:D13"/>
    <mergeCell ref="F13:G13"/>
    <mergeCell ref="A2:I2"/>
    <mergeCell ref="A10:P10"/>
    <mergeCell ref="A4:A5"/>
    <mergeCell ref="O9:P9"/>
    <mergeCell ref="F11:G11"/>
    <mergeCell ref="I11:J11"/>
    <mergeCell ref="L11:M11"/>
    <mergeCell ref="O11:P11"/>
    <mergeCell ref="A9:K9"/>
    <mergeCell ref="L9:N9"/>
  </mergeCells>
  <phoneticPr fontId="6" type="noConversion"/>
  <conditionalFormatting sqref="I23:J23 F23:G23 F19:G19 I19:J19 L19:M19 L23:M23 I12:J13 F12:G13 L12:M13 O12:P12">
    <cfRule type="expression" dxfId="58" priority="1" stopIfTrue="1">
      <formula>IF(ISBLANK($M$822),FALSE,TRUE)</formula>
    </cfRule>
  </conditionalFormatting>
  <conditionalFormatting sqref="F20:G22 F14:G18 J6:K7 I14:J18 L14:M18 I20:J22 L20:M22">
    <cfRule type="expression" dxfId="57" priority="2" stopIfTrue="1">
      <formula>IF(ISBLANK($K$5),FALSE,TRUE)</formula>
    </cfRule>
  </conditionalFormatting>
  <conditionalFormatting sqref="A29:G30">
    <cfRule type="expression" dxfId="56" priority="3" stopIfTrue="1">
      <formula>IF(ISBLANK($K$5),FALSE,TRUE)</formula>
    </cfRule>
  </conditionalFormatting>
  <hyperlinks>
    <hyperlink ref="B4:I5" location="def_cap_exp" display="Did your Facility have any Major Capital Expenditure Commitments in FY 2007 that were over $1 million dollars each?"/>
    <hyperlink ref="H8:P8" location="cap_exp_contact" display="cap_exp_contact"/>
    <hyperlink ref="A25:F25" location="code_7595" display="code_7595"/>
    <hyperlink ref="J25:N25" location="code_7596" display="code_7596"/>
    <hyperlink ref="E26:L26" location="'Capital Expend Project Specific'!A1" display="'Capital Expend Project Specific'!A1"/>
    <hyperlink ref="L9:N9" location="text_14" display="Document Explanations if needed"/>
    <hyperlink ref="L2:N2" location="text_13" display="Document Explanations if needed"/>
  </hyperlinks>
  <printOptions horizontalCentered="1"/>
  <pageMargins left="0.75" right="0.75" top="1" bottom="1" header="0.5" footer="0.5"/>
  <pageSetup scale="73"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4"/>
  </sheetPr>
  <dimension ref="A1:BD977"/>
  <sheetViews>
    <sheetView zoomScaleNormal="100" workbookViewId="0"/>
  </sheetViews>
  <sheetFormatPr defaultColWidth="7.85546875" defaultRowHeight="26.25" customHeight="1" x14ac:dyDescent="0.2"/>
  <cols>
    <col min="1" max="1" width="8" style="291" bestFit="1" customWidth="1"/>
    <col min="2" max="14" width="7.85546875" style="291"/>
    <col min="15" max="15" width="8.42578125" style="291" bestFit="1" customWidth="1"/>
    <col min="16" max="17" width="7.85546875" style="291"/>
    <col min="18" max="18" width="11.42578125" style="291" customWidth="1"/>
    <col min="19" max="26" width="11.42578125" style="291" hidden="1" customWidth="1"/>
    <col min="27" max="27" width="11.42578125" style="213" hidden="1" customWidth="1"/>
    <col min="28" max="56" width="11.42578125" style="291" hidden="1" customWidth="1"/>
    <col min="57" max="57" width="11.42578125" style="291" customWidth="1"/>
    <col min="58" max="90" width="7.85546875" style="291" customWidth="1"/>
    <col min="91" max="16384" width="7.85546875" style="291"/>
  </cols>
  <sheetData>
    <row r="1" spans="1:56" ht="26.25" customHeight="1" thickBot="1" x14ac:dyDescent="0.25">
      <c r="A1" s="396" t="e">
        <f>CONCATENATE('Demog Contact'!D$5," ",'Demog Contact'!D$6)</f>
        <v>#N/A</v>
      </c>
      <c r="B1" s="397"/>
      <c r="C1" s="397"/>
      <c r="D1" s="397"/>
      <c r="E1" s="397"/>
      <c r="F1" s="397"/>
      <c r="G1" s="397"/>
      <c r="H1" s="398"/>
      <c r="I1" s="397" t="s">
        <v>201</v>
      </c>
      <c r="J1" s="397"/>
      <c r="K1" s="399">
        <f>AE14</f>
        <v>0</v>
      </c>
      <c r="L1" s="397" t="s">
        <v>202</v>
      </c>
      <c r="M1" s="397"/>
      <c r="N1" s="397"/>
      <c r="O1" s="400"/>
      <c r="P1" s="1281">
        <f>AJ14</f>
        <v>0</v>
      </c>
      <c r="Q1" s="1282"/>
      <c r="R1" s="401"/>
      <c r="S1" s="402" t="s">
        <v>587</v>
      </c>
      <c r="T1" s="403"/>
      <c r="U1" s="403"/>
      <c r="V1" s="403"/>
      <c r="W1" s="403"/>
      <c r="X1" s="403"/>
      <c r="Y1" s="403"/>
      <c r="Z1" s="401"/>
      <c r="AA1" s="401"/>
      <c r="AB1" s="127"/>
      <c r="AC1" s="127" t="s">
        <v>67</v>
      </c>
      <c r="AD1" s="127" t="s">
        <v>257</v>
      </c>
      <c r="AE1" s="127" t="s">
        <v>184</v>
      </c>
      <c r="AF1" s="127" t="s">
        <v>185</v>
      </c>
      <c r="AG1" s="127" t="s">
        <v>186</v>
      </c>
      <c r="AH1" s="127" t="s">
        <v>187</v>
      </c>
      <c r="AI1" s="127" t="s">
        <v>188</v>
      </c>
      <c r="AJ1" s="127" t="s">
        <v>189</v>
      </c>
      <c r="AK1" s="127" t="s">
        <v>190</v>
      </c>
      <c r="AL1" s="127" t="s">
        <v>191</v>
      </c>
      <c r="AM1" s="127" t="s">
        <v>192</v>
      </c>
      <c r="AN1" s="127" t="s">
        <v>193</v>
      </c>
      <c r="AO1" s="127" t="s">
        <v>194</v>
      </c>
      <c r="AP1" s="127" t="s">
        <v>195</v>
      </c>
      <c r="AQ1" s="291" t="s">
        <v>588</v>
      </c>
      <c r="AR1" s="291" t="s">
        <v>589</v>
      </c>
      <c r="AS1" s="291" t="s">
        <v>590</v>
      </c>
      <c r="AT1" s="291" t="s">
        <v>591</v>
      </c>
      <c r="AU1" s="291" t="s">
        <v>592</v>
      </c>
      <c r="AV1" s="291" t="s">
        <v>593</v>
      </c>
      <c r="AW1" s="291" t="s">
        <v>594</v>
      </c>
      <c r="AX1" s="291" t="s">
        <v>595</v>
      </c>
      <c r="AZ1" s="207"/>
      <c r="BA1" s="1147" t="s">
        <v>596</v>
      </c>
      <c r="BB1" s="1147"/>
      <c r="BC1" s="1147"/>
    </row>
    <row r="2" spans="1:56" ht="26.25" customHeight="1" x14ac:dyDescent="0.25">
      <c r="A2" s="1008" t="s">
        <v>597</v>
      </c>
      <c r="B2" s="1283"/>
      <c r="C2" s="1283"/>
      <c r="D2" s="1283"/>
      <c r="E2" s="1283"/>
      <c r="F2" s="1283"/>
      <c r="G2" s="1283"/>
      <c r="H2" s="1283"/>
      <c r="I2" s="1284" t="s">
        <v>284</v>
      </c>
      <c r="J2" s="1284"/>
      <c r="K2" s="1284"/>
      <c r="L2" s="1284"/>
      <c r="M2" s="1284"/>
      <c r="N2" s="1261" t="str">
        <f>CONCATENATE('Demog Contact'!$N$1," Report Year")</f>
        <v>2019 Report Year</v>
      </c>
      <c r="O2" s="1262"/>
      <c r="P2" s="1262"/>
      <c r="Q2" s="1285"/>
      <c r="R2" s="404"/>
      <c r="S2" s="404"/>
      <c r="T2" s="404"/>
      <c r="U2" s="404"/>
      <c r="V2" s="404"/>
      <c r="W2" s="404"/>
      <c r="X2" s="404"/>
      <c r="Y2" s="404"/>
      <c r="Z2" s="1286" t="s">
        <v>598</v>
      </c>
      <c r="AA2" s="134"/>
      <c r="AB2" s="405">
        <f t="shared" ref="AB2:AB13" si="0">start</f>
        <v>0</v>
      </c>
      <c r="AC2" s="405">
        <f>'Demog Contact'!$N$1</f>
        <v>2019</v>
      </c>
      <c r="AD2" s="405">
        <v>20</v>
      </c>
      <c r="AE2" s="406" t="str">
        <f>IF(OR(NOT(ISBLANK(E11)),NOT(ISBLANK(A14))),1,"")</f>
        <v/>
      </c>
      <c r="AF2" s="405" t="str">
        <f>S8</f>
        <v/>
      </c>
      <c r="AG2" s="405" t="str">
        <f>S9</f>
        <v/>
      </c>
      <c r="AH2" s="405" t="s">
        <v>54</v>
      </c>
      <c r="AI2" s="593" t="str">
        <f>S10</f>
        <v/>
      </c>
      <c r="AJ2" s="594" t="str">
        <f>S11</f>
        <v/>
      </c>
      <c r="AK2" s="596" t="str">
        <f>S12</f>
        <v/>
      </c>
      <c r="AL2" s="405" t="str">
        <f>S13</f>
        <v/>
      </c>
      <c r="AM2" s="405" t="str">
        <f>S14</f>
        <v/>
      </c>
      <c r="AN2" s="405" t="str">
        <f>S35</f>
        <v/>
      </c>
      <c r="AO2" s="405" t="str">
        <f>S30</f>
        <v/>
      </c>
      <c r="AP2" s="405" t="str">
        <f>S45</f>
        <v/>
      </c>
      <c r="AQ2" s="407" t="str">
        <f>S7</f>
        <v/>
      </c>
      <c r="AR2" s="407" t="str">
        <f>S26</f>
        <v/>
      </c>
      <c r="AS2" s="407" t="str">
        <f>S38</f>
        <v/>
      </c>
      <c r="AT2" s="407" t="str">
        <f>S41</f>
        <v/>
      </c>
      <c r="AU2" s="407" t="str">
        <f>S15</f>
        <v/>
      </c>
      <c r="AV2" s="407" t="str">
        <f>S16</f>
        <v/>
      </c>
      <c r="AW2" s="407" t="str">
        <f>S17</f>
        <v/>
      </c>
      <c r="AX2" s="407" t="str">
        <f>S18</f>
        <v/>
      </c>
      <c r="BA2" s="291" t="s">
        <v>599</v>
      </c>
      <c r="BB2" s="291" t="s">
        <v>600</v>
      </c>
      <c r="BC2" s="291" t="s">
        <v>601</v>
      </c>
    </row>
    <row r="3" spans="1:56" ht="26.25" customHeight="1" x14ac:dyDescent="0.25">
      <c r="A3" s="1289" t="s">
        <v>602</v>
      </c>
      <c r="B3" s="1290"/>
      <c r="C3" s="1290"/>
      <c r="D3" s="1290"/>
      <c r="E3" s="1290"/>
      <c r="F3" s="1290"/>
      <c r="G3" s="1290"/>
      <c r="H3" s="1290"/>
      <c r="I3" s="1290"/>
      <c r="J3" s="1290"/>
      <c r="K3" s="1290"/>
      <c r="L3" s="1290"/>
      <c r="M3" s="1290"/>
      <c r="N3" s="1290"/>
      <c r="O3" s="1290"/>
      <c r="P3" s="1290"/>
      <c r="Q3" s="1291"/>
      <c r="R3" s="408"/>
      <c r="S3" s="409" t="s">
        <v>603</v>
      </c>
      <c r="T3" s="410"/>
      <c r="V3" s="408"/>
      <c r="W3" s="408"/>
      <c r="X3" s="408"/>
      <c r="Y3" s="408"/>
      <c r="Z3" s="1287"/>
      <c r="AA3" s="134"/>
      <c r="AB3" s="405">
        <f t="shared" si="0"/>
        <v>0</v>
      </c>
      <c r="AC3" s="405">
        <f>'Demog Contact'!$N$1</f>
        <v>2019</v>
      </c>
      <c r="AD3" s="405">
        <v>20</v>
      </c>
      <c r="AE3" s="406" t="str">
        <f>IF(OR(NOT(ISBLANK(E54)),NOT(ISBLANK(A57))),2,"")</f>
        <v/>
      </c>
      <c r="AF3" s="405" t="str">
        <f>S51</f>
        <v/>
      </c>
      <c r="AG3" s="405" t="str">
        <f>S52</f>
        <v/>
      </c>
      <c r="AH3" s="405" t="s">
        <v>54</v>
      </c>
      <c r="AI3" s="593" t="str">
        <f>S53</f>
        <v/>
      </c>
      <c r="AJ3" s="595" t="str">
        <f>S54</f>
        <v/>
      </c>
      <c r="AK3" s="597" t="str">
        <f>S55</f>
        <v/>
      </c>
      <c r="AL3" s="411" t="str">
        <f>S56</f>
        <v/>
      </c>
      <c r="AM3" s="411" t="str">
        <f>S57</f>
        <v/>
      </c>
      <c r="AN3" s="411" t="str">
        <f>S78</f>
        <v/>
      </c>
      <c r="AO3" s="411" t="str">
        <f>S73</f>
        <v/>
      </c>
      <c r="AP3" s="411" t="str">
        <f>S88</f>
        <v/>
      </c>
      <c r="AQ3" s="411" t="str">
        <f>S50</f>
        <v/>
      </c>
      <c r="AR3" s="411" t="str">
        <f>S69</f>
        <v/>
      </c>
      <c r="AS3" s="411" t="str">
        <f>S81</f>
        <v/>
      </c>
      <c r="AT3" s="411" t="str">
        <f>S84</f>
        <v/>
      </c>
      <c r="AU3" s="411" t="str">
        <f>S58</f>
        <v/>
      </c>
      <c r="AV3" s="411" t="str">
        <f>S59</f>
        <v/>
      </c>
      <c r="AW3" s="411" t="str">
        <f>S60</f>
        <v/>
      </c>
      <c r="AX3" s="407" t="str">
        <f>S61</f>
        <v/>
      </c>
      <c r="AZ3" s="213"/>
      <c r="BA3" s="412" t="str">
        <f t="shared" ref="BA3:BA66" si="1">IF(BC3="","",$O$6)</f>
        <v/>
      </c>
      <c r="BB3" s="412" t="str">
        <f t="shared" ref="BB3:BB11" si="2">IF(BC3="","",$Q$6)</f>
        <v/>
      </c>
      <c r="BC3" s="412" t="str">
        <f>S21</f>
        <v/>
      </c>
      <c r="BD3" s="207" t="s">
        <v>604</v>
      </c>
    </row>
    <row r="4" spans="1:56" ht="26.25" customHeight="1" x14ac:dyDescent="0.25">
      <c r="A4" s="1292"/>
      <c r="B4" s="1293"/>
      <c r="C4" s="1293"/>
      <c r="D4" s="1293"/>
      <c r="E4" s="1293"/>
      <c r="F4" s="1293"/>
      <c r="G4" s="1293"/>
      <c r="H4" s="1293"/>
      <c r="I4" s="1293"/>
      <c r="J4" s="1293"/>
      <c r="K4" s="1293"/>
      <c r="L4" s="1293"/>
      <c r="M4" s="1293"/>
      <c r="N4" s="1294"/>
      <c r="O4" s="1294"/>
      <c r="P4" s="1294"/>
      <c r="Q4" s="1295"/>
      <c r="R4" s="408"/>
      <c r="S4" s="413" t="s">
        <v>605</v>
      </c>
      <c r="T4" s="414"/>
      <c r="U4" s="414"/>
      <c r="V4" s="415" t="s">
        <v>606</v>
      </c>
      <c r="W4" s="416"/>
      <c r="X4" s="417"/>
      <c r="Y4" s="408"/>
      <c r="Z4" s="1287"/>
      <c r="AA4" s="471"/>
      <c r="AB4" s="405">
        <f t="shared" si="0"/>
        <v>0</v>
      </c>
      <c r="AC4" s="405">
        <f>'Demog Contact'!$N$1</f>
        <v>2019</v>
      </c>
      <c r="AD4" s="405">
        <v>20</v>
      </c>
      <c r="AE4" s="406" t="str">
        <f>IF(OR(NOT(ISBLANK(E97)),NOT(ISBLANK(A100))),3,"")</f>
        <v/>
      </c>
      <c r="AF4" s="405" t="str">
        <f>S94</f>
        <v/>
      </c>
      <c r="AG4" s="405" t="str">
        <f>S95</f>
        <v/>
      </c>
      <c r="AH4" s="405" t="s">
        <v>54</v>
      </c>
      <c r="AI4" s="593" t="str">
        <f>S96</f>
        <v/>
      </c>
      <c r="AJ4" s="595" t="str">
        <f>S97</f>
        <v/>
      </c>
      <c r="AK4" s="597" t="str">
        <f>S98</f>
        <v/>
      </c>
      <c r="AL4" s="411" t="str">
        <f>S99</f>
        <v/>
      </c>
      <c r="AM4" s="411" t="str">
        <f>S100</f>
        <v/>
      </c>
      <c r="AN4" s="411" t="str">
        <f>S121</f>
        <v/>
      </c>
      <c r="AO4" s="411" t="str">
        <f>S116</f>
        <v/>
      </c>
      <c r="AP4" s="411" t="str">
        <f>S131</f>
        <v/>
      </c>
      <c r="AQ4" s="411" t="str">
        <f>S93</f>
        <v/>
      </c>
      <c r="AR4" s="411" t="str">
        <f>S112</f>
        <v/>
      </c>
      <c r="AS4" s="411" t="str">
        <f>S124</f>
        <v/>
      </c>
      <c r="AT4" s="411" t="str">
        <f>S127</f>
        <v/>
      </c>
      <c r="AU4" s="411" t="str">
        <f>S101</f>
        <v/>
      </c>
      <c r="AV4" s="411" t="str">
        <f>S102</f>
        <v/>
      </c>
      <c r="AW4" s="411" t="str">
        <f>S103</f>
        <v/>
      </c>
      <c r="AX4" s="407" t="str">
        <f>S104</f>
        <v/>
      </c>
      <c r="AZ4" s="213"/>
      <c r="BA4" s="412" t="str">
        <f t="shared" si="1"/>
        <v/>
      </c>
      <c r="BB4" s="412" t="str">
        <f t="shared" si="2"/>
        <v/>
      </c>
      <c r="BC4" s="412" t="str">
        <f>T21</f>
        <v/>
      </c>
      <c r="BD4" s="213"/>
    </row>
    <row r="5" spans="1:56" ht="27" customHeight="1" thickBot="1" x14ac:dyDescent="0.3">
      <c r="A5" s="1259" t="s">
        <v>82</v>
      </c>
      <c r="B5" s="1260"/>
      <c r="C5" s="1260"/>
      <c r="D5" s="1260"/>
      <c r="E5" s="1260"/>
      <c r="F5" s="1260"/>
      <c r="G5" s="1260"/>
      <c r="H5" s="1260"/>
      <c r="I5" s="1260"/>
      <c r="J5" s="1260"/>
      <c r="K5" s="1260"/>
      <c r="L5" s="1260"/>
      <c r="M5" s="1260"/>
      <c r="N5" s="1261" t="str">
        <f>CONCATENATE('Demog Contact'!$N$1," Report Year")</f>
        <v>2019 Report Year</v>
      </c>
      <c r="O5" s="1262"/>
      <c r="P5" s="1262"/>
      <c r="Q5" s="1285"/>
      <c r="R5" s="418"/>
      <c r="S5" s="419" t="s">
        <v>607</v>
      </c>
      <c r="T5" s="420"/>
      <c r="U5" s="420"/>
      <c r="V5" s="421" t="s">
        <v>608</v>
      </c>
      <c r="W5" s="418"/>
      <c r="X5" s="418"/>
      <c r="Y5" s="418"/>
      <c r="Z5" s="1287"/>
      <c r="AA5" s="134"/>
      <c r="AB5" s="405">
        <f t="shared" si="0"/>
        <v>0</v>
      </c>
      <c r="AC5" s="405">
        <f>'Demog Contact'!$N$1</f>
        <v>2019</v>
      </c>
      <c r="AD5" s="405">
        <v>20</v>
      </c>
      <c r="AE5" s="406" t="str">
        <f>IF(OR(NOT(ISBLANK(E140)),NOT(ISBLANK(A143))),4,"")</f>
        <v/>
      </c>
      <c r="AF5" s="405" t="str">
        <f>S137</f>
        <v/>
      </c>
      <c r="AG5" s="405" t="str">
        <f>S138</f>
        <v/>
      </c>
      <c r="AH5" s="405" t="s">
        <v>54</v>
      </c>
      <c r="AI5" s="593" t="str">
        <f>S139</f>
        <v/>
      </c>
      <c r="AJ5" s="595" t="str">
        <f>S140</f>
        <v/>
      </c>
      <c r="AK5" s="597" t="str">
        <f>S141</f>
        <v/>
      </c>
      <c r="AL5" s="411" t="str">
        <f>S142</f>
        <v/>
      </c>
      <c r="AM5" s="411" t="str">
        <f>S143</f>
        <v/>
      </c>
      <c r="AN5" s="411" t="str">
        <f>S164</f>
        <v/>
      </c>
      <c r="AO5" s="411" t="str">
        <f>S159</f>
        <v/>
      </c>
      <c r="AP5" s="411" t="str">
        <f>S174</f>
        <v/>
      </c>
      <c r="AQ5" s="411" t="str">
        <f>S136</f>
        <v/>
      </c>
      <c r="AR5" s="411" t="str">
        <f>S155</f>
        <v/>
      </c>
      <c r="AS5" s="411" t="str">
        <f>S167</f>
        <v/>
      </c>
      <c r="AT5" s="411" t="str">
        <f>S170</f>
        <v/>
      </c>
      <c r="AU5" s="411" t="str">
        <f>S144</f>
        <v/>
      </c>
      <c r="AV5" s="411" t="str">
        <f>S145</f>
        <v/>
      </c>
      <c r="AW5" s="411" t="str">
        <f>S146</f>
        <v/>
      </c>
      <c r="AX5" s="407" t="str">
        <f>S147</f>
        <v/>
      </c>
      <c r="AZ5" s="213"/>
      <c r="BA5" s="412" t="str">
        <f t="shared" si="1"/>
        <v/>
      </c>
      <c r="BB5" s="412" t="str">
        <f t="shared" si="2"/>
        <v/>
      </c>
      <c r="BC5" s="412" t="str">
        <f>U21</f>
        <v/>
      </c>
      <c r="BD5" s="213"/>
    </row>
    <row r="6" spans="1:56" ht="24" customHeight="1" x14ac:dyDescent="0.25">
      <c r="A6" s="1246" t="e">
        <f>IF(AND(OR(ISNA(cap_exp_contact),TRIM(cap_exp_contact)=""),NOT(ISBLANK(code_7594))),"The Capital Expenditure Contact information has NOT been provided.  Please complete this information now.","")</f>
        <v>#N/A</v>
      </c>
      <c r="B6" s="1247"/>
      <c r="C6" s="1247"/>
      <c r="D6" s="1247"/>
      <c r="E6" s="1247"/>
      <c r="F6" s="1247"/>
      <c r="G6" s="1247"/>
      <c r="H6" s="1247"/>
      <c r="I6" s="1247"/>
      <c r="J6" s="1247"/>
      <c r="K6" s="1247"/>
      <c r="L6" s="1247"/>
      <c r="M6" s="1247"/>
      <c r="N6" s="422" t="s">
        <v>609</v>
      </c>
      <c r="O6" s="423" t="e">
        <f>VLOOKUP('Demog Contact'!$D$5,ID_list,99,FALSE)</f>
        <v>#N/A</v>
      </c>
      <c r="P6" s="424" t="s">
        <v>610</v>
      </c>
      <c r="Q6" s="425"/>
      <c r="R6" s="325"/>
      <c r="S6" s="325"/>
      <c r="T6" s="325"/>
      <c r="U6" s="325"/>
      <c r="V6" s="325"/>
      <c r="W6" s="325"/>
      <c r="X6" s="325"/>
      <c r="Y6" s="325"/>
      <c r="Z6" s="1287"/>
      <c r="AA6" s="134"/>
      <c r="AB6" s="405">
        <f t="shared" si="0"/>
        <v>0</v>
      </c>
      <c r="AC6" s="405">
        <f>'Demog Contact'!$N$1</f>
        <v>2019</v>
      </c>
      <c r="AD6" s="405">
        <v>20</v>
      </c>
      <c r="AE6" s="406" t="str">
        <f>IF(OR(NOT(ISBLANK(E183)),NOT(ISBLANK(A186))),5,"")</f>
        <v/>
      </c>
      <c r="AF6" s="405" t="str">
        <f>S180</f>
        <v/>
      </c>
      <c r="AG6" s="405" t="str">
        <f>S181</f>
        <v/>
      </c>
      <c r="AH6" s="405" t="s">
        <v>54</v>
      </c>
      <c r="AI6" s="593" t="str">
        <f>S182</f>
        <v/>
      </c>
      <c r="AJ6" s="595" t="str">
        <f>S183</f>
        <v/>
      </c>
      <c r="AK6" s="597" t="str">
        <f>S184</f>
        <v/>
      </c>
      <c r="AL6" s="411" t="str">
        <f>S185</f>
        <v/>
      </c>
      <c r="AM6" s="411" t="str">
        <f>S186</f>
        <v/>
      </c>
      <c r="AN6" s="411" t="str">
        <f>S207</f>
        <v/>
      </c>
      <c r="AO6" s="411" t="str">
        <f>S202</f>
        <v/>
      </c>
      <c r="AP6" s="411" t="str">
        <f>S217</f>
        <v/>
      </c>
      <c r="AQ6" s="411" t="str">
        <f>S179</f>
        <v/>
      </c>
      <c r="AR6" s="411" t="str">
        <f>S198</f>
        <v/>
      </c>
      <c r="AS6" s="411" t="str">
        <f>S210</f>
        <v/>
      </c>
      <c r="AT6" s="411" t="str">
        <f>S213</f>
        <v/>
      </c>
      <c r="AU6" s="411" t="str">
        <f>S187</f>
        <v/>
      </c>
      <c r="AV6" s="411" t="str">
        <f>S188</f>
        <v/>
      </c>
      <c r="AW6" s="411" t="str">
        <f>S189</f>
        <v/>
      </c>
      <c r="AX6" s="407" t="str">
        <f>S190</f>
        <v/>
      </c>
      <c r="AZ6" s="213"/>
      <c r="BA6" s="412" t="str">
        <f t="shared" si="1"/>
        <v/>
      </c>
      <c r="BB6" s="412" t="str">
        <f t="shared" si="2"/>
        <v/>
      </c>
      <c r="BC6" s="426" t="str">
        <f>V21</f>
        <v/>
      </c>
      <c r="BD6" s="213"/>
    </row>
    <row r="7" spans="1:56" ht="25.9" customHeight="1" thickBot="1" x14ac:dyDescent="0.3">
      <c r="A7" s="1248" t="s">
        <v>197</v>
      </c>
      <c r="B7" s="1249"/>
      <c r="C7" s="1249"/>
      <c r="D7" s="1249"/>
      <c r="E7" s="1250"/>
      <c r="F7" s="1251"/>
      <c r="G7" s="1251"/>
      <c r="H7" s="1251"/>
      <c r="I7" s="1251"/>
      <c r="J7" s="1251"/>
      <c r="K7" s="1251"/>
      <c r="L7" s="1252"/>
      <c r="M7" s="427"/>
      <c r="N7" s="1253" t="s">
        <v>611</v>
      </c>
      <c r="O7" s="1254"/>
      <c r="P7" s="1254"/>
      <c r="Q7" s="1255"/>
      <c r="R7" s="325"/>
      <c r="S7" s="428" t="str">
        <f>IF(ISBLANK(E7),"",E7)</f>
        <v/>
      </c>
      <c r="T7" s="154" t="s">
        <v>501</v>
      </c>
      <c r="U7" s="325"/>
      <c r="V7" s="325"/>
      <c r="W7" s="325"/>
      <c r="X7" s="325"/>
      <c r="Y7" s="325"/>
      <c r="Z7" s="1287"/>
      <c r="AA7" s="134"/>
      <c r="AB7" s="405">
        <f t="shared" si="0"/>
        <v>0</v>
      </c>
      <c r="AC7" s="405">
        <f>'Demog Contact'!$N$1</f>
        <v>2019</v>
      </c>
      <c r="AD7" s="405">
        <v>20</v>
      </c>
      <c r="AE7" s="406" t="str">
        <f>IF(OR(NOT(ISBLANK(E226)),NOT(ISBLANK(A229))),6,"")</f>
        <v/>
      </c>
      <c r="AF7" s="405" t="str">
        <f>S223</f>
        <v/>
      </c>
      <c r="AG7" s="405" t="str">
        <f>S224</f>
        <v/>
      </c>
      <c r="AH7" s="405" t="s">
        <v>54</v>
      </c>
      <c r="AI7" s="593" t="str">
        <f>S225</f>
        <v/>
      </c>
      <c r="AJ7" s="595" t="str">
        <f>S226</f>
        <v/>
      </c>
      <c r="AK7" s="597" t="str">
        <f>S227</f>
        <v/>
      </c>
      <c r="AL7" s="411" t="str">
        <f>S228</f>
        <v/>
      </c>
      <c r="AM7" s="411" t="str">
        <f>S229</f>
        <v/>
      </c>
      <c r="AN7" s="411" t="str">
        <f>S250</f>
        <v/>
      </c>
      <c r="AO7" s="411" t="str">
        <f>S245</f>
        <v/>
      </c>
      <c r="AP7" s="411" t="str">
        <f>S260</f>
        <v/>
      </c>
      <c r="AQ7" s="411" t="str">
        <f>S222</f>
        <v/>
      </c>
      <c r="AR7" s="411" t="str">
        <f>S241</f>
        <v/>
      </c>
      <c r="AS7" s="411" t="str">
        <f>S253</f>
        <v/>
      </c>
      <c r="AT7" s="411" t="str">
        <f>S256</f>
        <v/>
      </c>
      <c r="AU7" s="411" t="str">
        <f>S230</f>
        <v/>
      </c>
      <c r="AV7" s="411" t="str">
        <f>S231</f>
        <v/>
      </c>
      <c r="AW7" s="411" t="str">
        <f>S232</f>
        <v/>
      </c>
      <c r="AX7" s="407" t="str">
        <f>S233</f>
        <v/>
      </c>
      <c r="AZ7" s="213"/>
      <c r="BA7" s="412" t="str">
        <f t="shared" si="1"/>
        <v/>
      </c>
      <c r="BB7" s="412" t="str">
        <f t="shared" si="2"/>
        <v/>
      </c>
      <c r="BC7" s="426" t="str">
        <f>S23</f>
        <v/>
      </c>
    </row>
    <row r="8" spans="1:56" ht="25.9" customHeight="1" x14ac:dyDescent="0.25">
      <c r="A8" s="1256" t="s">
        <v>612</v>
      </c>
      <c r="B8" s="1257"/>
      <c r="C8" s="1257"/>
      <c r="D8" s="1258"/>
      <c r="E8" s="1250"/>
      <c r="F8" s="1251"/>
      <c r="G8" s="1251"/>
      <c r="H8" s="1251"/>
      <c r="I8" s="1251"/>
      <c r="J8" s="1251"/>
      <c r="K8" s="1251"/>
      <c r="L8" s="1252"/>
      <c r="M8" s="1237" t="str">
        <f>IF(AND(ISBLANK(E8),OR(NOT(ISBLANK(E9)),NOT(ISBLANK(E10)),NOT(ISBLANK(E11)),NOT(ISBLANK(I12)),NOT(ISBLANK(A14)))),"This information is required.","")</f>
        <v/>
      </c>
      <c r="N8" s="1238"/>
      <c r="O8" s="1238"/>
      <c r="P8" s="1238"/>
      <c r="Q8" s="429"/>
      <c r="R8" s="325"/>
      <c r="S8" s="428" t="str">
        <f>IF(ISBLANK(E8),"",E8)</f>
        <v/>
      </c>
      <c r="T8" s="154" t="s">
        <v>185</v>
      </c>
      <c r="U8" s="325"/>
      <c r="V8" s="325"/>
      <c r="W8" s="325"/>
      <c r="X8" s="325"/>
      <c r="Y8" s="325"/>
      <c r="Z8" s="1287"/>
      <c r="AA8" s="471"/>
      <c r="AB8" s="405">
        <f t="shared" si="0"/>
        <v>0</v>
      </c>
      <c r="AC8" s="405">
        <f>'Demog Contact'!$N$1</f>
        <v>2019</v>
      </c>
      <c r="AD8" s="405">
        <v>20</v>
      </c>
      <c r="AE8" s="406" t="str">
        <f>IF(OR(NOT(ISBLANK(E269)),NOT(ISBLANK(A272))),7,"")</f>
        <v/>
      </c>
      <c r="AF8" s="405" t="str">
        <f>S266</f>
        <v/>
      </c>
      <c r="AG8" s="405" t="str">
        <f>S267</f>
        <v/>
      </c>
      <c r="AH8" s="405" t="s">
        <v>54</v>
      </c>
      <c r="AI8" s="593" t="str">
        <f>S268</f>
        <v/>
      </c>
      <c r="AJ8" s="595" t="str">
        <f>S269</f>
        <v/>
      </c>
      <c r="AK8" s="597" t="str">
        <f>S270</f>
        <v/>
      </c>
      <c r="AL8" s="411" t="str">
        <f>S271</f>
        <v/>
      </c>
      <c r="AM8" s="411" t="str">
        <f>S272</f>
        <v/>
      </c>
      <c r="AN8" s="411" t="str">
        <f>S293</f>
        <v/>
      </c>
      <c r="AO8" s="411" t="str">
        <f>S288</f>
        <v/>
      </c>
      <c r="AP8" s="411" t="str">
        <f>S303</f>
        <v/>
      </c>
      <c r="AQ8" s="411" t="str">
        <f>S265</f>
        <v/>
      </c>
      <c r="AR8" s="411" t="str">
        <f>S284</f>
        <v/>
      </c>
      <c r="AS8" s="411" t="str">
        <f>S296</f>
        <v/>
      </c>
      <c r="AT8" s="411" t="str">
        <f>S299</f>
        <v/>
      </c>
      <c r="AU8" s="411" t="str">
        <f>S273</f>
        <v/>
      </c>
      <c r="AV8" s="411" t="str">
        <f>S274</f>
        <v/>
      </c>
      <c r="AW8" s="411" t="str">
        <f>S275</f>
        <v/>
      </c>
      <c r="AX8" s="407" t="str">
        <f>S276</f>
        <v/>
      </c>
      <c r="AZ8" s="213"/>
      <c r="BA8" s="412" t="str">
        <f t="shared" si="1"/>
        <v/>
      </c>
      <c r="BB8" s="412" t="str">
        <f t="shared" si="2"/>
        <v/>
      </c>
      <c r="BC8" s="426" t="str">
        <f>S24</f>
        <v/>
      </c>
      <c r="BD8" s="213"/>
    </row>
    <row r="9" spans="1:56" ht="25.9" customHeight="1" x14ac:dyDescent="0.25">
      <c r="A9" s="1222" t="s">
        <v>613</v>
      </c>
      <c r="B9" s="1223"/>
      <c r="C9" s="1223"/>
      <c r="D9" s="1224"/>
      <c r="E9" s="1250"/>
      <c r="F9" s="1251"/>
      <c r="G9" s="1251"/>
      <c r="H9" s="1251"/>
      <c r="I9" s="1251"/>
      <c r="J9" s="1251"/>
      <c r="K9" s="1251"/>
      <c r="L9" s="1252"/>
      <c r="M9" s="1237" t="str">
        <f>IF(AND(ISBLANK(E9),OR(NOT(ISBLANK(E8)),NOT(ISBLANK(E10)),NOT(ISBLANK(E11)),NOT(ISBLANK(I12)),NOT(ISBLANK(A14)))),"This information is required.","")</f>
        <v/>
      </c>
      <c r="N9" s="1238"/>
      <c r="O9" s="1238"/>
      <c r="P9" s="1238"/>
      <c r="Q9" s="429"/>
      <c r="R9" s="325"/>
      <c r="S9" s="428" t="str">
        <f>IF(ISBLANK(E9),"",E9)</f>
        <v/>
      </c>
      <c r="T9" s="154" t="s">
        <v>186</v>
      </c>
      <c r="U9" s="325"/>
      <c r="V9" s="325"/>
      <c r="W9" s="325"/>
      <c r="X9" s="325"/>
      <c r="Y9" s="325"/>
      <c r="Z9" s="1287"/>
      <c r="AA9" s="134"/>
      <c r="AB9" s="405">
        <f t="shared" si="0"/>
        <v>0</v>
      </c>
      <c r="AC9" s="405">
        <f>'Demog Contact'!$N$1</f>
        <v>2019</v>
      </c>
      <c r="AD9" s="405">
        <v>20</v>
      </c>
      <c r="AE9" s="406" t="str">
        <f>IF(OR(NOT(ISBLANK(E312)),NOT(ISBLANK(A315))),8,"")</f>
        <v/>
      </c>
      <c r="AF9" s="405" t="str">
        <f>S309</f>
        <v/>
      </c>
      <c r="AG9" s="405" t="str">
        <f>S310</f>
        <v/>
      </c>
      <c r="AH9" s="405" t="s">
        <v>54</v>
      </c>
      <c r="AI9" s="593" t="str">
        <f>S311</f>
        <v/>
      </c>
      <c r="AJ9" s="595" t="str">
        <f>S312</f>
        <v/>
      </c>
      <c r="AK9" s="597" t="str">
        <f>S313</f>
        <v/>
      </c>
      <c r="AL9" s="411" t="str">
        <f>S314</f>
        <v/>
      </c>
      <c r="AM9" s="411" t="str">
        <f>S315</f>
        <v/>
      </c>
      <c r="AN9" s="411" t="str">
        <f>S336</f>
        <v/>
      </c>
      <c r="AO9" s="411" t="str">
        <f>S331</f>
        <v/>
      </c>
      <c r="AP9" s="411" t="str">
        <f>S346</f>
        <v/>
      </c>
      <c r="AQ9" s="411" t="str">
        <f>S308</f>
        <v/>
      </c>
      <c r="AR9" s="411" t="str">
        <f>S327</f>
        <v/>
      </c>
      <c r="AS9" s="411" t="str">
        <f>S339</f>
        <v/>
      </c>
      <c r="AT9" s="411" t="str">
        <f>S342</f>
        <v/>
      </c>
      <c r="AU9" s="411" t="str">
        <f>S316</f>
        <v/>
      </c>
      <c r="AV9" s="411" t="str">
        <f>S317</f>
        <v/>
      </c>
      <c r="AW9" s="411" t="str">
        <f>S318</f>
        <v/>
      </c>
      <c r="AX9" s="407" t="str">
        <f>S319</f>
        <v/>
      </c>
      <c r="AZ9" s="213"/>
      <c r="BA9" s="412" t="str">
        <f t="shared" si="1"/>
        <v/>
      </c>
      <c r="BB9" s="412" t="str">
        <f t="shared" si="2"/>
        <v/>
      </c>
      <c r="BC9" s="426" t="str">
        <f>S25</f>
        <v/>
      </c>
      <c r="BD9" s="213"/>
    </row>
    <row r="10" spans="1:56" ht="25.9" customHeight="1" x14ac:dyDescent="0.25">
      <c r="A10" s="1239" t="s">
        <v>614</v>
      </c>
      <c r="B10" s="1240"/>
      <c r="C10" s="1240"/>
      <c r="D10" s="1241"/>
      <c r="E10" s="1296"/>
      <c r="F10" s="1297"/>
      <c r="G10" s="1244" t="s">
        <v>615</v>
      </c>
      <c r="H10" s="1244"/>
      <c r="I10" s="1244"/>
      <c r="J10" s="1244"/>
      <c r="K10" s="1244"/>
      <c r="L10" s="1244"/>
      <c r="M10" s="1245" t="str">
        <f>IF(AND(ISBLANK(E10),OR(NOT(ISBLANK(E8)),NOT(ISBLANK(E9)),NOT(ISBLANK(E11)),NOT(ISBLANK(I12)),NOT(ISBLANK(A14)))),"This information is required.","")</f>
        <v/>
      </c>
      <c r="N10" s="1089"/>
      <c r="O10" s="1089"/>
      <c r="P10" s="1089"/>
      <c r="Q10" s="430"/>
      <c r="R10" s="431"/>
      <c r="S10" s="432" t="str">
        <f>IF(ISBLANK(E10),"",E10)</f>
        <v/>
      </c>
      <c r="T10" s="433" t="s">
        <v>188</v>
      </c>
      <c r="U10" s="431"/>
      <c r="V10" s="431"/>
      <c r="W10" s="431"/>
      <c r="X10" s="431"/>
      <c r="Y10" s="431"/>
      <c r="Z10" s="1288"/>
      <c r="AA10" s="134"/>
      <c r="AB10" s="405">
        <f t="shared" si="0"/>
        <v>0</v>
      </c>
      <c r="AC10" s="405">
        <f>'Demog Contact'!$N$1</f>
        <v>2019</v>
      </c>
      <c r="AD10" s="405">
        <v>20</v>
      </c>
      <c r="AE10" s="406" t="str">
        <f>IF(OR(NOT(ISBLANK(E355)),NOT(ISBLANK(A358))),9,"")</f>
        <v/>
      </c>
      <c r="AF10" s="405" t="str">
        <f>S352</f>
        <v/>
      </c>
      <c r="AG10" s="405" t="str">
        <f>S353</f>
        <v/>
      </c>
      <c r="AH10" s="405" t="s">
        <v>54</v>
      </c>
      <c r="AI10" s="593" t="str">
        <f>S354</f>
        <v/>
      </c>
      <c r="AJ10" s="595" t="str">
        <f>S355</f>
        <v/>
      </c>
      <c r="AK10" s="597" t="str">
        <f>S356</f>
        <v/>
      </c>
      <c r="AL10" s="411" t="str">
        <f>S357</f>
        <v/>
      </c>
      <c r="AM10" s="411" t="str">
        <f>S358</f>
        <v/>
      </c>
      <c r="AN10" s="411" t="str">
        <f>S379</f>
        <v/>
      </c>
      <c r="AO10" s="411" t="str">
        <f>S374</f>
        <v/>
      </c>
      <c r="AP10" s="411" t="str">
        <f>S389</f>
        <v/>
      </c>
      <c r="AQ10" s="411" t="str">
        <f>S351</f>
        <v/>
      </c>
      <c r="AR10" s="411" t="str">
        <f>S370</f>
        <v/>
      </c>
      <c r="AS10" s="411" t="str">
        <f>S382</f>
        <v/>
      </c>
      <c r="AT10" s="411" t="str">
        <f>S385</f>
        <v/>
      </c>
      <c r="AU10" s="411" t="str">
        <f>S359</f>
        <v/>
      </c>
      <c r="AV10" s="411" t="str">
        <f>S360</f>
        <v/>
      </c>
      <c r="AW10" s="411" t="str">
        <f>S361</f>
        <v/>
      </c>
      <c r="AX10" s="407" t="str">
        <f>S362</f>
        <v/>
      </c>
      <c r="AZ10" s="213"/>
      <c r="BA10" s="412" t="str">
        <f t="shared" si="1"/>
        <v/>
      </c>
      <c r="BB10" s="412" t="str">
        <f t="shared" si="2"/>
        <v/>
      </c>
      <c r="BC10" s="426" t="str">
        <f>S33</f>
        <v/>
      </c>
      <c r="BD10" s="213"/>
    </row>
    <row r="11" spans="1:56" ht="25.9" customHeight="1" x14ac:dyDescent="0.25">
      <c r="A11" s="1222" t="s">
        <v>616</v>
      </c>
      <c r="B11" s="1223"/>
      <c r="C11" s="1223"/>
      <c r="D11" s="1224"/>
      <c r="E11" s="1225"/>
      <c r="F11" s="1226"/>
      <c r="G11" s="434"/>
      <c r="H11" s="435"/>
      <c r="I11" s="436"/>
      <c r="J11" s="431"/>
      <c r="K11" s="431"/>
      <c r="L11" s="431"/>
      <c r="M11" s="1089" t="str">
        <f>IF(AND(ISBLANK(E11),OR(NOT(ISBLANK(E8)),NOT(ISBLANK(E9)),NOT(ISBLANK(E10)),NOT(ISBLANK(I12)),NOT(ISBLANK(A14)))),"This information is required.","")</f>
        <v/>
      </c>
      <c r="N11" s="1089"/>
      <c r="O11" s="1089"/>
      <c r="P11" s="1089"/>
      <c r="Q11" s="430"/>
      <c r="R11" s="392"/>
      <c r="S11" s="437" t="str">
        <f>IF(ISBLANK(E11),"",E11)</f>
        <v/>
      </c>
      <c r="T11" s="438" t="s">
        <v>189</v>
      </c>
      <c r="U11" s="392"/>
      <c r="V11" s="392"/>
      <c r="W11" s="392"/>
      <c r="X11" s="392"/>
      <c r="Y11" s="392"/>
      <c r="Z11" s="392"/>
      <c r="AA11" s="134"/>
      <c r="AB11" s="405">
        <f t="shared" si="0"/>
        <v>0</v>
      </c>
      <c r="AC11" s="405">
        <f>'Demog Contact'!$N$1</f>
        <v>2019</v>
      </c>
      <c r="AD11" s="405">
        <v>20</v>
      </c>
      <c r="AE11" s="406" t="str">
        <f>IF(OR(NOT(ISBLANK(E398)),NOT(ISBLANK(A401))),10,"")</f>
        <v/>
      </c>
      <c r="AF11" s="405" t="str">
        <f>S395</f>
        <v/>
      </c>
      <c r="AG11" s="405" t="str">
        <f>S396</f>
        <v/>
      </c>
      <c r="AH11" s="405" t="s">
        <v>54</v>
      </c>
      <c r="AI11" s="593" t="str">
        <f>S397</f>
        <v/>
      </c>
      <c r="AJ11" s="595" t="str">
        <f>S398</f>
        <v/>
      </c>
      <c r="AK11" s="597" t="str">
        <f>S399</f>
        <v/>
      </c>
      <c r="AL11" s="411" t="str">
        <f>S400</f>
        <v/>
      </c>
      <c r="AM11" s="411" t="str">
        <f>S401</f>
        <v/>
      </c>
      <c r="AN11" s="411" t="str">
        <f>S422</f>
        <v/>
      </c>
      <c r="AO11" s="411" t="str">
        <f>S417</f>
        <v/>
      </c>
      <c r="AP11" s="411" t="str">
        <f>S432</f>
        <v/>
      </c>
      <c r="AQ11" s="411" t="str">
        <f>S394</f>
        <v/>
      </c>
      <c r="AR11" s="411" t="str">
        <f>S413</f>
        <v/>
      </c>
      <c r="AS11" s="411" t="str">
        <f>S425</f>
        <v/>
      </c>
      <c r="AT11" s="411" t="str">
        <f>S428</f>
        <v/>
      </c>
      <c r="AU11" s="411" t="str">
        <f>S402</f>
        <v/>
      </c>
      <c r="AV11" s="411" t="str">
        <f>S403</f>
        <v/>
      </c>
      <c r="AW11" s="411" t="str">
        <f>S404</f>
        <v/>
      </c>
      <c r="AX11" s="407" t="str">
        <f>S405</f>
        <v/>
      </c>
      <c r="AZ11" s="213"/>
      <c r="BA11" s="412" t="str">
        <f t="shared" si="1"/>
        <v/>
      </c>
      <c r="BB11" s="412" t="str">
        <f t="shared" si="2"/>
        <v/>
      </c>
      <c r="BC11" s="426" t="str">
        <f>S34</f>
        <v/>
      </c>
    </row>
    <row r="12" spans="1:56" ht="25.9" customHeight="1" thickBot="1" x14ac:dyDescent="0.3">
      <c r="A12" s="1227" t="s">
        <v>617</v>
      </c>
      <c r="B12" s="1228"/>
      <c r="C12" s="1228"/>
      <c r="D12" s="1228"/>
      <c r="E12" s="1229"/>
      <c r="F12" s="1229"/>
      <c r="G12" s="1229"/>
      <c r="H12" s="1229"/>
      <c r="I12" s="1279"/>
      <c r="J12" s="1280"/>
      <c r="K12" s="1231" t="s">
        <v>618</v>
      </c>
      <c r="L12" s="1232"/>
      <c r="M12" s="1233" t="str">
        <f>IF(AND(ISBLANK(I12),OR(NOT(ISBLANK(E8)),NOT(ISBLANK(E9)),NOT(ISBLANK(E10)),NOT(ISBLANK(E11)),NOT(ISBLANK(A14)))),"This information is required!","")</f>
        <v/>
      </c>
      <c r="N12" s="1233"/>
      <c r="O12" s="1233"/>
      <c r="P12" s="1233"/>
      <c r="Q12" s="439"/>
      <c r="R12" s="392"/>
      <c r="S12" s="437" t="str">
        <f>IF(ISBLANK(I12),"",I12)</f>
        <v/>
      </c>
      <c r="T12" s="438" t="s">
        <v>190</v>
      </c>
      <c r="U12" s="440"/>
      <c r="V12" s="440"/>
      <c r="W12" s="440"/>
      <c r="X12" s="392"/>
      <c r="Y12" s="392"/>
      <c r="Z12" s="392"/>
      <c r="AA12" s="134"/>
      <c r="AB12" s="405">
        <f t="shared" si="0"/>
        <v>0</v>
      </c>
      <c r="AC12" s="405">
        <f>'Demog Contact'!$N$1</f>
        <v>2019</v>
      </c>
      <c r="AD12" s="405">
        <v>20</v>
      </c>
      <c r="AE12" s="406" t="str">
        <f>IF(OR(NOT(ISBLANK(E441)),NOT(ISBLANK(A444))),11,"")</f>
        <v/>
      </c>
      <c r="AF12" s="405" t="str">
        <f>S438</f>
        <v/>
      </c>
      <c r="AG12" s="405" t="str">
        <f>S439</f>
        <v/>
      </c>
      <c r="AH12" s="405" t="s">
        <v>54</v>
      </c>
      <c r="AI12" s="593" t="str">
        <f>S440</f>
        <v/>
      </c>
      <c r="AJ12" s="595" t="str">
        <f>S441</f>
        <v/>
      </c>
      <c r="AK12" s="597" t="str">
        <f>S442</f>
        <v/>
      </c>
      <c r="AL12" s="411" t="str">
        <f>S443</f>
        <v/>
      </c>
      <c r="AM12" s="411" t="str">
        <f>S444</f>
        <v/>
      </c>
      <c r="AN12" s="411" t="str">
        <f>S465</f>
        <v/>
      </c>
      <c r="AO12" s="411" t="str">
        <f>S460</f>
        <v/>
      </c>
      <c r="AP12" s="411" t="str">
        <f>S475</f>
        <v/>
      </c>
      <c r="AQ12" s="411" t="str">
        <f>S437</f>
        <v/>
      </c>
      <c r="AR12" s="411" t="str">
        <f>S456</f>
        <v/>
      </c>
      <c r="AS12" s="411" t="str">
        <f>S468</f>
        <v/>
      </c>
      <c r="AT12" s="411" t="str">
        <f>S471</f>
        <v/>
      </c>
      <c r="AU12" s="411" t="str">
        <f>S445</f>
        <v/>
      </c>
      <c r="AV12" s="411" t="str">
        <f>S446</f>
        <v/>
      </c>
      <c r="AW12" s="411" t="str">
        <f>S447</f>
        <v/>
      </c>
      <c r="AX12" s="407" t="str">
        <f>S448</f>
        <v/>
      </c>
      <c r="AZ12" s="213"/>
      <c r="BA12" s="441" t="str">
        <f t="shared" si="1"/>
        <v/>
      </c>
      <c r="BB12" s="441" t="str">
        <f t="shared" ref="BB12:BB20" si="3">IF(BC12="","",$Q$49)</f>
        <v/>
      </c>
      <c r="BC12" s="441" t="str">
        <f>S64</f>
        <v/>
      </c>
      <c r="BD12" s="207" t="s">
        <v>619</v>
      </c>
    </row>
    <row r="13" spans="1:56" s="213" customFormat="1" ht="25.9" customHeight="1" x14ac:dyDescent="0.25">
      <c r="A13" s="1148" t="s">
        <v>620</v>
      </c>
      <c r="B13" s="1149"/>
      <c r="C13" s="1149"/>
      <c r="D13" s="1149"/>
      <c r="E13" s="1149"/>
      <c r="F13" s="1149"/>
      <c r="G13" s="1149"/>
      <c r="H13" s="1149"/>
      <c r="I13" s="1149"/>
      <c r="J13" s="1214"/>
      <c r="K13" s="1215" t="s">
        <v>693</v>
      </c>
      <c r="L13" s="1215"/>
      <c r="M13" s="1215"/>
      <c r="N13" s="1215"/>
      <c r="O13" s="1217" t="s">
        <v>621</v>
      </c>
      <c r="P13" s="1217"/>
      <c r="Q13" s="1218"/>
      <c r="R13" s="431"/>
      <c r="S13" s="437" t="str">
        <f>IF(ISBLANK(A14),"",A14)</f>
        <v/>
      </c>
      <c r="T13" s="438" t="s">
        <v>191</v>
      </c>
      <c r="U13" s="442"/>
      <c r="V13" s="442"/>
      <c r="W13" s="442"/>
      <c r="X13" s="431"/>
      <c r="Y13" s="431"/>
      <c r="Z13" s="431"/>
      <c r="AA13" s="134"/>
      <c r="AB13" s="405">
        <f t="shared" si="0"/>
        <v>0</v>
      </c>
      <c r="AC13" s="405">
        <f>'Demog Contact'!$N$1</f>
        <v>2019</v>
      </c>
      <c r="AD13" s="405">
        <v>20</v>
      </c>
      <c r="AE13" s="406" t="str">
        <f>IF(OR(NOT(ISBLANK(E484)),NOT(ISBLANK(A487))),12,"")</f>
        <v/>
      </c>
      <c r="AF13" s="405" t="str">
        <f>S481</f>
        <v/>
      </c>
      <c r="AG13" s="405" t="str">
        <f>S482</f>
        <v/>
      </c>
      <c r="AH13" s="405" t="s">
        <v>54</v>
      </c>
      <c r="AI13" s="593" t="str">
        <f>S483</f>
        <v/>
      </c>
      <c r="AJ13" s="595" t="str">
        <f>S484</f>
        <v/>
      </c>
      <c r="AK13" s="597" t="str">
        <f>S485</f>
        <v/>
      </c>
      <c r="AL13" s="411" t="str">
        <f>S486</f>
        <v/>
      </c>
      <c r="AM13" s="411" t="str">
        <f>S487</f>
        <v/>
      </c>
      <c r="AN13" s="411" t="str">
        <f>S508</f>
        <v/>
      </c>
      <c r="AO13" s="411" t="str">
        <f>S503</f>
        <v/>
      </c>
      <c r="AP13" s="411" t="str">
        <f>S518</f>
        <v/>
      </c>
      <c r="AQ13" s="411" t="str">
        <f>S480</f>
        <v/>
      </c>
      <c r="AR13" s="411" t="str">
        <f>S499</f>
        <v/>
      </c>
      <c r="AS13" s="411" t="str">
        <f>S511</f>
        <v/>
      </c>
      <c r="AT13" s="411" t="str">
        <f>S514</f>
        <v/>
      </c>
      <c r="AU13" s="411" t="str">
        <f>S488</f>
        <v/>
      </c>
      <c r="AV13" s="411" t="str">
        <f>S489</f>
        <v/>
      </c>
      <c r="AW13" s="411" t="str">
        <f>S490</f>
        <v/>
      </c>
      <c r="AX13" s="407" t="str">
        <f>S491</f>
        <v/>
      </c>
      <c r="BA13" s="441" t="str">
        <f t="shared" si="1"/>
        <v/>
      </c>
      <c r="BB13" s="441" t="str">
        <f t="shared" si="3"/>
        <v/>
      </c>
      <c r="BC13" s="441" t="str">
        <f>T64</f>
        <v/>
      </c>
      <c r="BD13" s="291"/>
    </row>
    <row r="14" spans="1:56" s="213" customFormat="1" ht="25.9" customHeight="1" x14ac:dyDescent="0.2">
      <c r="A14" s="1160"/>
      <c r="B14" s="1161"/>
      <c r="C14" s="1161"/>
      <c r="D14" s="1161"/>
      <c r="E14" s="1161"/>
      <c r="F14" s="1161"/>
      <c r="G14" s="1161"/>
      <c r="H14" s="1161"/>
      <c r="I14" s="1161"/>
      <c r="J14" s="1202"/>
      <c r="K14" s="1216"/>
      <c r="L14" s="1216"/>
      <c r="M14" s="1216"/>
      <c r="N14" s="1216"/>
      <c r="O14" s="443"/>
      <c r="P14" s="229" t="s">
        <v>269</v>
      </c>
      <c r="Q14" s="444" t="s">
        <v>270</v>
      </c>
      <c r="R14" s="431"/>
      <c r="S14" s="437" t="str">
        <f>IF(ISBLANK(A17),"",A17)</f>
        <v/>
      </c>
      <c r="T14" s="445" t="s">
        <v>192</v>
      </c>
      <c r="U14" s="442"/>
      <c r="V14" s="442"/>
      <c r="W14" s="442"/>
      <c r="X14" s="431"/>
      <c r="Y14" s="431"/>
      <c r="Z14" s="431"/>
      <c r="AA14" s="446" t="str">
        <f>('Capital Expenditures'!$R$5)</f>
        <v/>
      </c>
      <c r="AB14" s="447"/>
      <c r="AC14" s="323"/>
      <c r="AD14" s="448">
        <f>code_7595</f>
        <v>0</v>
      </c>
      <c r="AE14" s="449">
        <f>SUM(AE15:AE26)</f>
        <v>0</v>
      </c>
      <c r="AF14" s="323"/>
      <c r="AG14" s="323"/>
      <c r="AH14" s="450">
        <f>SUM(AH15:AH26)</f>
        <v>0</v>
      </c>
      <c r="AI14" s="448">
        <f>code_7596</f>
        <v>0</v>
      </c>
      <c r="AJ14" s="449">
        <f>SUM(AJ2:AJ13)</f>
        <v>0</v>
      </c>
      <c r="AK14" s="323"/>
      <c r="AL14" s="323"/>
      <c r="AM14" s="323"/>
      <c r="AN14" s="323"/>
      <c r="AO14" s="323"/>
      <c r="AP14" s="323"/>
      <c r="AQ14" s="291"/>
      <c r="AR14" s="291"/>
      <c r="AS14" s="291"/>
      <c r="AT14" s="291"/>
      <c r="AU14" s="291"/>
      <c r="AV14" s="291"/>
      <c r="AW14" s="291"/>
      <c r="AX14" s="291"/>
      <c r="BA14" s="441" t="str">
        <f t="shared" si="1"/>
        <v/>
      </c>
      <c r="BB14" s="441" t="str">
        <f t="shared" si="3"/>
        <v/>
      </c>
      <c r="BC14" s="441" t="str">
        <f>U64</f>
        <v/>
      </c>
      <c r="BD14" s="291"/>
    </row>
    <row r="15" spans="1:56" ht="25.9" customHeight="1" x14ac:dyDescent="0.2">
      <c r="A15" s="1176"/>
      <c r="B15" s="1177"/>
      <c r="C15" s="1177"/>
      <c r="D15" s="1177"/>
      <c r="E15" s="1177"/>
      <c r="F15" s="1177"/>
      <c r="G15" s="1177"/>
      <c r="H15" s="1177"/>
      <c r="I15" s="1177"/>
      <c r="J15" s="1203"/>
      <c r="K15" s="1204" t="s">
        <v>622</v>
      </c>
      <c r="L15" s="1205"/>
      <c r="M15" s="1205"/>
      <c r="N15" s="1205"/>
      <c r="O15" s="1206"/>
      <c r="P15" s="451"/>
      <c r="Q15" s="451"/>
      <c r="R15" s="440" t="str">
        <f>IF(COUNTBLANK(P15:Q15)=2,"Please enter response.",IF(COUNTBLANK(P15:Q15)&lt;&gt;1,"Please VERIFY response.",""))</f>
        <v>Please enter response.</v>
      </c>
      <c r="S15" s="452" t="str">
        <f>IF(AND(ISBLANK(P15),ISBLANK(Q15)),"",IF(ISBLANK(P15),0,1))</f>
        <v/>
      </c>
      <c r="T15" s="251" t="s">
        <v>592</v>
      </c>
      <c r="U15" s="213"/>
      <c r="V15" s="213"/>
      <c r="W15" s="213"/>
      <c r="X15" s="195"/>
      <c r="Y15" s="195"/>
      <c r="Z15" s="195"/>
      <c r="AA15" s="134"/>
      <c r="AB15" s="447"/>
      <c r="AC15" s="323"/>
      <c r="AD15" s="323"/>
      <c r="AE15" s="154">
        <f>IF(AE2=1,1,0)</f>
        <v>0</v>
      </c>
      <c r="AF15" s="1195" t="s">
        <v>82</v>
      </c>
      <c r="AG15" s="1195"/>
      <c r="AH15" s="154">
        <f t="shared" ref="AH15:AH26" si="4">SUM(AI15:AN15)</f>
        <v>0</v>
      </c>
      <c r="AI15" s="453" t="str">
        <f>IF(AND(ISBLANK(E8),OR(NOT(ISBLANK(E9)),NOT(ISBLANK(E10)),NOT(ISBLANK(E11)),NOT(ISBLANK(I12)),NOT(ISBLANK(A14)))),1,"")</f>
        <v/>
      </c>
      <c r="AJ15" s="453" t="str">
        <f>IF(AND(ISBLANK(E9),OR(NOT(ISBLANK(E8)),NOT(ISBLANK(E10)),NOT(ISBLANK(E11)),NOT(ISBLANK(I12)),NOT(ISBLANK(A14)))),1,"")</f>
        <v/>
      </c>
      <c r="AK15" s="453" t="str">
        <f>IF(AND(ISBLANK(E10),OR(NOT(ISBLANK(E8)),NOT(ISBLANK(E9)),NOT(ISBLANK(E11)),NOT(ISBLANK(I12)),NOT(ISBLANK(A14)))),1,"")</f>
        <v/>
      </c>
      <c r="AL15" s="453" t="str">
        <f>IF(AND(ISBLANK(E11),OR(NOT(ISBLANK(E8)),NOT(ISBLANK(E9)),NOT(ISBLANK(E10)),NOT(ISBLANK(I12)),NOT(ISBLANK(A14)))),1,"")</f>
        <v/>
      </c>
      <c r="AM15" s="453" t="str">
        <f>IF(AND(ISBLANK(I12),OR(NOT(ISBLANK(E8)),NOT(ISBLANK(E9)),NOT(ISBLANK(E10)),NOT(ISBLANK(E11)),NOT(ISBLANK(A14)))),1,"")</f>
        <v/>
      </c>
      <c r="AN15" s="453" t="str">
        <f>IF(AND(ISBLANK(A14),OR(NOT(ISBLANK(E8)),NOT(ISBLANK(E9)),NOT(ISBLANK(E10)),NOT(ISBLANK(E11)),NOT(ISBLANK(I12)))),1,"")</f>
        <v/>
      </c>
      <c r="AO15" s="323"/>
      <c r="AP15" s="323"/>
      <c r="AZ15" s="213"/>
      <c r="BA15" s="441" t="str">
        <f t="shared" si="1"/>
        <v/>
      </c>
      <c r="BB15" s="441" t="str">
        <f t="shared" si="3"/>
        <v/>
      </c>
      <c r="BC15" s="441" t="str">
        <f>V64</f>
        <v/>
      </c>
      <c r="BD15" s="213"/>
    </row>
    <row r="16" spans="1:56" s="213" customFormat="1" ht="25.9" customHeight="1" x14ac:dyDescent="0.25">
      <c r="A16" s="1219" t="s">
        <v>623</v>
      </c>
      <c r="B16" s="1220"/>
      <c r="C16" s="1220"/>
      <c r="D16" s="1220"/>
      <c r="E16" s="1220"/>
      <c r="F16" s="1220"/>
      <c r="G16" s="1220"/>
      <c r="H16" s="1220"/>
      <c r="I16" s="1220"/>
      <c r="J16" s="1221"/>
      <c r="K16" s="1204" t="s">
        <v>624</v>
      </c>
      <c r="L16" s="1205"/>
      <c r="M16" s="1205"/>
      <c r="N16" s="1205"/>
      <c r="O16" s="1206"/>
      <c r="P16" s="451"/>
      <c r="Q16" s="451"/>
      <c r="R16" s="440" t="str">
        <f>IF(COUNTBLANK(P16:Q16)=2,"Please enter response.",IF(COUNTBLANK(P16:Q16)&lt;&gt;1,"Please VERIFY response.",""))</f>
        <v>Please enter response.</v>
      </c>
      <c r="S16" s="452" t="str">
        <f>IF(AND(ISBLANK(P16),ISBLANK(Q16)),"",IF(ISBLANK(P16),0,1))</f>
        <v/>
      </c>
      <c r="T16" s="251" t="s">
        <v>593</v>
      </c>
      <c r="X16" s="454"/>
      <c r="Y16" s="454"/>
      <c r="Z16" s="454"/>
      <c r="AA16" s="455"/>
      <c r="AB16" s="456"/>
      <c r="AC16" s="457"/>
      <c r="AD16" s="457"/>
      <c r="AE16" s="154">
        <f>IF(AE3=2,1,0)</f>
        <v>0</v>
      </c>
      <c r="AF16" s="1195" t="s">
        <v>84</v>
      </c>
      <c r="AG16" s="1195"/>
      <c r="AH16" s="154">
        <f t="shared" si="4"/>
        <v>0</v>
      </c>
      <c r="AI16" s="453" t="str">
        <f>IF(AND(ISBLANK(E51),OR(NOT(ISBLANK(E52)),NOT(ISBLANK(E53)),NOT(ISBLANK(E54)),NOT(ISBLANK(I55)),NOT(ISBLANK(A57)))),1,"")</f>
        <v/>
      </c>
      <c r="AJ16" s="453" t="str">
        <f>IF(AND(ISBLANK(E52),OR(NOT(ISBLANK(E51)),NOT(ISBLANK(E53)),NOT(ISBLANK(E54)),NOT(ISBLANK(I55)),NOT(ISBLANK(A57)))),1,"")</f>
        <v/>
      </c>
      <c r="AK16" s="453" t="str">
        <f>IF(AND(ISBLANK(E53),OR(NOT(ISBLANK(E51)),NOT(ISBLANK(E52)),NOT(ISBLANK(E54)),NOT(ISBLANK(I55)),NOT(ISBLANK(A57)))),1,"")</f>
        <v/>
      </c>
      <c r="AL16" s="453" t="str">
        <f>IF(AND(ISBLANK(E54),OR(NOT(ISBLANK(E51)),NOT(ISBLANK(E52)),NOT(ISBLANK(E53)),NOT(ISBLANK(I55)),NOT(ISBLANK(A57)))),1,"")</f>
        <v/>
      </c>
      <c r="AM16" s="458" t="str">
        <f>IF(AND(ISBLANK(I55),OR(NOT(ISBLANK(E51)),NOT(ISBLANK(E52)),NOT(ISBLANK(E53)),NOT(ISBLANK(E54)),NOT(ISBLANK(A57)))),1,"")</f>
        <v/>
      </c>
      <c r="AN16" s="458" t="str">
        <f>IF(AND(ISBLANK(A57),OR(NOT(ISBLANK(E51)),NOT(ISBLANK(E52)),NOT(ISBLANK(E53)),NOT(ISBLANK(E54)),NOT(ISBLANK(I55)))),1,"")</f>
        <v/>
      </c>
      <c r="AO16" s="457"/>
      <c r="AP16" s="457"/>
      <c r="AQ16" s="291"/>
      <c r="AR16" s="291"/>
      <c r="AS16" s="291"/>
      <c r="AT16" s="291"/>
      <c r="AU16" s="291"/>
      <c r="AV16" s="291"/>
      <c r="AW16" s="291"/>
      <c r="AX16" s="291"/>
      <c r="AZ16" s="134"/>
      <c r="BA16" s="441" t="str">
        <f t="shared" si="1"/>
        <v/>
      </c>
      <c r="BB16" s="441" t="str">
        <f t="shared" si="3"/>
        <v/>
      </c>
      <c r="BC16" s="441" t="str">
        <f>S66</f>
        <v/>
      </c>
      <c r="BD16" s="291"/>
    </row>
    <row r="17" spans="1:56" s="213" customFormat="1" ht="25.9" customHeight="1" x14ac:dyDescent="0.25">
      <c r="A17" s="1160"/>
      <c r="B17" s="1161"/>
      <c r="C17" s="1161"/>
      <c r="D17" s="1161"/>
      <c r="E17" s="1161"/>
      <c r="F17" s="1161"/>
      <c r="G17" s="1161"/>
      <c r="H17" s="1161"/>
      <c r="I17" s="1161"/>
      <c r="J17" s="1202"/>
      <c r="K17" s="1204" t="s">
        <v>625</v>
      </c>
      <c r="L17" s="1205"/>
      <c r="M17" s="1205"/>
      <c r="N17" s="1205"/>
      <c r="O17" s="1206"/>
      <c r="P17" s="451"/>
      <c r="Q17" s="451"/>
      <c r="R17" s="440" t="str">
        <f>IF(COUNTBLANK(P17:Q17)=2,"Please enter response.",IF(COUNTBLANK(P17:Q17)&lt;&gt;1,"Please VERIFY response.",""))</f>
        <v>Please enter response.</v>
      </c>
      <c r="S17" s="452" t="str">
        <f>IF(AND(ISBLANK(P17),ISBLANK(Q17)),"",IF(ISBLANK(P17),0,1))</f>
        <v/>
      </c>
      <c r="T17" s="251" t="s">
        <v>594</v>
      </c>
      <c r="X17" s="459"/>
      <c r="Y17" s="459"/>
      <c r="Z17" s="459"/>
      <c r="AA17" s="134"/>
      <c r="AB17" s="456"/>
      <c r="AC17" s="127"/>
      <c r="AD17" s="127"/>
      <c r="AE17" s="154">
        <f>IF(AE4=3,1,0)</f>
        <v>0</v>
      </c>
      <c r="AF17" s="1195" t="s">
        <v>85</v>
      </c>
      <c r="AG17" s="1195"/>
      <c r="AH17" s="154">
        <f t="shared" si="4"/>
        <v>0</v>
      </c>
      <c r="AI17" s="460" t="str">
        <f>IF(AND(ISBLANK(E94),OR(NOT(ISBLANK(E95)),NOT(ISBLANK(E96)),NOT(ISBLANK(E97)),NOT(ISBLANK(I98)),NOT(ISBLANK(A100)))),1,"")</f>
        <v/>
      </c>
      <c r="AJ17" s="460" t="str">
        <f>IF(AND(ISBLANK(E95),OR(NOT(ISBLANK(E94)),NOT(ISBLANK(E96)),NOT(ISBLANK(E97)),NOT(ISBLANK(I98)),NOT(ISBLANK(A100)))),1,"")</f>
        <v/>
      </c>
      <c r="AK17" s="460" t="str">
        <f>IF(AND(ISBLANK(E96),OR(NOT(ISBLANK(E94)),NOT(ISBLANK(E95)),NOT(ISBLANK(E97)),NOT(ISBLANK(I98)),NOT(ISBLANK(A100)))),1,"")</f>
        <v/>
      </c>
      <c r="AL17" s="460" t="str">
        <f>IF(AND(ISBLANK(E97),OR(NOT(ISBLANK(E94)),NOT(ISBLANK(E95)),NOT(ISBLANK(E96)),NOT(ISBLANK(I98)),NOT(ISBLANK(A100)))),1,"")</f>
        <v/>
      </c>
      <c r="AM17" s="460" t="str">
        <f>IF(AND(ISBLANK(I98),OR(NOT(ISBLANK(E94)),NOT(ISBLANK(E95)),NOT(ISBLANK(E96)),NOT(ISBLANK(E97)),NOT(ISBLANK(A100)))),1,"")</f>
        <v/>
      </c>
      <c r="AN17" s="461" t="str">
        <f>IF(AND(ISBLANK(A100),OR(NOT(ISBLANK(E94)),NOT(ISBLANK(E95)),NOT(ISBLANK(E96)),NOT(ISBLANK(E97)),NOT(ISBLANK(I98)))),1,"")</f>
        <v/>
      </c>
      <c r="AO17" s="127"/>
      <c r="AP17" s="127"/>
      <c r="AQ17" s="291"/>
      <c r="AR17" s="291"/>
      <c r="AS17" s="291"/>
      <c r="AT17" s="291"/>
      <c r="AU17" s="291"/>
      <c r="AV17" s="291"/>
      <c r="AW17" s="291"/>
      <c r="AX17" s="291"/>
      <c r="AZ17" s="134"/>
      <c r="BA17" s="441" t="str">
        <f t="shared" si="1"/>
        <v/>
      </c>
      <c r="BB17" s="441" t="str">
        <f t="shared" si="3"/>
        <v/>
      </c>
      <c r="BC17" s="441" t="str">
        <f>S67</f>
        <v/>
      </c>
    </row>
    <row r="18" spans="1:56" s="213" customFormat="1" ht="25.9" customHeight="1" x14ac:dyDescent="0.25">
      <c r="A18" s="1176"/>
      <c r="B18" s="1177"/>
      <c r="C18" s="1177"/>
      <c r="D18" s="1177"/>
      <c r="E18" s="1177"/>
      <c r="F18" s="1177"/>
      <c r="G18" s="1177"/>
      <c r="H18" s="1177"/>
      <c r="I18" s="1177"/>
      <c r="J18" s="1203"/>
      <c r="K18" s="1204" t="s">
        <v>626</v>
      </c>
      <c r="L18" s="1205"/>
      <c r="M18" s="1205"/>
      <c r="N18" s="1205"/>
      <c r="O18" s="1206"/>
      <c r="P18" s="451"/>
      <c r="Q18" s="451"/>
      <c r="R18" s="440" t="str">
        <f>IF(COUNTBLANK(P18:Q18)=2,"Please enter response.",IF(COUNTBLANK(P18:Q18)&lt;&gt;1,"Please VERIFY response.",""))</f>
        <v>Please enter response.</v>
      </c>
      <c r="S18" s="452" t="str">
        <f>IF(AND(ISBLANK(P18),ISBLANK(Q18)),"",IF(ISBLANK(P18),0,1))</f>
        <v/>
      </c>
      <c r="T18" s="251" t="s">
        <v>595</v>
      </c>
      <c r="X18" s="459"/>
      <c r="Y18" s="459"/>
      <c r="Z18" s="459"/>
      <c r="AA18" s="134"/>
      <c r="AB18" s="456"/>
      <c r="AC18" s="127"/>
      <c r="AD18" s="127"/>
      <c r="AE18" s="154">
        <f>IF(AE5=4,1,0)</f>
        <v>0</v>
      </c>
      <c r="AF18" s="1195" t="s">
        <v>86</v>
      </c>
      <c r="AG18" s="1195"/>
      <c r="AH18" s="154">
        <f t="shared" si="4"/>
        <v>0</v>
      </c>
      <c r="AI18" s="462" t="str">
        <f>IF(AND(ISBLANK(E137),OR(NOT(ISBLANK(E138)),NOT(ISBLANK(E139)),NOT(ISBLANK(E140)),NOT(ISBLANK(I141)),NOT(ISBLANK(A143)))),1,"")</f>
        <v/>
      </c>
      <c r="AJ18" s="460" t="str">
        <f>IF(AND(ISBLANK(E138),OR(NOT(ISBLANK(E137)),NOT(ISBLANK(E139)),NOT(ISBLANK(E140)),NOT(ISBLANK(I141)),NOT(ISBLANK(A143)))),1,"")</f>
        <v/>
      </c>
      <c r="AK18" s="460" t="str">
        <f>IF(AND(ISBLANK(E139),OR(NOT(ISBLANK(E137)),NOT(ISBLANK(E138)),NOT(ISBLANK(E140)),NOT(ISBLANK(I141)),NOT(ISBLANK(A143)))),1,"")</f>
        <v/>
      </c>
      <c r="AL18" s="460" t="str">
        <f>IF(AND(ISBLANK(E140),OR(NOT(ISBLANK(E137)),NOT(ISBLANK(E138)),NOT(ISBLANK(E139)),NOT(ISBLANK(I141)),NOT(ISBLANK(A143)))),1,"")</f>
        <v/>
      </c>
      <c r="AM18" s="460" t="str">
        <f>IF(AND(ISBLANK(I141),OR(NOT(ISBLANK(E137)),NOT(ISBLANK(E138)),NOT(ISBLANK(E139)),NOT(ISBLANK(E140)),NOT(ISBLANK(A143)))),1,"")</f>
        <v/>
      </c>
      <c r="AN18" s="460" t="str">
        <f>IF(AND(ISBLANK(A143),OR(NOT(ISBLANK(E137)),NOT(ISBLANK(E138)),NOT(ISBLANK(E139)),NOT(ISBLANK(E140)),NOT(ISBLANK(I141)))),1,"")</f>
        <v/>
      </c>
      <c r="AO18" s="127"/>
      <c r="AP18" s="127"/>
      <c r="AQ18" s="291"/>
      <c r="AR18" s="291"/>
      <c r="AS18" s="291"/>
      <c r="AT18" s="291"/>
      <c r="AU18" s="291"/>
      <c r="AV18" s="291"/>
      <c r="AW18" s="291"/>
      <c r="AX18" s="291"/>
      <c r="AZ18" s="134"/>
      <c r="BA18" s="441" t="str">
        <f t="shared" si="1"/>
        <v/>
      </c>
      <c r="BB18" s="441" t="str">
        <f t="shared" si="3"/>
        <v/>
      </c>
      <c r="BC18" s="441" t="str">
        <f>S68</f>
        <v/>
      </c>
    </row>
    <row r="19" spans="1:56" ht="25.9" customHeight="1" x14ac:dyDescent="0.25">
      <c r="A19" s="1207" t="s">
        <v>627</v>
      </c>
      <c r="B19" s="1208"/>
      <c r="C19" s="1208"/>
      <c r="D19" s="1208"/>
      <c r="E19" s="1208"/>
      <c r="F19" s="1208"/>
      <c r="G19" s="1208"/>
      <c r="H19" s="1208"/>
      <c r="I19" s="1208"/>
      <c r="J19" s="1208"/>
      <c r="K19" s="1208"/>
      <c r="L19" s="1208"/>
      <c r="M19" s="1208"/>
      <c r="N19" s="1208"/>
      <c r="O19" s="1208"/>
      <c r="P19" s="1208"/>
      <c r="Q19" s="1209"/>
      <c r="R19" s="454"/>
      <c r="S19" s="463"/>
      <c r="T19" s="454"/>
      <c r="U19" s="454"/>
      <c r="V19" s="454"/>
      <c r="W19" s="454"/>
      <c r="X19" s="464"/>
      <c r="Y19" s="464"/>
      <c r="Z19" s="464"/>
      <c r="AA19" s="134"/>
      <c r="AB19" s="465"/>
      <c r="AC19" s="134"/>
      <c r="AD19" s="134"/>
      <c r="AE19" s="154">
        <f>IF(AE6=5,1,0)</f>
        <v>0</v>
      </c>
      <c r="AF19" s="1195" t="s">
        <v>203</v>
      </c>
      <c r="AG19" s="1195"/>
      <c r="AH19" s="154">
        <f t="shared" si="4"/>
        <v>0</v>
      </c>
      <c r="AI19" s="460" t="str">
        <f>IF(AND(ISBLANK(E180),OR(NOT(ISBLANK(E181)),NOT(ISBLANK(E182)),NOT(ISBLANK(E183)),NOT(ISBLANK(I184)),NOT(ISBLANK(A186)))),1,"")</f>
        <v/>
      </c>
      <c r="AJ19" s="460" t="str">
        <f>IF(AND(ISBLANK(E181),OR(NOT(ISBLANK(E180)),NOT(ISBLANK(E182)),NOT(ISBLANK(E183)),NOT(ISBLANK(I184)),NOT(ISBLANK(A186)))),1,"")</f>
        <v/>
      </c>
      <c r="AK19" s="460" t="str">
        <f>IF(AND(ISBLANK(E182),OR(NOT(ISBLANK(E180)),NOT(ISBLANK(E181)),NOT(ISBLANK(E183)),NOT(ISBLANK(I184)),NOT(ISBLANK(A186)))),1,"")</f>
        <v/>
      </c>
      <c r="AL19" s="460" t="str">
        <f>IF(AND(ISBLANK(E183),OR(NOT(ISBLANK(E180)),NOT(ISBLANK(E181)),NOT(ISBLANK(E182)),NOT(ISBLANK(I184)),NOT(ISBLANK(A186)))),1,"")</f>
        <v/>
      </c>
      <c r="AM19" s="460" t="str">
        <f>IF(AND(ISBLANK(I184),OR(NOT(ISBLANK(E180)),NOT(ISBLANK(E181)),NOT(ISBLANK(E182)),NOT(ISBLANK(E183)),NOT(ISBLANK(A186)))),1,"")</f>
        <v/>
      </c>
      <c r="AN19" s="460" t="str">
        <f>IF(AND(ISBLANK(A186),OR(NOT(ISBLANK(E180)),NOT(ISBLANK(E181)),NOT(ISBLANK(E182)),NOT(ISBLANK(E183)),NOT(ISBLANK(I184)))),1,"")</f>
        <v/>
      </c>
      <c r="AO19" s="134"/>
      <c r="AP19" s="134"/>
      <c r="AQ19" s="213"/>
      <c r="AR19" s="213"/>
      <c r="AS19" s="213"/>
      <c r="AT19" s="213"/>
      <c r="AU19" s="213"/>
      <c r="AV19" s="213"/>
      <c r="AW19" s="213"/>
      <c r="AX19" s="213"/>
      <c r="AZ19" s="134"/>
      <c r="BA19" s="441" t="str">
        <f t="shared" si="1"/>
        <v/>
      </c>
      <c r="BB19" s="441" t="str">
        <f t="shared" si="3"/>
        <v/>
      </c>
      <c r="BC19" s="441" t="str">
        <f>S76</f>
        <v/>
      </c>
    </row>
    <row r="20" spans="1:56" ht="25.9" customHeight="1" x14ac:dyDescent="0.25">
      <c r="A20" s="1210" t="s">
        <v>628</v>
      </c>
      <c r="B20" s="1211"/>
      <c r="C20" s="1211"/>
      <c r="D20" s="1211"/>
      <c r="E20" s="1211" t="s">
        <v>629</v>
      </c>
      <c r="F20" s="1211"/>
      <c r="G20" s="1211"/>
      <c r="H20" s="1211"/>
      <c r="I20" s="1211" t="s">
        <v>630</v>
      </c>
      <c r="J20" s="1211"/>
      <c r="K20" s="1211"/>
      <c r="L20" s="1211"/>
      <c r="M20" s="1212" t="s">
        <v>631</v>
      </c>
      <c r="N20" s="1211"/>
      <c r="O20" s="1211"/>
      <c r="P20" s="1211"/>
      <c r="Q20" s="1213"/>
      <c r="R20" s="459"/>
      <c r="S20" s="1195" t="s">
        <v>632</v>
      </c>
      <c r="T20" s="1195"/>
      <c r="U20" s="1195"/>
      <c r="V20" s="1195"/>
      <c r="W20" s="459"/>
      <c r="X20" s="466"/>
      <c r="Y20" s="466"/>
      <c r="Z20" s="466"/>
      <c r="AA20" s="134"/>
      <c r="AB20" s="456"/>
      <c r="AC20" s="127"/>
      <c r="AD20" s="127"/>
      <c r="AE20" s="154">
        <f>IF(AE7=6,1,0)</f>
        <v>0</v>
      </c>
      <c r="AF20" s="1195" t="s">
        <v>204</v>
      </c>
      <c r="AG20" s="1195"/>
      <c r="AH20" s="154">
        <f t="shared" si="4"/>
        <v>0</v>
      </c>
      <c r="AI20" s="458" t="str">
        <f>IF(AND(ISBLANK(E223),OR(NOT(ISBLANK(E224)),NOT(ISBLANK(E225)),NOT(ISBLANK(E226)),NOT(ISBLANK(I227)),NOT(ISBLANK(A229)))),1,"")</f>
        <v/>
      </c>
      <c r="AJ20" s="460" t="str">
        <f>IF(AND(ISBLANK(E224),OR(NOT(ISBLANK(E223)),NOT(ISBLANK(E225)),NOT(ISBLANK(E226)),NOT(ISBLANK(I227)),NOT(ISBLANK(A229)))),1,"")</f>
        <v/>
      </c>
      <c r="AK20" s="460" t="str">
        <f>IF(AND(ISBLANK(E225),OR(NOT(ISBLANK(E223)),NOT(ISBLANK(E224)),NOT(ISBLANK(E226)),NOT(ISBLANK(I227)),NOT(ISBLANK(A229)))),1,"")</f>
        <v/>
      </c>
      <c r="AL20" s="460" t="str">
        <f>IF(AND(ISBLANK(E226),OR(NOT(ISBLANK(E223)),NOT(ISBLANK(E224)),NOT(ISBLANK(E225)),NOT(ISBLANK(I227)),NOT(ISBLANK(A229)))),1,"")</f>
        <v/>
      </c>
      <c r="AM20" s="460" t="str">
        <f>IF(AND(ISBLANK(I227),OR(NOT(ISBLANK(E223)),NOT(ISBLANK(E224)),NOT(ISBLANK(E225)),NOT(ISBLANK(E226)),NOT(ISBLANK(A229)))),1,"")</f>
        <v/>
      </c>
      <c r="AN20" s="460" t="str">
        <f>IF(AND(ISBLANK(A229),OR(NOT(ISBLANK(E223)),NOT(ISBLANK(E224)),NOT(ISBLANK(E225)),NOT(ISBLANK(E226)),NOT(ISBLANK(I227)))),1,"")</f>
        <v/>
      </c>
      <c r="AO20" s="127"/>
      <c r="AP20" s="127"/>
      <c r="AZ20" s="134"/>
      <c r="BA20" s="441" t="str">
        <f t="shared" si="1"/>
        <v/>
      </c>
      <c r="BB20" s="441" t="str">
        <f t="shared" si="3"/>
        <v/>
      </c>
      <c r="BC20" s="441" t="str">
        <f>S77</f>
        <v/>
      </c>
    </row>
    <row r="21" spans="1:56" s="213" customFormat="1" ht="25.9" customHeight="1" thickBot="1" x14ac:dyDescent="0.3">
      <c r="A21" s="1275"/>
      <c r="B21" s="1276"/>
      <c r="C21" s="1276"/>
      <c r="D21" s="1276"/>
      <c r="E21" s="1276"/>
      <c r="F21" s="1276"/>
      <c r="G21" s="1276"/>
      <c r="H21" s="1276"/>
      <c r="I21" s="1276"/>
      <c r="J21" s="1276"/>
      <c r="K21" s="1276"/>
      <c r="L21" s="1276"/>
      <c r="M21" s="1277"/>
      <c r="N21" s="1277"/>
      <c r="O21" s="1277"/>
      <c r="P21" s="1277"/>
      <c r="Q21" s="1278"/>
      <c r="R21" s="454"/>
      <c r="S21" s="467" t="str">
        <f>IF(ISBLANK(A21),"",VLOOKUP(A21,VProjType,2,FALSE))</f>
        <v/>
      </c>
      <c r="T21" s="467" t="str">
        <f>IF(ISBLANK(E21),"",VLOOKUP(E21,VSubtype1,2,FALSE))</f>
        <v/>
      </c>
      <c r="U21" s="467" t="str">
        <f>IF(ISBLANK(I21),"",VLOOKUP(I21,VSubtype2,2,FALSE))</f>
        <v/>
      </c>
      <c r="V21" s="467" t="str">
        <f>IF(ISBLANK(M21),"",VLOOKUP(M21,VSubtype3,2,FALSE))</f>
        <v/>
      </c>
      <c r="W21" s="454"/>
      <c r="X21" s="466"/>
      <c r="Y21" s="466"/>
      <c r="Z21" s="466"/>
      <c r="AA21" s="134"/>
      <c r="AB21" s="456"/>
      <c r="AC21" s="127"/>
      <c r="AD21" s="127"/>
      <c r="AE21" s="154">
        <f>IF(AE8=7,1,0)</f>
        <v>0</v>
      </c>
      <c r="AF21" s="1195" t="s">
        <v>208</v>
      </c>
      <c r="AG21" s="1195"/>
      <c r="AH21" s="154">
        <f t="shared" si="4"/>
        <v>0</v>
      </c>
      <c r="AI21" s="460" t="str">
        <f>IF(AND(ISBLANK(E266),OR(NOT(ISBLANK(E267)),NOT(ISBLANK(E268)),NOT(ISBLANK(E269)),NOT(ISBLANK(I270)),NOT(ISBLANK(A272)))),1,"")</f>
        <v/>
      </c>
      <c r="AJ21" s="460" t="str">
        <f>IF(AND(ISBLANK(E267),OR(NOT(ISBLANK(E266)),NOT(ISBLANK(E268)),NOT(ISBLANK(E269)),NOT(ISBLANK(I270)),NOT(ISBLANK(A272)))),1,"")</f>
        <v/>
      </c>
      <c r="AK21" s="460" t="str">
        <f>IF(AND(ISBLANK(E268),OR(NOT(ISBLANK(E266)),NOT(ISBLANK(E267)),NOT(ISBLANK(E269)),NOT(ISBLANK(I270)),NOT(ISBLANK(A272)))),1,"")</f>
        <v/>
      </c>
      <c r="AL21" s="460" t="str">
        <f>IF(AND(ISBLANK(E269),OR(NOT(ISBLANK(E266)),NOT(ISBLANK(E267)),NOT(ISBLANK(E268)),NOT(ISBLANK(I270)),NOT(ISBLANK(A272)))),1,"")</f>
        <v/>
      </c>
      <c r="AM21" s="460" t="str">
        <f>IF(AND(ISBLANK(I270),OR(NOT(ISBLANK(E266)),NOT(ISBLANK(E267)),NOT(ISBLANK(E268)),NOT(ISBLANK(E269)),NOT(ISBLANK(A272)))),1,"")</f>
        <v/>
      </c>
      <c r="AN21" s="460" t="str">
        <f>IF(AND(ISBLANK(A272),OR(NOT(ISBLANK(E266)),NOT(ISBLANK(E267)),NOT(ISBLANK(E268)),NOT(ISBLANK(E269)),NOT(ISBLANK(I270)))),1,"")</f>
        <v/>
      </c>
      <c r="AO21" s="127"/>
      <c r="AP21" s="127"/>
      <c r="AQ21" s="291"/>
      <c r="AR21" s="291"/>
      <c r="AS21" s="291"/>
      <c r="AT21" s="291"/>
      <c r="AU21" s="291"/>
      <c r="AV21" s="291"/>
      <c r="AW21" s="291"/>
      <c r="AX21" s="291"/>
      <c r="AY21" s="134"/>
      <c r="AZ21" s="134"/>
      <c r="BA21" s="412" t="str">
        <f t="shared" si="1"/>
        <v/>
      </c>
      <c r="BB21" s="412" t="str">
        <f t="shared" ref="BB21:BB29" si="5">IF(BC21="","",$Q$92)</f>
        <v/>
      </c>
      <c r="BC21" s="412" t="str">
        <f>S107</f>
        <v/>
      </c>
      <c r="BD21" s="207" t="s">
        <v>633</v>
      </c>
    </row>
    <row r="22" spans="1:56" ht="26.45" customHeight="1" x14ac:dyDescent="0.25">
      <c r="A22" s="1199" t="s">
        <v>634</v>
      </c>
      <c r="B22" s="1200"/>
      <c r="C22" s="1200"/>
      <c r="D22" s="1200"/>
      <c r="E22" s="1200"/>
      <c r="F22" s="1200"/>
      <c r="G22" s="1200"/>
      <c r="H22" s="1200"/>
      <c r="I22" s="1200"/>
      <c r="J22" s="1200"/>
      <c r="K22" s="1200"/>
      <c r="L22" s="1200"/>
      <c r="M22" s="1200"/>
      <c r="N22" s="1200"/>
      <c r="O22" s="1200"/>
      <c r="P22" s="1200"/>
      <c r="Q22" s="1201"/>
      <c r="R22" s="464"/>
      <c r="S22" s="468" t="s">
        <v>635</v>
      </c>
      <c r="T22" s="464"/>
      <c r="U22" s="464"/>
      <c r="V22" s="464"/>
      <c r="W22" s="464"/>
      <c r="X22" s="466"/>
      <c r="Y22" s="466"/>
      <c r="Z22" s="466"/>
      <c r="AA22" s="134"/>
      <c r="AB22" s="456"/>
      <c r="AC22" s="127"/>
      <c r="AD22" s="127"/>
      <c r="AE22" s="154">
        <f>IF(AE9=8,1,0)</f>
        <v>0</v>
      </c>
      <c r="AF22" s="1195" t="s">
        <v>207</v>
      </c>
      <c r="AG22" s="1195"/>
      <c r="AH22" s="154">
        <f t="shared" si="4"/>
        <v>0</v>
      </c>
      <c r="AI22" s="460" t="str">
        <f>IF(AND(ISBLANK(E309),OR(NOT(ISBLANK(E310)),NOT(ISBLANK(E311)),NOT(ISBLANK(E312)),NOT(ISBLANK(I313)),NOT(ISBLANK(A315)))),1,"")</f>
        <v/>
      </c>
      <c r="AJ22" s="460" t="str">
        <f>IF(AND(ISBLANK(E310),OR(NOT(ISBLANK(E309)),NOT(ISBLANK(E311)),NOT(ISBLANK(E312)),NOT(ISBLANK(I313)),NOT(ISBLANK(A315)))),1,"")</f>
        <v/>
      </c>
      <c r="AK22" s="460" t="str">
        <f>IF(AND(ISBLANK(E311),OR(NOT(ISBLANK(E309)),NOT(ISBLANK(E310)),NOT(ISBLANK(E312)),NOT(ISBLANK(I313)),NOT(ISBLANK(A315)))),1,"")</f>
        <v/>
      </c>
      <c r="AL22" s="460" t="str">
        <f>IF(AND(ISBLANK(E312),OR(NOT(ISBLANK(E309)),NOT(ISBLANK(E310)),NOT(ISBLANK(E311)),NOT(ISBLANK(I313)),NOT(ISBLANK(A315)))),1,"")</f>
        <v/>
      </c>
      <c r="AM22" s="460" t="str">
        <f>IF(AND(ISBLANK(I313),OR(NOT(ISBLANK(E309)),NOT(ISBLANK(E310)),NOT(ISBLANK(E311)),NOT(ISBLANK(E312)),NOT(ISBLANK(A315)))),1,"")</f>
        <v/>
      </c>
      <c r="AN22" s="460" t="str">
        <f>IF(AND(ISBLANK(A315),OR(NOT(ISBLANK(E309)),NOT(ISBLANK(E310)),NOT(ISBLANK(E311)),NOT(ISBLANK(E312)),NOT(ISBLANK(I313)))),1,"")</f>
        <v/>
      </c>
      <c r="AO22" s="127"/>
      <c r="AP22" s="127"/>
      <c r="AY22" s="127"/>
      <c r="AZ22" s="134"/>
      <c r="BA22" s="412" t="str">
        <f t="shared" si="1"/>
        <v/>
      </c>
      <c r="BB22" s="412" t="str">
        <f t="shared" si="5"/>
        <v/>
      </c>
      <c r="BC22" s="412" t="str">
        <f>T107</f>
        <v/>
      </c>
      <c r="BD22" s="213"/>
    </row>
    <row r="23" spans="1:56" ht="26.45" customHeight="1" x14ac:dyDescent="0.25">
      <c r="A23" s="1166" t="s">
        <v>636</v>
      </c>
      <c r="B23" s="1167"/>
      <c r="C23" s="1167"/>
      <c r="D23" s="1167"/>
      <c r="E23" s="1167"/>
      <c r="F23" s="1167"/>
      <c r="G23" s="1167"/>
      <c r="H23" s="1167"/>
      <c r="I23" s="1167"/>
      <c r="J23" s="1167"/>
      <c r="K23" s="1167"/>
      <c r="L23" s="1168"/>
      <c r="M23" s="1268"/>
      <c r="N23" s="1268"/>
      <c r="O23" s="1268"/>
      <c r="P23" s="1268"/>
      <c r="Q23" s="1269"/>
      <c r="R23" s="464"/>
      <c r="S23" s="469" t="str">
        <f>IF(ISBLANK(M23),"",VLOOKUP(M23,VRemote,2,FALSE))</f>
        <v/>
      </c>
      <c r="T23" s="470" t="s">
        <v>637</v>
      </c>
      <c r="U23" s="464"/>
      <c r="V23" s="464"/>
      <c r="W23" s="464"/>
      <c r="X23" s="466"/>
      <c r="Y23" s="466"/>
      <c r="Z23" s="466"/>
      <c r="AA23" s="134"/>
      <c r="AB23" s="456"/>
      <c r="AC23" s="127"/>
      <c r="AD23" s="127"/>
      <c r="AE23" s="154">
        <f>IF(AE10=9,1,0)</f>
        <v>0</v>
      </c>
      <c r="AF23" s="1195" t="s">
        <v>206</v>
      </c>
      <c r="AG23" s="1195"/>
      <c r="AH23" s="154">
        <f t="shared" si="4"/>
        <v>0</v>
      </c>
      <c r="AI23" s="460" t="str">
        <f>IF(AND(ISBLANK(E352),OR(NOT(ISBLANK(E353)),NOT(ISBLANK(E354)),NOT(ISBLANK(E355)),NOT(ISBLANK(I356)),NOT(ISBLANK(A358)))),1,"")</f>
        <v/>
      </c>
      <c r="AJ23" s="460" t="str">
        <f>IF(AND(ISBLANK(E353),OR(NOT(ISBLANK(E352)),NOT(ISBLANK(E354)),NOT(ISBLANK(E355)),NOT(ISBLANK(I356)),NOT(ISBLANK(A358)))),1,"")</f>
        <v/>
      </c>
      <c r="AK23" s="460" t="str">
        <f>IF(AND(ISBLANK(E354),OR(NOT(ISBLANK(E352)),NOT(ISBLANK(E353)),NOT(ISBLANK(E355)),NOT(ISBLANK(I356)),NOT(ISBLANK(A358)))),1,"")</f>
        <v/>
      </c>
      <c r="AL23" s="460" t="str">
        <f>IF(AND(ISBLANK(E355),OR(NOT(ISBLANK(E352)),NOT(ISBLANK(E353)),NOT(ISBLANK(E354)),NOT(ISBLANK(I356)),NOT(ISBLANK(A358)))),1,"")</f>
        <v/>
      </c>
      <c r="AM23" s="460" t="str">
        <f>IF(AND(ISBLANK(I356),OR(NOT(ISBLANK(E352)),NOT(ISBLANK(E353)),NOT(ISBLANK(E354)),NOT(ISBLANK(E355)),NOT(ISBLANK(A358)))),1,"")</f>
        <v/>
      </c>
      <c r="AN23" s="461" t="str">
        <f>IF(AND(ISBLANK(A358),OR(NOT(ISBLANK(E352)),NOT(ISBLANK(E353)),NOT(ISBLANK(E354)),NOT(ISBLANK(E355)),NOT(ISBLANK(I356)))),1,"")</f>
        <v/>
      </c>
      <c r="AO23" s="127"/>
      <c r="AP23" s="127"/>
      <c r="AY23" s="127"/>
      <c r="AZ23" s="134"/>
      <c r="BA23" s="412" t="str">
        <f t="shared" si="1"/>
        <v/>
      </c>
      <c r="BB23" s="412" t="str">
        <f t="shared" si="5"/>
        <v/>
      </c>
      <c r="BC23" s="412" t="str">
        <f>U107</f>
        <v/>
      </c>
    </row>
    <row r="24" spans="1:56" ht="26.45" customHeight="1" x14ac:dyDescent="0.25">
      <c r="A24" s="1166" t="s">
        <v>638</v>
      </c>
      <c r="B24" s="1167"/>
      <c r="C24" s="1167"/>
      <c r="D24" s="1167"/>
      <c r="E24" s="1167"/>
      <c r="F24" s="1167"/>
      <c r="G24" s="1167"/>
      <c r="H24" s="1167"/>
      <c r="I24" s="1167"/>
      <c r="J24" s="1167"/>
      <c r="K24" s="1167"/>
      <c r="L24" s="1167"/>
      <c r="M24" s="1268"/>
      <c r="N24" s="1268"/>
      <c r="O24" s="1268"/>
      <c r="P24" s="1268"/>
      <c r="Q24" s="1269"/>
      <c r="R24" s="466"/>
      <c r="S24" s="469" t="str">
        <f>IF(ISBLANK(M24),"",VLOOKUP(M24,VCapacity,2,FALSE))</f>
        <v/>
      </c>
      <c r="T24" s="162" t="s">
        <v>639</v>
      </c>
      <c r="U24" s="466"/>
      <c r="V24" s="466"/>
      <c r="W24" s="466"/>
      <c r="X24" s="466"/>
      <c r="Y24" s="466"/>
      <c r="Z24" s="466"/>
      <c r="AA24" s="464"/>
      <c r="AB24" s="464"/>
      <c r="AC24" s="464"/>
      <c r="AD24" s="471"/>
      <c r="AE24" s="154">
        <f>IF(AE11=10,1,0)</f>
        <v>0</v>
      </c>
      <c r="AF24" s="1195" t="s">
        <v>205</v>
      </c>
      <c r="AG24" s="1195"/>
      <c r="AH24" s="154">
        <f t="shared" si="4"/>
        <v>0</v>
      </c>
      <c r="AI24" s="460" t="str">
        <f>IF(AND(ISBLANK(E395),OR(NOT(ISBLANK(E396)),NOT(ISBLANK(E397)),NOT(ISBLANK(E398)),NOT(ISBLANK(I399)),NOT(ISBLANK(A401)))),1,"")</f>
        <v/>
      </c>
      <c r="AJ24" s="460" t="str">
        <f>IF(AND(ISBLANK(E396),OR(NOT(ISBLANK(E395)),NOT(ISBLANK(E397)),NOT(ISBLANK(E398)),NOT(ISBLANK(I399)),NOT(ISBLANK(A401)))),1,"")</f>
        <v/>
      </c>
      <c r="AK24" s="460" t="str">
        <f>IF(AND(ISBLANK(E397),OR(NOT(ISBLANK(E395)),NOT(ISBLANK(E396)),NOT(ISBLANK(E398)),NOT(ISBLANK(I399)),NOT(ISBLANK(A401)))),1,"")</f>
        <v/>
      </c>
      <c r="AL24" s="460" t="str">
        <f>IF(AND(ISBLANK(E398),OR(NOT(ISBLANK(E395)),NOT(ISBLANK(E396)),NOT(ISBLANK(E397)),NOT(ISBLANK(I399)),NOT(ISBLANK(A401)))),1,"")</f>
        <v/>
      </c>
      <c r="AM24" s="460" t="str">
        <f>IF(AND(ISBLANK(I399),OR(NOT(ISBLANK(E395)),NOT(ISBLANK(E396)),NOT(ISBLANK(E397)),NOT(ISBLANK(E398)),NOT(ISBLANK(A401)))),1,"")</f>
        <v/>
      </c>
      <c r="AN24" s="460" t="str">
        <f>IF(AND(ISBLANK(A401),OR(NOT(ISBLANK(E395)),NOT(ISBLANK(E396)),NOT(ISBLANK(E397)),NOT(ISBLANK(E398)),NOT(ISBLANK(I399)))),1,"")</f>
        <v/>
      </c>
      <c r="AO24" s="134"/>
      <c r="AP24" s="134"/>
      <c r="AQ24" s="134"/>
      <c r="AR24" s="134"/>
      <c r="AS24" s="134"/>
      <c r="AT24" s="134"/>
      <c r="AU24" s="134"/>
      <c r="AV24" s="134"/>
      <c r="AW24" s="134"/>
      <c r="AX24" s="134"/>
      <c r="AY24" s="127"/>
      <c r="AZ24" s="134"/>
      <c r="BA24" s="412" t="str">
        <f t="shared" si="1"/>
        <v/>
      </c>
      <c r="BB24" s="412" t="str">
        <f t="shared" si="5"/>
        <v/>
      </c>
      <c r="BC24" s="412" t="str">
        <f>V107</f>
        <v/>
      </c>
    </row>
    <row r="25" spans="1:56" ht="26.45" customHeight="1" x14ac:dyDescent="0.25">
      <c r="A25" s="1166" t="s">
        <v>640</v>
      </c>
      <c r="B25" s="1167"/>
      <c r="C25" s="1167"/>
      <c r="D25" s="1167"/>
      <c r="E25" s="1167"/>
      <c r="F25" s="1167"/>
      <c r="G25" s="1167"/>
      <c r="H25" s="1167"/>
      <c r="I25" s="1167"/>
      <c r="J25" s="1167"/>
      <c r="K25" s="1167"/>
      <c r="L25" s="1167"/>
      <c r="M25" s="1270"/>
      <c r="N25" s="1270"/>
      <c r="O25" s="1270"/>
      <c r="P25" s="1270"/>
      <c r="Q25" s="1271"/>
      <c r="R25" s="466"/>
      <c r="S25" s="469" t="str">
        <f>IF(ISBLANK(M25),"",VLOOKUP(M25,VPriorCap,2,FALSE))</f>
        <v/>
      </c>
      <c r="T25" s="162" t="s">
        <v>641</v>
      </c>
      <c r="U25" s="466"/>
      <c r="V25" s="466"/>
      <c r="W25" s="466"/>
      <c r="X25" s="464"/>
      <c r="Y25" s="464"/>
      <c r="Z25" s="464"/>
      <c r="AA25" s="466"/>
      <c r="AB25" s="466"/>
      <c r="AC25" s="466"/>
      <c r="AD25" s="471"/>
      <c r="AE25" s="154">
        <f>IF(AE12=11,1,0)</f>
        <v>0</v>
      </c>
      <c r="AF25" s="1195" t="s">
        <v>642</v>
      </c>
      <c r="AG25" s="1195"/>
      <c r="AH25" s="154">
        <f t="shared" si="4"/>
        <v>0</v>
      </c>
      <c r="AI25" s="460" t="str">
        <f>IF(AND(ISBLANK(E438),OR(NOT(ISBLANK(E439)),NOT(ISBLANK(E440)),NOT(ISBLANK(E441)),NOT(ISBLANK(I442)),NOT(ISBLANK(A444)))),1,"")</f>
        <v/>
      </c>
      <c r="AJ25" s="460" t="str">
        <f>IF(AND(ISBLANK(E439),OR(NOT(ISBLANK(E438)),NOT(ISBLANK(E440)),NOT(ISBLANK(E441)),NOT(ISBLANK(I442)),NOT(ISBLANK(A444)))),1,"")</f>
        <v/>
      </c>
      <c r="AK25" s="460" t="str">
        <f>IF(AND(ISBLANK(E440),OR(NOT(ISBLANK(E438)),NOT(ISBLANK(E439)),NOT(ISBLANK(E441)),NOT(ISBLANK(I442)),NOT(ISBLANK(A444)))),1,"")</f>
        <v/>
      </c>
      <c r="AL25" s="460" t="str">
        <f>IF(AND(ISBLANK(E441),OR(NOT(ISBLANK(E438)),NOT(ISBLANK(E439)),NOT(ISBLANK(E440)),NOT(ISBLANK(I442)),NOT(ISBLANK(A444)))),1,"")</f>
        <v/>
      </c>
      <c r="AM25" s="460" t="str">
        <f>IF(AND(ISBLANK(I442),OR(NOT(ISBLANK(E438)),NOT(ISBLANK(E439)),NOT(ISBLANK(E440)),NOT(ISBLANK(E441)),NOT(ISBLANK(A444)))),1,"")</f>
        <v/>
      </c>
      <c r="AN25" s="460" t="str">
        <f>IF(AND(ISBLANK(A444),OR(NOT(ISBLANK(E438)),NOT(ISBLANK(E439)),NOT(ISBLANK(E440)),NOT(ISBLANK(E441)),NOT(ISBLANK(I442)))),1,"")</f>
        <v/>
      </c>
      <c r="AO25" s="127"/>
      <c r="AP25" s="127"/>
      <c r="AQ25" s="127"/>
      <c r="AR25" s="127"/>
      <c r="AS25" s="127"/>
      <c r="AT25" s="127"/>
      <c r="AU25" s="127"/>
      <c r="AV25" s="127"/>
      <c r="AW25" s="127"/>
      <c r="AX25" s="127"/>
      <c r="AY25" s="127"/>
      <c r="AZ25" s="134"/>
      <c r="BA25" s="412" t="str">
        <f t="shared" si="1"/>
        <v/>
      </c>
      <c r="BB25" s="412" t="str">
        <f t="shared" si="5"/>
        <v/>
      </c>
      <c r="BC25" s="412" t="str">
        <f>S109</f>
        <v/>
      </c>
    </row>
    <row r="26" spans="1:56" ht="26.45" customHeight="1" x14ac:dyDescent="0.25">
      <c r="A26" s="1183" t="s">
        <v>643</v>
      </c>
      <c r="B26" s="1184"/>
      <c r="C26" s="1184"/>
      <c r="D26" s="1184"/>
      <c r="E26" s="1184"/>
      <c r="F26" s="1184"/>
      <c r="G26" s="1184"/>
      <c r="H26" s="1184"/>
      <c r="I26" s="1184"/>
      <c r="J26" s="1184"/>
      <c r="K26" s="1184"/>
      <c r="L26" s="1184"/>
      <c r="M26" s="1272"/>
      <c r="N26" s="1272"/>
      <c r="O26" s="1272"/>
      <c r="P26" s="1272"/>
      <c r="Q26" s="1273"/>
      <c r="R26" s="466"/>
      <c r="S26" s="472" t="str">
        <f>IF(ISBLANK(A27),"",A27)</f>
        <v/>
      </c>
      <c r="T26" s="162" t="s">
        <v>589</v>
      </c>
      <c r="U26" s="466"/>
      <c r="V26" s="466"/>
      <c r="W26" s="466"/>
      <c r="X26" s="466"/>
      <c r="Y26" s="466"/>
      <c r="Z26" s="466"/>
      <c r="AA26" s="466"/>
      <c r="AB26" s="466"/>
      <c r="AC26" s="466"/>
      <c r="AD26" s="471"/>
      <c r="AE26" s="154">
        <f>IF(AE13=12,1,0)</f>
        <v>0</v>
      </c>
      <c r="AF26" s="1195" t="s">
        <v>644</v>
      </c>
      <c r="AG26" s="1195"/>
      <c r="AH26" s="154">
        <f t="shared" si="4"/>
        <v>0</v>
      </c>
      <c r="AI26" s="460" t="str">
        <f>IF(AND(ISBLANK(E481),OR(NOT(ISBLANK(E482)),NOT(ISBLANK(E483)),NOT(ISBLANK(E484)),NOT(ISBLANK(I485)),NOT(ISBLANK(A487)))),1,"")</f>
        <v/>
      </c>
      <c r="AJ26" s="460" t="str">
        <f>IF(AND(ISBLANK(E482),OR(NOT(ISBLANK(E481)),NOT(ISBLANK(E483)),NOT(ISBLANK(E484)),NOT(ISBLANK(I485)),NOT(ISBLANK(A487)))),1,"")</f>
        <v/>
      </c>
      <c r="AK26" s="460" t="str">
        <f>IF(AND(ISBLANK(E483),OR(NOT(ISBLANK(E481)),NOT(ISBLANK(E482)),NOT(ISBLANK(E484)),NOT(ISBLANK(I485)),NOT(ISBLANK(A487)))),1,"")</f>
        <v/>
      </c>
      <c r="AL26" s="460" t="str">
        <f>IF(AND(ISBLANK(E484),OR(NOT(ISBLANK(E481)),NOT(ISBLANK(E482)),NOT(ISBLANK(E483)),NOT(ISBLANK(I485)),NOT(ISBLANK(A487)))),1,"")</f>
        <v/>
      </c>
      <c r="AM26" s="460" t="str">
        <f>IF(AND(ISBLANK(I485),OR(NOT(ISBLANK(E481)),NOT(ISBLANK(E482)),NOT(ISBLANK(E483)),NOT(ISBLANK(E484)),NOT(ISBLANK(A487)))),1,"")</f>
        <v/>
      </c>
      <c r="AN26" s="460" t="str">
        <f>IF(AND(ISBLANK(A487),OR(NOT(ISBLANK(E481)),NOT(ISBLANK(E482)),NOT(ISBLANK(E483)),NOT(ISBLANK(E484)),NOT(ISBLANK(I485)))),1,"")</f>
        <v/>
      </c>
      <c r="AO26" s="127"/>
      <c r="AP26" s="127"/>
      <c r="AQ26" s="127"/>
      <c r="AR26" s="127"/>
      <c r="AS26" s="127"/>
      <c r="AT26" s="127"/>
      <c r="AU26" s="127"/>
      <c r="AV26" s="127"/>
      <c r="AW26" s="127"/>
      <c r="AX26" s="127"/>
      <c r="AY26" s="127"/>
      <c r="AZ26" s="134"/>
      <c r="BA26" s="412" t="str">
        <f t="shared" si="1"/>
        <v/>
      </c>
      <c r="BB26" s="412" t="str">
        <f t="shared" si="5"/>
        <v/>
      </c>
      <c r="BC26" s="412" t="str">
        <f>S110</f>
        <v/>
      </c>
    </row>
    <row r="27" spans="1:56" ht="26.45" customHeight="1" x14ac:dyDescent="0.25">
      <c r="A27" s="1175"/>
      <c r="B27" s="1152"/>
      <c r="C27" s="1152"/>
      <c r="D27" s="1152"/>
      <c r="E27" s="1152"/>
      <c r="F27" s="1152"/>
      <c r="G27" s="1152"/>
      <c r="H27" s="1152"/>
      <c r="I27" s="1152"/>
      <c r="J27" s="1152"/>
      <c r="K27" s="1152"/>
      <c r="L27" s="1152"/>
      <c r="M27" s="1152"/>
      <c r="N27" s="1152"/>
      <c r="O27" s="1152"/>
      <c r="P27" s="1152"/>
      <c r="Q27" s="1182"/>
      <c r="R27" s="466"/>
      <c r="S27" s="466"/>
      <c r="T27" s="466"/>
      <c r="U27" s="466"/>
      <c r="V27" s="466"/>
      <c r="W27" s="466"/>
      <c r="X27" s="466"/>
      <c r="Y27" s="466"/>
      <c r="Z27" s="466"/>
      <c r="AA27" s="466"/>
      <c r="AB27" s="466"/>
      <c r="AC27" s="466"/>
      <c r="AD27" s="471"/>
      <c r="AE27" s="456"/>
      <c r="AF27" s="1274"/>
      <c r="AG27" s="1274"/>
      <c r="AH27" s="127"/>
      <c r="AI27" s="127"/>
      <c r="AJ27" s="127"/>
      <c r="AK27" s="127"/>
      <c r="AL27" s="127"/>
      <c r="AM27" s="127"/>
      <c r="AN27" s="127"/>
      <c r="AO27" s="127"/>
      <c r="AP27" s="127"/>
      <c r="AQ27" s="127"/>
      <c r="AR27" s="127"/>
      <c r="AS27" s="127"/>
      <c r="AT27" s="127"/>
      <c r="AU27" s="127"/>
      <c r="AV27" s="127"/>
      <c r="AW27" s="127"/>
      <c r="AX27" s="127"/>
      <c r="AY27" s="127"/>
      <c r="AZ27" s="134"/>
      <c r="BA27" s="412" t="str">
        <f t="shared" si="1"/>
        <v/>
      </c>
      <c r="BB27" s="412" t="str">
        <f t="shared" si="5"/>
        <v/>
      </c>
      <c r="BC27" s="412" t="str">
        <f>S111</f>
        <v/>
      </c>
    </row>
    <row r="28" spans="1:56" ht="26.45" customHeight="1" x14ac:dyDescent="0.25">
      <c r="A28" s="1186"/>
      <c r="B28" s="1187"/>
      <c r="C28" s="1187"/>
      <c r="D28" s="1187"/>
      <c r="E28" s="1187"/>
      <c r="F28" s="1187"/>
      <c r="G28" s="1187"/>
      <c r="H28" s="1187"/>
      <c r="I28" s="1187"/>
      <c r="J28" s="1187"/>
      <c r="K28" s="1187"/>
      <c r="L28" s="1187"/>
      <c r="M28" s="1187"/>
      <c r="N28" s="1187"/>
      <c r="O28" s="1187"/>
      <c r="P28" s="1187"/>
      <c r="Q28" s="1188"/>
      <c r="R28" s="466"/>
      <c r="S28" s="466"/>
      <c r="T28" s="466"/>
      <c r="U28" s="466"/>
      <c r="V28" s="466"/>
      <c r="W28" s="466"/>
      <c r="X28" s="466"/>
      <c r="Y28" s="466"/>
      <c r="Z28" s="466"/>
      <c r="AA28" s="466"/>
      <c r="AB28" s="466"/>
      <c r="AC28" s="466"/>
      <c r="AD28" s="471"/>
      <c r="AE28" s="456"/>
      <c r="AF28" s="127"/>
      <c r="AG28" s="127"/>
      <c r="AH28" s="127"/>
      <c r="AI28" s="127"/>
      <c r="AJ28" s="127"/>
      <c r="AK28" s="127"/>
      <c r="AL28" s="127"/>
      <c r="AM28" s="127"/>
      <c r="AN28" s="127"/>
      <c r="AO28" s="127"/>
      <c r="AP28" s="127"/>
      <c r="AQ28" s="127"/>
      <c r="AR28" s="127"/>
      <c r="AS28" s="127"/>
      <c r="AT28" s="127"/>
      <c r="AU28" s="127"/>
      <c r="AV28" s="127"/>
      <c r="AW28" s="127"/>
      <c r="AX28" s="127"/>
      <c r="AY28" s="127"/>
      <c r="AZ28" s="134"/>
      <c r="BA28" s="412" t="str">
        <f t="shared" si="1"/>
        <v/>
      </c>
      <c r="BB28" s="412" t="str">
        <f t="shared" si="5"/>
        <v/>
      </c>
      <c r="BC28" s="412" t="str">
        <f>S119</f>
        <v/>
      </c>
    </row>
    <row r="29" spans="1:56" s="213" customFormat="1" ht="26.45" customHeight="1" x14ac:dyDescent="0.25">
      <c r="A29" s="1189" t="s">
        <v>645</v>
      </c>
      <c r="B29" s="1190"/>
      <c r="C29" s="1190"/>
      <c r="D29" s="1190"/>
      <c r="E29" s="1190"/>
      <c r="F29" s="1190"/>
      <c r="G29" s="1190"/>
      <c r="H29" s="1190"/>
      <c r="I29" s="1190"/>
      <c r="J29" s="1190"/>
      <c r="K29" s="1190"/>
      <c r="L29" s="1190"/>
      <c r="M29" s="1190"/>
      <c r="N29" s="1190"/>
      <c r="O29" s="1190"/>
      <c r="P29" s="1190"/>
      <c r="Q29" s="1191"/>
      <c r="R29" s="468"/>
      <c r="S29" s="468"/>
      <c r="T29" s="468"/>
      <c r="U29" s="468"/>
      <c r="V29" s="468"/>
      <c r="W29" s="464"/>
      <c r="X29" s="466"/>
      <c r="Y29" s="466"/>
      <c r="Z29" s="466"/>
      <c r="AA29" s="466"/>
      <c r="AB29" s="466"/>
      <c r="AC29" s="466"/>
      <c r="AD29" s="471"/>
      <c r="AE29" s="465"/>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412" t="str">
        <f t="shared" si="1"/>
        <v/>
      </c>
      <c r="BB29" s="412" t="str">
        <f t="shared" si="5"/>
        <v/>
      </c>
      <c r="BC29" s="412" t="str">
        <f>S120</f>
        <v/>
      </c>
    </row>
    <row r="30" spans="1:56" s="213" customFormat="1" ht="26.45" customHeight="1" x14ac:dyDescent="0.25">
      <c r="A30" s="1265"/>
      <c r="B30" s="1266"/>
      <c r="C30" s="1266"/>
      <c r="D30" s="1266"/>
      <c r="E30" s="1266"/>
      <c r="F30" s="1266"/>
      <c r="G30" s="1266"/>
      <c r="H30" s="1266"/>
      <c r="I30" s="1266"/>
      <c r="J30" s="1266"/>
      <c r="K30" s="1266"/>
      <c r="L30" s="1266"/>
      <c r="M30" s="1266"/>
      <c r="N30" s="1266"/>
      <c r="O30" s="1266"/>
      <c r="P30" s="1266"/>
      <c r="Q30" s="1267"/>
      <c r="R30" s="466"/>
      <c r="S30" s="472" t="str">
        <f>IF(ISBLANK(A30),"",A30)</f>
        <v/>
      </c>
      <c r="T30" s="438" t="s">
        <v>194</v>
      </c>
      <c r="U30" s="466"/>
      <c r="V30" s="466"/>
      <c r="W30" s="466"/>
      <c r="X30" s="466"/>
      <c r="Y30" s="466"/>
      <c r="Z30" s="466"/>
      <c r="AA30" s="466"/>
      <c r="AB30" s="466"/>
      <c r="AC30" s="466"/>
      <c r="AD30" s="471"/>
      <c r="AE30" s="465"/>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441" t="str">
        <f t="shared" si="1"/>
        <v/>
      </c>
      <c r="BB30" s="441" t="str">
        <f t="shared" ref="BB30:BB38" si="6">IF(BC30="","",$Q$135)</f>
        <v/>
      </c>
      <c r="BC30" s="441" t="str">
        <f>S150</f>
        <v/>
      </c>
      <c r="BD30" s="207" t="s">
        <v>646</v>
      </c>
    </row>
    <row r="31" spans="1:56" ht="26.45" customHeight="1" thickBot="1" x14ac:dyDescent="0.3">
      <c r="A31" s="1151"/>
      <c r="B31" s="1152"/>
      <c r="C31" s="1152"/>
      <c r="D31" s="1152"/>
      <c r="E31" s="1152"/>
      <c r="F31" s="1152"/>
      <c r="G31" s="1152"/>
      <c r="H31" s="1152"/>
      <c r="I31" s="1152"/>
      <c r="J31" s="1152"/>
      <c r="K31" s="1152"/>
      <c r="L31" s="1152"/>
      <c r="M31" s="1152"/>
      <c r="N31" s="1152"/>
      <c r="O31" s="1152"/>
      <c r="P31" s="1152"/>
      <c r="Q31" s="1182"/>
      <c r="R31" s="466"/>
      <c r="S31" s="466"/>
      <c r="T31" s="438"/>
      <c r="U31" s="466"/>
      <c r="V31" s="466"/>
      <c r="W31" s="466"/>
      <c r="X31" s="466"/>
      <c r="Y31" s="466"/>
      <c r="Z31" s="466"/>
      <c r="AA31" s="466"/>
      <c r="AB31" s="466"/>
      <c r="AC31" s="466"/>
      <c r="AD31" s="471"/>
      <c r="AE31" s="456"/>
      <c r="AF31" s="127"/>
      <c r="AG31" s="127"/>
      <c r="AH31" s="127"/>
      <c r="AI31" s="127"/>
      <c r="AJ31" s="127"/>
      <c r="AK31" s="127"/>
      <c r="AL31" s="127"/>
      <c r="AM31" s="127"/>
      <c r="AN31" s="127"/>
      <c r="AO31" s="127"/>
      <c r="AP31" s="127"/>
      <c r="AQ31" s="127"/>
      <c r="AR31" s="127"/>
      <c r="AS31" s="127"/>
      <c r="AT31" s="127"/>
      <c r="AU31" s="127"/>
      <c r="AV31" s="127"/>
      <c r="AW31" s="127"/>
      <c r="AX31" s="127"/>
      <c r="AY31" s="127"/>
      <c r="AZ31" s="134"/>
      <c r="BA31" s="441" t="str">
        <f t="shared" si="1"/>
        <v/>
      </c>
      <c r="BB31" s="441" t="str">
        <f t="shared" si="6"/>
        <v/>
      </c>
      <c r="BC31" s="441" t="str">
        <f>T150</f>
        <v/>
      </c>
    </row>
    <row r="32" spans="1:56" ht="25.9" customHeight="1" x14ac:dyDescent="0.25">
      <c r="A32" s="1157" t="s">
        <v>647</v>
      </c>
      <c r="B32" s="1158"/>
      <c r="C32" s="1158"/>
      <c r="D32" s="1158"/>
      <c r="E32" s="1158"/>
      <c r="F32" s="1158"/>
      <c r="G32" s="1158"/>
      <c r="H32" s="1158"/>
      <c r="I32" s="1158"/>
      <c r="J32" s="1158"/>
      <c r="K32" s="1158"/>
      <c r="L32" s="1158"/>
      <c r="M32" s="1158"/>
      <c r="N32" s="1158"/>
      <c r="O32" s="1158"/>
      <c r="P32" s="1158"/>
      <c r="Q32" s="1159"/>
      <c r="R32" s="464"/>
      <c r="S32" s="468" t="s">
        <v>648</v>
      </c>
      <c r="T32" s="464"/>
      <c r="U32" s="464"/>
      <c r="V32" s="464"/>
      <c r="W32" s="466"/>
      <c r="X32" s="466"/>
      <c r="Y32" s="466"/>
      <c r="Z32" s="466"/>
      <c r="AA32" s="466"/>
      <c r="AB32" s="466"/>
      <c r="AC32" s="466"/>
      <c r="AD32" s="471"/>
      <c r="AE32" s="456"/>
      <c r="AF32" s="127"/>
      <c r="AG32" s="127"/>
      <c r="AH32" s="127"/>
      <c r="AI32" s="127"/>
      <c r="AJ32" s="127"/>
      <c r="AK32" s="127"/>
      <c r="AL32" s="127"/>
      <c r="AM32" s="127"/>
      <c r="AN32" s="127"/>
      <c r="AO32" s="127"/>
      <c r="AP32" s="127"/>
      <c r="AQ32" s="127"/>
      <c r="AR32" s="127"/>
      <c r="AS32" s="127"/>
      <c r="AT32" s="127"/>
      <c r="AU32" s="127"/>
      <c r="AV32" s="127"/>
      <c r="AW32" s="127"/>
      <c r="AX32" s="127"/>
      <c r="AY32" s="127"/>
      <c r="AZ32" s="134"/>
      <c r="BA32" s="441" t="str">
        <f t="shared" si="1"/>
        <v/>
      </c>
      <c r="BB32" s="441" t="str">
        <f t="shared" si="6"/>
        <v/>
      </c>
      <c r="BC32" s="441" t="str">
        <f>U150</f>
        <v/>
      </c>
    </row>
    <row r="33" spans="1:56" ht="25.9" customHeight="1" x14ac:dyDescent="0.25">
      <c r="A33" s="1192" t="s">
        <v>649</v>
      </c>
      <c r="B33" s="1193"/>
      <c r="C33" s="1193"/>
      <c r="D33" s="1193"/>
      <c r="E33" s="1193"/>
      <c r="F33" s="1193"/>
      <c r="G33" s="1193"/>
      <c r="H33" s="1193"/>
      <c r="I33" s="1193"/>
      <c r="J33" s="1193"/>
      <c r="K33" s="1193"/>
      <c r="L33" s="1194"/>
      <c r="M33" s="1268"/>
      <c r="N33" s="1268"/>
      <c r="O33" s="1268"/>
      <c r="P33" s="1268"/>
      <c r="Q33" s="1269"/>
      <c r="R33" s="466"/>
      <c r="S33" s="473" t="str">
        <f>IF(ISBLANK(M33),"",VLOOKUP(M33,VImpact,2,FALSE))</f>
        <v/>
      </c>
      <c r="T33" s="162" t="s">
        <v>650</v>
      </c>
      <c r="U33" s="466"/>
      <c r="V33" s="466"/>
      <c r="W33" s="466"/>
      <c r="X33" s="466"/>
      <c r="Y33" s="466"/>
      <c r="Z33" s="466"/>
      <c r="AA33" s="466"/>
      <c r="AB33" s="466"/>
      <c r="AC33" s="466"/>
      <c r="AD33" s="471"/>
      <c r="AE33" s="456"/>
      <c r="AF33" s="127"/>
      <c r="AG33" s="127"/>
      <c r="AH33" s="127"/>
      <c r="AI33" s="127"/>
      <c r="AJ33" s="127"/>
      <c r="AK33" s="127"/>
      <c r="AL33" s="127"/>
      <c r="AM33" s="127"/>
      <c r="AN33" s="127"/>
      <c r="AO33" s="127"/>
      <c r="AP33" s="127"/>
      <c r="AQ33" s="127"/>
      <c r="AR33" s="127"/>
      <c r="AS33" s="127"/>
      <c r="AT33" s="127"/>
      <c r="AU33" s="127"/>
      <c r="AV33" s="127"/>
      <c r="AW33" s="127"/>
      <c r="AX33" s="127"/>
      <c r="AY33" s="127"/>
      <c r="AZ33" s="134"/>
      <c r="BA33" s="441" t="str">
        <f t="shared" si="1"/>
        <v/>
      </c>
      <c r="BB33" s="441" t="str">
        <f t="shared" si="6"/>
        <v/>
      </c>
      <c r="BC33" s="441" t="str">
        <f>V150</f>
        <v/>
      </c>
    </row>
    <row r="34" spans="1:56" ht="25.9" customHeight="1" x14ac:dyDescent="0.25">
      <c r="A34" s="1166" t="s">
        <v>651</v>
      </c>
      <c r="B34" s="1167"/>
      <c r="C34" s="1167"/>
      <c r="D34" s="1167"/>
      <c r="E34" s="1167"/>
      <c r="F34" s="1167"/>
      <c r="G34" s="1167"/>
      <c r="H34" s="1167"/>
      <c r="I34" s="1167"/>
      <c r="J34" s="1167"/>
      <c r="K34" s="1167"/>
      <c r="L34" s="1168"/>
      <c r="M34" s="1268"/>
      <c r="N34" s="1268"/>
      <c r="O34" s="1268"/>
      <c r="P34" s="1268"/>
      <c r="Q34" s="1269"/>
      <c r="R34" s="466"/>
      <c r="S34" s="473" t="str">
        <f>IF(ISBLANK(M34),"",VLOOKUP(M34,VEvidence,2,FALSE))</f>
        <v/>
      </c>
      <c r="T34" s="251" t="s">
        <v>652</v>
      </c>
      <c r="U34" s="466"/>
      <c r="V34" s="466"/>
      <c r="W34" s="466"/>
      <c r="X34" s="468"/>
      <c r="Y34" s="468"/>
      <c r="Z34" s="468"/>
      <c r="AA34" s="466"/>
      <c r="AB34" s="466"/>
      <c r="AC34" s="466"/>
      <c r="AD34" s="471"/>
      <c r="AE34" s="456"/>
      <c r="AF34" s="127"/>
      <c r="AG34" s="127"/>
      <c r="AH34" s="127"/>
      <c r="AI34" s="127"/>
      <c r="AJ34" s="127"/>
      <c r="AK34" s="127"/>
      <c r="AL34" s="127"/>
      <c r="AM34" s="127"/>
      <c r="AN34" s="127"/>
      <c r="AO34" s="127"/>
      <c r="AP34" s="127"/>
      <c r="AQ34" s="127"/>
      <c r="AR34" s="127"/>
      <c r="AS34" s="127"/>
      <c r="AT34" s="127"/>
      <c r="AU34" s="127"/>
      <c r="AV34" s="127"/>
      <c r="AW34" s="127"/>
      <c r="AX34" s="127"/>
      <c r="AY34" s="127"/>
      <c r="AZ34" s="134"/>
      <c r="BA34" s="441" t="str">
        <f t="shared" si="1"/>
        <v/>
      </c>
      <c r="BB34" s="441" t="str">
        <f t="shared" si="6"/>
        <v/>
      </c>
      <c r="BC34" s="441" t="str">
        <f>S152</f>
        <v/>
      </c>
    </row>
    <row r="35" spans="1:56" ht="25.9" customHeight="1" x14ac:dyDescent="0.25">
      <c r="A35" s="1172" t="s">
        <v>653</v>
      </c>
      <c r="B35" s="1173"/>
      <c r="C35" s="1173"/>
      <c r="D35" s="1173"/>
      <c r="E35" s="1173"/>
      <c r="F35" s="1173"/>
      <c r="G35" s="1173"/>
      <c r="H35" s="1173"/>
      <c r="I35" s="1173"/>
      <c r="J35" s="1173"/>
      <c r="K35" s="1173"/>
      <c r="L35" s="1173"/>
      <c r="M35" s="1263"/>
      <c r="N35" s="1263"/>
      <c r="O35" s="1263"/>
      <c r="P35" s="1263"/>
      <c r="Q35" s="1264"/>
      <c r="R35" s="466"/>
      <c r="S35" s="472" t="str">
        <f>IF(ISBLANK(A36),"",A36)</f>
        <v/>
      </c>
      <c r="T35" s="438" t="s">
        <v>193</v>
      </c>
      <c r="U35" s="466"/>
      <c r="V35" s="466"/>
      <c r="W35" s="466"/>
      <c r="X35" s="466"/>
      <c r="Y35" s="466"/>
      <c r="Z35" s="466"/>
      <c r="AA35" s="474"/>
      <c r="AB35" s="474"/>
      <c r="AC35" s="474"/>
      <c r="AD35" s="471"/>
      <c r="AE35" s="456"/>
      <c r="AF35" s="127"/>
      <c r="AG35" s="127"/>
      <c r="AH35" s="127"/>
      <c r="AI35" s="127"/>
      <c r="AJ35" s="127"/>
      <c r="AK35" s="127"/>
      <c r="AL35" s="127"/>
      <c r="AM35" s="127"/>
      <c r="AN35" s="127"/>
      <c r="AO35" s="127"/>
      <c r="AP35" s="127"/>
      <c r="AQ35" s="127"/>
      <c r="AR35" s="127"/>
      <c r="AS35" s="127"/>
      <c r="AT35" s="127"/>
      <c r="AU35" s="127"/>
      <c r="AV35" s="127"/>
      <c r="AW35" s="127"/>
      <c r="AX35" s="127"/>
      <c r="AY35" s="127"/>
      <c r="AZ35" s="134"/>
      <c r="BA35" s="441" t="str">
        <f t="shared" si="1"/>
        <v/>
      </c>
      <c r="BB35" s="441" t="str">
        <f t="shared" si="6"/>
        <v/>
      </c>
      <c r="BC35" s="441" t="str">
        <f>S153</f>
        <v/>
      </c>
    </row>
    <row r="36" spans="1:56" ht="25.9" customHeight="1" x14ac:dyDescent="0.25">
      <c r="A36" s="1265"/>
      <c r="B36" s="1266"/>
      <c r="C36" s="1266"/>
      <c r="D36" s="1266"/>
      <c r="E36" s="1266"/>
      <c r="F36" s="1266"/>
      <c r="G36" s="1266"/>
      <c r="H36" s="1266"/>
      <c r="I36" s="1266"/>
      <c r="J36" s="1266"/>
      <c r="K36" s="1266"/>
      <c r="L36" s="1266"/>
      <c r="M36" s="1266"/>
      <c r="N36" s="1266"/>
      <c r="O36" s="1266"/>
      <c r="P36" s="1266"/>
      <c r="Q36" s="1267"/>
      <c r="R36" s="466"/>
      <c r="S36" s="466"/>
      <c r="T36" s="475"/>
      <c r="U36" s="466"/>
      <c r="V36" s="466"/>
      <c r="W36" s="466"/>
      <c r="X36" s="466"/>
      <c r="Y36" s="466"/>
      <c r="Z36" s="466"/>
      <c r="AA36" s="474"/>
      <c r="AB36" s="474"/>
      <c r="AC36" s="474"/>
      <c r="AD36" s="471"/>
      <c r="AE36" s="456"/>
      <c r="AF36" s="127"/>
      <c r="AG36" s="127"/>
      <c r="AH36" s="127"/>
      <c r="AI36" s="127"/>
      <c r="AJ36" s="127"/>
      <c r="AK36" s="127"/>
      <c r="AL36" s="127"/>
      <c r="AM36" s="127"/>
      <c r="AN36" s="127"/>
      <c r="AO36" s="127"/>
      <c r="AP36" s="127"/>
      <c r="AQ36" s="127"/>
      <c r="AR36" s="127"/>
      <c r="AS36" s="127"/>
      <c r="AT36" s="127"/>
      <c r="AU36" s="127"/>
      <c r="AV36" s="127"/>
      <c r="AW36" s="127"/>
      <c r="AX36" s="127"/>
      <c r="AY36" s="127"/>
      <c r="AZ36" s="134"/>
      <c r="BA36" s="441" t="str">
        <f t="shared" si="1"/>
        <v/>
      </c>
      <c r="BB36" s="441" t="str">
        <f t="shared" si="6"/>
        <v/>
      </c>
      <c r="BC36" s="441" t="str">
        <f>S154</f>
        <v/>
      </c>
    </row>
    <row r="37" spans="1:56" ht="25.9" customHeight="1" x14ac:dyDescent="0.25">
      <c r="A37" s="1186"/>
      <c r="B37" s="1187"/>
      <c r="C37" s="1187"/>
      <c r="D37" s="1187"/>
      <c r="E37" s="1187"/>
      <c r="F37" s="1187"/>
      <c r="G37" s="1187"/>
      <c r="H37" s="1187"/>
      <c r="I37" s="1187"/>
      <c r="J37" s="1187"/>
      <c r="K37" s="1187"/>
      <c r="L37" s="1187"/>
      <c r="M37" s="1187"/>
      <c r="N37" s="1187"/>
      <c r="O37" s="1187"/>
      <c r="P37" s="1187"/>
      <c r="Q37" s="1188"/>
      <c r="R37" s="466"/>
      <c r="S37" s="466"/>
      <c r="T37" s="475"/>
      <c r="U37" s="466"/>
      <c r="V37" s="466"/>
      <c r="W37" s="466"/>
      <c r="X37" s="476"/>
      <c r="Y37" s="476"/>
      <c r="Z37" s="476"/>
      <c r="AA37" s="474"/>
      <c r="AB37" s="474"/>
      <c r="AC37" s="474"/>
      <c r="AD37" s="471"/>
      <c r="AE37" s="456"/>
      <c r="AF37" s="127"/>
      <c r="AG37" s="127"/>
      <c r="AH37" s="127"/>
      <c r="AI37" s="127"/>
      <c r="AJ37" s="127"/>
      <c r="AK37" s="127"/>
      <c r="AL37" s="127"/>
      <c r="AM37" s="127"/>
      <c r="AN37" s="127"/>
      <c r="AO37" s="127"/>
      <c r="AP37" s="127"/>
      <c r="AQ37" s="127"/>
      <c r="AR37" s="127"/>
      <c r="AS37" s="127"/>
      <c r="AT37" s="127"/>
      <c r="AU37" s="127"/>
      <c r="AV37" s="127"/>
      <c r="AW37" s="127"/>
      <c r="AX37" s="127"/>
      <c r="AY37" s="127"/>
      <c r="AZ37" s="134"/>
      <c r="BA37" s="441" t="str">
        <f t="shared" si="1"/>
        <v/>
      </c>
      <c r="BB37" s="441" t="str">
        <f t="shared" si="6"/>
        <v/>
      </c>
      <c r="BC37" s="441" t="str">
        <f>S162</f>
        <v/>
      </c>
    </row>
    <row r="38" spans="1:56" ht="25.9" customHeight="1" x14ac:dyDescent="0.25">
      <c r="A38" s="1179" t="s">
        <v>654</v>
      </c>
      <c r="B38" s="1180"/>
      <c r="C38" s="1180"/>
      <c r="D38" s="1180"/>
      <c r="E38" s="1180"/>
      <c r="F38" s="1180"/>
      <c r="G38" s="1180"/>
      <c r="H38" s="1180"/>
      <c r="I38" s="1180"/>
      <c r="J38" s="1180"/>
      <c r="K38" s="1180"/>
      <c r="L38" s="1180"/>
      <c r="M38" s="1180"/>
      <c r="N38" s="1180"/>
      <c r="O38" s="1180"/>
      <c r="P38" s="1180"/>
      <c r="Q38" s="1181"/>
      <c r="R38" s="466"/>
      <c r="S38" s="472" t="str">
        <f>IF(ISBLANK(A39),"",A39)</f>
        <v/>
      </c>
      <c r="T38" s="475" t="s">
        <v>590</v>
      </c>
      <c r="U38" s="466"/>
      <c r="V38" s="466"/>
      <c r="W38" s="468"/>
      <c r="X38" s="195"/>
      <c r="Y38" s="195"/>
      <c r="Z38" s="195"/>
      <c r="AA38" s="464"/>
      <c r="AB38" s="464"/>
      <c r="AC38" s="464"/>
      <c r="AD38" s="471"/>
      <c r="AE38" s="465"/>
      <c r="AF38" s="134"/>
      <c r="AG38" s="134"/>
      <c r="AH38" s="134"/>
      <c r="AI38" s="134"/>
      <c r="AJ38" s="134"/>
      <c r="AK38" s="134"/>
      <c r="AL38" s="134"/>
      <c r="AM38" s="134"/>
      <c r="AN38" s="134"/>
      <c r="AO38" s="134"/>
      <c r="AP38" s="134"/>
      <c r="AQ38" s="134"/>
      <c r="AR38" s="134"/>
      <c r="AS38" s="134"/>
      <c r="AT38" s="134"/>
      <c r="AU38" s="134"/>
      <c r="AV38" s="134"/>
      <c r="AW38" s="134"/>
      <c r="AX38" s="134"/>
      <c r="AY38" s="127"/>
      <c r="AZ38" s="134"/>
      <c r="BA38" s="441" t="str">
        <f t="shared" si="1"/>
        <v/>
      </c>
      <c r="BB38" s="441" t="str">
        <f t="shared" si="6"/>
        <v/>
      </c>
      <c r="BC38" s="441" t="str">
        <f>S163</f>
        <v/>
      </c>
    </row>
    <row r="39" spans="1:56" ht="25.9" customHeight="1" x14ac:dyDescent="0.25">
      <c r="A39" s="1265"/>
      <c r="B39" s="1266"/>
      <c r="C39" s="1266"/>
      <c r="D39" s="1266"/>
      <c r="E39" s="1266"/>
      <c r="F39" s="1266"/>
      <c r="G39" s="1266"/>
      <c r="H39" s="1266"/>
      <c r="I39" s="1266"/>
      <c r="J39" s="1266"/>
      <c r="K39" s="1266"/>
      <c r="L39" s="1266"/>
      <c r="M39" s="1266"/>
      <c r="N39" s="1266"/>
      <c r="O39" s="1266"/>
      <c r="P39" s="1266"/>
      <c r="Q39" s="1267"/>
      <c r="R39" s="466"/>
      <c r="U39" s="466"/>
      <c r="V39" s="466"/>
      <c r="W39" s="466"/>
      <c r="X39" s="195"/>
      <c r="Y39" s="195"/>
      <c r="Z39" s="195"/>
      <c r="AA39" s="466"/>
      <c r="AB39" s="466"/>
      <c r="AC39" s="466"/>
      <c r="AD39" s="134"/>
      <c r="AE39" s="456"/>
      <c r="AF39" s="127"/>
      <c r="AG39" s="127"/>
      <c r="AH39" s="127"/>
      <c r="AI39" s="127"/>
      <c r="AJ39" s="127"/>
      <c r="AK39" s="127"/>
      <c r="AL39" s="127"/>
      <c r="AM39" s="127"/>
      <c r="AN39" s="127"/>
      <c r="AO39" s="127"/>
      <c r="AP39" s="127"/>
      <c r="AQ39" s="127"/>
      <c r="AR39" s="127"/>
      <c r="AS39" s="127"/>
      <c r="AT39" s="127"/>
      <c r="AU39" s="127"/>
      <c r="AV39" s="127"/>
      <c r="AW39" s="127"/>
      <c r="AX39" s="127"/>
      <c r="AY39" s="127"/>
      <c r="AZ39" s="134"/>
      <c r="BA39" s="412" t="str">
        <f t="shared" si="1"/>
        <v/>
      </c>
      <c r="BB39" s="412" t="str">
        <f t="shared" ref="BB39:BB47" si="7">IF(BC39="","",$Q$178)</f>
        <v/>
      </c>
      <c r="BC39" s="412" t="str">
        <f>S193</f>
        <v/>
      </c>
      <c r="BD39" s="207" t="s">
        <v>655</v>
      </c>
    </row>
    <row r="40" spans="1:56" ht="25.9" customHeight="1" thickBot="1" x14ac:dyDescent="0.25">
      <c r="A40" s="1186"/>
      <c r="B40" s="1187"/>
      <c r="C40" s="1187"/>
      <c r="D40" s="1187"/>
      <c r="E40" s="1187"/>
      <c r="F40" s="1187"/>
      <c r="G40" s="1187"/>
      <c r="H40" s="1187"/>
      <c r="I40" s="1187"/>
      <c r="J40" s="1187"/>
      <c r="K40" s="1187"/>
      <c r="L40" s="1187"/>
      <c r="M40" s="1187"/>
      <c r="N40" s="1187"/>
      <c r="O40" s="1187"/>
      <c r="P40" s="1187"/>
      <c r="Q40" s="1188"/>
      <c r="R40" s="466"/>
      <c r="S40" s="466"/>
      <c r="T40" s="466"/>
      <c r="U40" s="466"/>
      <c r="V40" s="466"/>
      <c r="W40" s="466"/>
      <c r="X40" s="195"/>
      <c r="Y40" s="195"/>
      <c r="Z40" s="195"/>
      <c r="AA40" s="466"/>
      <c r="AB40" s="466"/>
      <c r="AC40" s="466"/>
      <c r="AD40" s="127"/>
      <c r="AE40" s="477"/>
      <c r="AF40" s="127"/>
      <c r="AG40" s="127"/>
      <c r="AH40" s="127"/>
      <c r="AI40" s="127"/>
      <c r="AJ40" s="127"/>
      <c r="AK40" s="127"/>
      <c r="AL40" s="127"/>
      <c r="AM40" s="127"/>
      <c r="AN40" s="127"/>
      <c r="AO40" s="127"/>
      <c r="AP40" s="127"/>
      <c r="AQ40" s="127"/>
      <c r="AR40" s="127"/>
      <c r="AS40" s="127"/>
      <c r="AT40" s="127"/>
      <c r="AU40" s="127"/>
      <c r="AV40" s="127"/>
      <c r="AW40" s="127"/>
      <c r="AX40" s="127"/>
      <c r="AY40" s="127"/>
      <c r="AZ40" s="134"/>
      <c r="BA40" s="412" t="str">
        <f t="shared" si="1"/>
        <v/>
      </c>
      <c r="BB40" s="412" t="str">
        <f t="shared" si="7"/>
        <v/>
      </c>
      <c r="BC40" s="412" t="str">
        <f>T193</f>
        <v/>
      </c>
      <c r="BD40" s="213"/>
    </row>
    <row r="41" spans="1:56" ht="25.9" customHeight="1" x14ac:dyDescent="0.2">
      <c r="A41" s="1148" t="s">
        <v>656</v>
      </c>
      <c r="B41" s="1149"/>
      <c r="C41" s="1149"/>
      <c r="D41" s="1149"/>
      <c r="E41" s="1149"/>
      <c r="F41" s="1149"/>
      <c r="G41" s="1149"/>
      <c r="H41" s="1149"/>
      <c r="I41" s="1149"/>
      <c r="J41" s="1149"/>
      <c r="K41" s="1149"/>
      <c r="L41" s="1149"/>
      <c r="M41" s="1149"/>
      <c r="N41" s="1149"/>
      <c r="O41" s="1149"/>
      <c r="P41" s="1149"/>
      <c r="Q41" s="1150"/>
      <c r="S41" s="478" t="str">
        <f>IF(ISBLANK(A42),"",A42)</f>
        <v/>
      </c>
      <c r="T41" s="479" t="s">
        <v>657</v>
      </c>
      <c r="W41" s="476"/>
      <c r="X41" s="474"/>
      <c r="Y41" s="474"/>
      <c r="Z41" s="474"/>
      <c r="AA41" s="466"/>
      <c r="AB41" s="466"/>
      <c r="AC41" s="466"/>
      <c r="AD41" s="127"/>
      <c r="AE41" s="477"/>
      <c r="AF41" s="127"/>
      <c r="AG41" s="127"/>
      <c r="AH41" s="127"/>
      <c r="AI41" s="127"/>
      <c r="AJ41" s="127"/>
      <c r="AK41" s="127"/>
      <c r="AL41" s="127"/>
      <c r="AM41" s="127"/>
      <c r="AN41" s="127"/>
      <c r="AO41" s="127"/>
      <c r="AP41" s="127"/>
      <c r="AQ41" s="127"/>
      <c r="AR41" s="127"/>
      <c r="AS41" s="127"/>
      <c r="AT41" s="127"/>
      <c r="AU41" s="127"/>
      <c r="AV41" s="127"/>
      <c r="AW41" s="127"/>
      <c r="AX41" s="127"/>
      <c r="AY41" s="127"/>
      <c r="AZ41" s="134"/>
      <c r="BA41" s="412" t="str">
        <f t="shared" si="1"/>
        <v/>
      </c>
      <c r="BB41" s="412" t="str">
        <f t="shared" si="7"/>
        <v/>
      </c>
      <c r="BC41" s="412" t="str">
        <f>U193</f>
        <v/>
      </c>
    </row>
    <row r="42" spans="1:56" ht="25.9" customHeight="1" x14ac:dyDescent="0.2">
      <c r="A42" s="1175"/>
      <c r="B42" s="1152"/>
      <c r="C42" s="1152"/>
      <c r="D42" s="1152"/>
      <c r="E42" s="1152"/>
      <c r="F42" s="1152"/>
      <c r="G42" s="1152"/>
      <c r="H42" s="1152"/>
      <c r="I42" s="1152"/>
      <c r="J42" s="1152"/>
      <c r="K42" s="1152"/>
      <c r="L42" s="1152"/>
      <c r="M42" s="1152"/>
      <c r="N42" s="1152"/>
      <c r="O42" s="1152"/>
      <c r="P42" s="1152"/>
      <c r="Q42" s="1153"/>
      <c r="W42" s="195"/>
      <c r="X42" s="480"/>
      <c r="Y42" s="480"/>
      <c r="Z42" s="480"/>
      <c r="AA42" s="468"/>
      <c r="AB42" s="468"/>
      <c r="AC42" s="468"/>
      <c r="AD42" s="134"/>
      <c r="AE42" s="477"/>
      <c r="AF42" s="134"/>
      <c r="AG42" s="134"/>
      <c r="AH42" s="134"/>
      <c r="AI42" s="134"/>
      <c r="AJ42" s="134"/>
      <c r="AK42" s="134"/>
      <c r="AL42" s="134"/>
      <c r="AM42" s="134"/>
      <c r="AN42" s="134"/>
      <c r="AO42" s="134"/>
      <c r="AP42" s="134"/>
      <c r="AQ42" s="134"/>
      <c r="AR42" s="134"/>
      <c r="AS42" s="134"/>
      <c r="AT42" s="134"/>
      <c r="AU42" s="134"/>
      <c r="AV42" s="134"/>
      <c r="AW42" s="134"/>
      <c r="AX42" s="134"/>
      <c r="AY42" s="127"/>
      <c r="AZ42" s="134"/>
      <c r="BA42" s="412" t="str">
        <f t="shared" si="1"/>
        <v/>
      </c>
      <c r="BB42" s="412" t="str">
        <f t="shared" si="7"/>
        <v/>
      </c>
      <c r="BC42" s="412" t="str">
        <f>V193</f>
        <v/>
      </c>
    </row>
    <row r="43" spans="1:56" s="436" customFormat="1" ht="25.9" customHeight="1" thickBot="1" x14ac:dyDescent="0.25">
      <c r="A43" s="1154"/>
      <c r="B43" s="1155"/>
      <c r="C43" s="1155"/>
      <c r="D43" s="1155"/>
      <c r="E43" s="1155"/>
      <c r="F43" s="1155"/>
      <c r="G43" s="1155"/>
      <c r="H43" s="1155"/>
      <c r="I43" s="1155"/>
      <c r="J43" s="1155"/>
      <c r="K43" s="1155"/>
      <c r="L43" s="1155"/>
      <c r="M43" s="1155"/>
      <c r="N43" s="1155"/>
      <c r="O43" s="1155"/>
      <c r="P43" s="1155"/>
      <c r="Q43" s="1156"/>
      <c r="W43" s="195"/>
      <c r="X43" s="210"/>
      <c r="Y43" s="210"/>
      <c r="Z43" s="210"/>
      <c r="AA43" s="466"/>
      <c r="AB43" s="466"/>
      <c r="AC43" s="466"/>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134"/>
      <c r="BA43" s="412" t="str">
        <f t="shared" si="1"/>
        <v/>
      </c>
      <c r="BB43" s="412" t="str">
        <f t="shared" si="7"/>
        <v/>
      </c>
      <c r="BC43" s="412" t="str">
        <f>S195</f>
        <v/>
      </c>
      <c r="BD43" s="291"/>
    </row>
    <row r="44" spans="1:56" s="436" customFormat="1" ht="25.9" customHeight="1" x14ac:dyDescent="0.2">
      <c r="A44" s="1157" t="s">
        <v>658</v>
      </c>
      <c r="B44" s="1158"/>
      <c r="C44" s="1158"/>
      <c r="D44" s="1158"/>
      <c r="E44" s="1158"/>
      <c r="F44" s="1158"/>
      <c r="G44" s="1158"/>
      <c r="H44" s="1158"/>
      <c r="I44" s="1158"/>
      <c r="J44" s="1158"/>
      <c r="K44" s="1158"/>
      <c r="L44" s="1158"/>
      <c r="M44" s="1158"/>
      <c r="N44" s="1158"/>
      <c r="O44" s="1158"/>
      <c r="P44" s="1158"/>
      <c r="Q44" s="1159"/>
      <c r="R44" s="476"/>
      <c r="S44" s="481"/>
      <c r="T44" s="482"/>
      <c r="U44" s="476"/>
      <c r="V44" s="476"/>
      <c r="W44" s="195"/>
      <c r="X44" s="210"/>
      <c r="Y44" s="210"/>
      <c r="Z44" s="210"/>
      <c r="AA44" s="466"/>
      <c r="AB44" s="466"/>
      <c r="AC44" s="466"/>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134"/>
      <c r="BA44" s="412" t="str">
        <f t="shared" si="1"/>
        <v/>
      </c>
      <c r="BB44" s="412" t="str">
        <f t="shared" si="7"/>
        <v/>
      </c>
      <c r="BC44" s="412" t="str">
        <f>S196</f>
        <v/>
      </c>
      <c r="BD44" s="291"/>
    </row>
    <row r="45" spans="1:56" s="436" customFormat="1" ht="25.9" customHeight="1" x14ac:dyDescent="0.2">
      <c r="A45" s="1175"/>
      <c r="B45" s="1152"/>
      <c r="C45" s="1152"/>
      <c r="D45" s="1152"/>
      <c r="E45" s="1152"/>
      <c r="F45" s="1152"/>
      <c r="G45" s="1152"/>
      <c r="H45" s="1152"/>
      <c r="I45" s="1152"/>
      <c r="J45" s="1152"/>
      <c r="K45" s="1152"/>
      <c r="L45" s="1152"/>
      <c r="M45" s="1152"/>
      <c r="N45" s="1152"/>
      <c r="O45" s="1152"/>
      <c r="P45" s="1152"/>
      <c r="Q45" s="1153"/>
      <c r="R45" s="195"/>
      <c r="S45" s="483" t="str">
        <f>IF(ISBLANK(A45),"",CONCATENATE(S44,A45))</f>
        <v/>
      </c>
      <c r="T45" s="438" t="s">
        <v>195</v>
      </c>
      <c r="U45" s="195"/>
      <c r="V45" s="195"/>
      <c r="W45" s="480"/>
      <c r="X45" s="210"/>
      <c r="Y45" s="210"/>
      <c r="Z45" s="210"/>
      <c r="AA45" s="464"/>
      <c r="AB45" s="464"/>
      <c r="AC45" s="464"/>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134"/>
      <c r="BA45" s="412" t="str">
        <f t="shared" si="1"/>
        <v/>
      </c>
      <c r="BB45" s="412" t="str">
        <f t="shared" si="7"/>
        <v/>
      </c>
      <c r="BC45" s="412" t="str">
        <f>S197</f>
        <v/>
      </c>
      <c r="BD45" s="291"/>
    </row>
    <row r="46" spans="1:56" s="436" customFormat="1" ht="25.9" customHeight="1" thickBot="1" x14ac:dyDescent="0.25">
      <c r="A46" s="1154"/>
      <c r="B46" s="1155"/>
      <c r="C46" s="1155"/>
      <c r="D46" s="1155"/>
      <c r="E46" s="1155"/>
      <c r="F46" s="1155"/>
      <c r="G46" s="1155"/>
      <c r="H46" s="1155"/>
      <c r="I46" s="1155"/>
      <c r="J46" s="1155"/>
      <c r="K46" s="1155"/>
      <c r="L46" s="1155"/>
      <c r="M46" s="1155"/>
      <c r="N46" s="1155"/>
      <c r="O46" s="1155"/>
      <c r="P46" s="1155"/>
      <c r="Q46" s="1156"/>
      <c r="R46" s="195"/>
      <c r="S46" s="195"/>
      <c r="T46" s="195"/>
      <c r="U46" s="195"/>
      <c r="V46" s="195"/>
      <c r="W46" s="210"/>
      <c r="X46" s="210"/>
      <c r="Y46" s="210"/>
      <c r="Z46" s="210"/>
      <c r="AA46" s="476"/>
      <c r="AB46" s="476"/>
      <c r="AC46" s="476"/>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134"/>
      <c r="BA46" s="412" t="str">
        <f t="shared" si="1"/>
        <v/>
      </c>
      <c r="BB46" s="412" t="str">
        <f t="shared" si="7"/>
        <v/>
      </c>
      <c r="BC46" s="412" t="str">
        <f>S205</f>
        <v/>
      </c>
      <c r="BD46" s="291"/>
    </row>
    <row r="47" spans="1:56" s="436" customFormat="1" ht="25.15" customHeight="1" x14ac:dyDescent="0.2">
      <c r="A47" s="484" t="e">
        <f>$A$1</f>
        <v>#N/A</v>
      </c>
      <c r="B47" s="210"/>
      <c r="C47" s="210"/>
      <c r="D47" s="210"/>
      <c r="E47" s="210"/>
      <c r="F47" s="210"/>
      <c r="G47" s="210"/>
      <c r="H47" s="210"/>
      <c r="I47" s="210"/>
      <c r="J47" s="210"/>
      <c r="K47" s="210"/>
      <c r="L47" s="210"/>
      <c r="M47" s="210"/>
      <c r="N47" s="210"/>
      <c r="O47" s="210"/>
      <c r="P47" s="954"/>
      <c r="Q47" s="954"/>
      <c r="R47" s="474"/>
      <c r="S47" s="474"/>
      <c r="T47" s="474"/>
      <c r="U47" s="474"/>
      <c r="V47" s="474"/>
      <c r="W47" s="210"/>
      <c r="X47" s="431"/>
      <c r="Y47" s="431"/>
      <c r="Z47" s="431"/>
      <c r="AA47" s="485"/>
      <c r="AB47" s="485"/>
      <c r="AC47" s="485"/>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134"/>
      <c r="BA47" s="412" t="str">
        <f t="shared" si="1"/>
        <v/>
      </c>
      <c r="BB47" s="412" t="str">
        <f t="shared" si="7"/>
        <v/>
      </c>
      <c r="BC47" s="412" t="str">
        <f>S206</f>
        <v/>
      </c>
      <c r="BD47" s="213"/>
    </row>
    <row r="48" spans="1:56" s="436" customFormat="1" ht="25.15" customHeight="1" thickBot="1" x14ac:dyDescent="0.25">
      <c r="A48" s="1259" t="s">
        <v>84</v>
      </c>
      <c r="B48" s="1260"/>
      <c r="C48" s="1260"/>
      <c r="D48" s="1260"/>
      <c r="E48" s="1260"/>
      <c r="F48" s="1260"/>
      <c r="G48" s="1260"/>
      <c r="H48" s="1260"/>
      <c r="I48" s="1260"/>
      <c r="J48" s="1260"/>
      <c r="K48" s="1260"/>
      <c r="L48" s="1260"/>
      <c r="M48" s="1260"/>
      <c r="N48" s="1261" t="str">
        <f>$N$5</f>
        <v>2019 Report Year</v>
      </c>
      <c r="O48" s="1262"/>
      <c r="P48" s="1262"/>
      <c r="Q48" s="1262"/>
      <c r="R48" s="480"/>
      <c r="S48" s="480"/>
      <c r="T48" s="480"/>
      <c r="U48" s="480"/>
      <c r="V48" s="480"/>
      <c r="W48" s="210"/>
      <c r="X48" s="210"/>
      <c r="Y48" s="210"/>
      <c r="Z48" s="210"/>
      <c r="AA48" s="485"/>
      <c r="AB48" s="485"/>
      <c r="AC48" s="485"/>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134"/>
      <c r="BA48" s="441" t="str">
        <f t="shared" si="1"/>
        <v/>
      </c>
      <c r="BB48" s="441" t="str">
        <f t="shared" ref="BB48:BB56" si="8">IF(BC48="","",$Q$221)</f>
        <v/>
      </c>
      <c r="BC48" s="441" t="str">
        <f>S236</f>
        <v/>
      </c>
      <c r="BD48" s="207" t="s">
        <v>659</v>
      </c>
    </row>
    <row r="49" spans="1:56" s="436" customFormat="1" ht="25.15" customHeight="1" x14ac:dyDescent="0.2">
      <c r="A49" s="1246" t="e">
        <f>IF(AND(OR(ISNA(cap_exp_contact),TRIM(cap_exp_contact)=""),NOT(ISBLANK(code_7594))),"The Capital Expenditure Contact information has NOT been provided.  Please complete this information now.","")</f>
        <v>#N/A</v>
      </c>
      <c r="B49" s="1247"/>
      <c r="C49" s="1247"/>
      <c r="D49" s="1247"/>
      <c r="E49" s="1247"/>
      <c r="F49" s="1247"/>
      <c r="G49" s="1247"/>
      <c r="H49" s="1247"/>
      <c r="I49" s="1247"/>
      <c r="J49" s="1247"/>
      <c r="K49" s="1247"/>
      <c r="L49" s="1247"/>
      <c r="M49" s="1247"/>
      <c r="N49" s="422" t="s">
        <v>609</v>
      </c>
      <c r="O49" s="423" t="e">
        <f>$O$6</f>
        <v>#N/A</v>
      </c>
      <c r="P49" s="424" t="s">
        <v>610</v>
      </c>
      <c r="Q49" s="425"/>
      <c r="R49" s="325"/>
      <c r="S49" s="210"/>
      <c r="T49" s="210"/>
      <c r="U49" s="210"/>
      <c r="V49" s="210"/>
      <c r="W49" s="210"/>
      <c r="X49" s="210"/>
      <c r="Y49" s="210"/>
      <c r="Z49" s="210"/>
      <c r="AA49" s="485"/>
      <c r="AB49" s="485"/>
      <c r="AC49" s="485"/>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134"/>
      <c r="BA49" s="441" t="str">
        <f t="shared" si="1"/>
        <v/>
      </c>
      <c r="BB49" s="441" t="str">
        <f t="shared" si="8"/>
        <v/>
      </c>
      <c r="BC49" s="441" t="str">
        <f>T236</f>
        <v/>
      </c>
      <c r="BD49" s="291"/>
    </row>
    <row r="50" spans="1:56" s="436" customFormat="1" ht="25.15" customHeight="1" thickBot="1" x14ac:dyDescent="0.25">
      <c r="A50" s="1248" t="s">
        <v>197</v>
      </c>
      <c r="B50" s="1249"/>
      <c r="C50" s="1249"/>
      <c r="D50" s="1249"/>
      <c r="E50" s="1250"/>
      <c r="F50" s="1251"/>
      <c r="G50" s="1251"/>
      <c r="H50" s="1251"/>
      <c r="I50" s="1251"/>
      <c r="J50" s="1251"/>
      <c r="K50" s="1251"/>
      <c r="L50" s="1252"/>
      <c r="M50" s="427"/>
      <c r="N50" s="1253" t="s">
        <v>611</v>
      </c>
      <c r="O50" s="1254"/>
      <c r="P50" s="1254"/>
      <c r="Q50" s="1255"/>
      <c r="R50" s="325"/>
      <c r="S50" s="428" t="str">
        <f>IF(ISBLANK(E50),"",E50)</f>
        <v/>
      </c>
      <c r="T50" s="154" t="s">
        <v>501</v>
      </c>
      <c r="U50" s="325"/>
      <c r="V50" s="325"/>
      <c r="W50" s="210"/>
      <c r="X50" s="210"/>
      <c r="Y50" s="210"/>
      <c r="Z50" s="210"/>
      <c r="AA50" s="485"/>
      <c r="AB50" s="485"/>
      <c r="AC50" s="485"/>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134"/>
      <c r="BA50" s="441" t="str">
        <f t="shared" si="1"/>
        <v/>
      </c>
      <c r="BB50" s="441" t="str">
        <f t="shared" si="8"/>
        <v/>
      </c>
      <c r="BC50" s="441" t="str">
        <f>U236</f>
        <v/>
      </c>
      <c r="BD50" s="291"/>
    </row>
    <row r="51" spans="1:56" s="436" customFormat="1" ht="25.15" customHeight="1" x14ac:dyDescent="0.2">
      <c r="A51" s="1256" t="s">
        <v>612</v>
      </c>
      <c r="B51" s="1257"/>
      <c r="C51" s="1257"/>
      <c r="D51" s="1258"/>
      <c r="E51" s="1234"/>
      <c r="F51" s="1235"/>
      <c r="G51" s="1235"/>
      <c r="H51" s="1235"/>
      <c r="I51" s="1235"/>
      <c r="J51" s="1235"/>
      <c r="K51" s="1235"/>
      <c r="L51" s="1236"/>
      <c r="M51" s="1237" t="str">
        <f>IF(AND(ISBLANK(E51),OR(NOT(ISBLANK(E52)),NOT(ISBLANK(E53)),NOT(ISBLANK(E54)),NOT(ISBLANK(I55)),NOT(ISBLANK(A57)))),"This information is required.","")</f>
        <v/>
      </c>
      <c r="N51" s="1238"/>
      <c r="O51" s="1238"/>
      <c r="P51" s="1238"/>
      <c r="Q51" s="429"/>
      <c r="R51" s="325"/>
      <c r="S51" s="428" t="str">
        <f>IF(ISBLANK(E51),"",E51)</f>
        <v/>
      </c>
      <c r="T51" s="154" t="s">
        <v>185</v>
      </c>
      <c r="U51" s="325"/>
      <c r="V51" s="325"/>
      <c r="W51" s="431"/>
      <c r="X51" s="431"/>
      <c r="Y51" s="431"/>
      <c r="Z51" s="431"/>
      <c r="AA51" s="485"/>
      <c r="AB51" s="485"/>
      <c r="AC51" s="485"/>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134"/>
      <c r="BA51" s="441" t="str">
        <f t="shared" si="1"/>
        <v/>
      </c>
      <c r="BB51" s="441" t="str">
        <f t="shared" si="8"/>
        <v/>
      </c>
      <c r="BC51" s="441" t="str">
        <f>V236</f>
        <v/>
      </c>
      <c r="BD51" s="291"/>
    </row>
    <row r="52" spans="1:56" s="436" customFormat="1" ht="25.15" customHeight="1" x14ac:dyDescent="0.2">
      <c r="A52" s="1222" t="s">
        <v>613</v>
      </c>
      <c r="B52" s="1223"/>
      <c r="C52" s="1223"/>
      <c r="D52" s="1224"/>
      <c r="E52" s="1234"/>
      <c r="F52" s="1235"/>
      <c r="G52" s="1235"/>
      <c r="H52" s="1235"/>
      <c r="I52" s="1235"/>
      <c r="J52" s="1235"/>
      <c r="K52" s="1235"/>
      <c r="L52" s="1236"/>
      <c r="M52" s="1237" t="str">
        <f>IF(AND(ISBLANK(E52),OR(NOT(ISBLANK(E51)),NOT(ISBLANK(E53)),NOT(ISBLANK(E54)),NOT(ISBLANK(I55)),NOT(ISBLANK(A57)))),"This information is required.","")</f>
        <v/>
      </c>
      <c r="N52" s="1238"/>
      <c r="O52" s="1238"/>
      <c r="P52" s="1238"/>
      <c r="Q52" s="429"/>
      <c r="R52" s="325"/>
      <c r="S52" s="428" t="str">
        <f>IF(ISBLANK(E52),"",E52)</f>
        <v/>
      </c>
      <c r="T52" s="154" t="s">
        <v>186</v>
      </c>
      <c r="U52" s="325"/>
      <c r="V52" s="325"/>
      <c r="W52" s="210"/>
      <c r="X52" s="466"/>
      <c r="Y52" s="466"/>
      <c r="Z52" s="466"/>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134"/>
      <c r="BA52" s="441" t="str">
        <f t="shared" si="1"/>
        <v/>
      </c>
      <c r="BB52" s="441" t="str">
        <f t="shared" si="8"/>
        <v/>
      </c>
      <c r="BC52" s="441" t="str">
        <f>S238</f>
        <v/>
      </c>
      <c r="BD52" s="291"/>
    </row>
    <row r="53" spans="1:56" s="436" customFormat="1" ht="25.15" customHeight="1" x14ac:dyDescent="0.2">
      <c r="A53" s="1239" t="s">
        <v>614</v>
      </c>
      <c r="B53" s="1240"/>
      <c r="C53" s="1240"/>
      <c r="D53" s="1241"/>
      <c r="E53" s="1242"/>
      <c r="F53" s="1243"/>
      <c r="G53" s="1244" t="s">
        <v>615</v>
      </c>
      <c r="H53" s="1244"/>
      <c r="I53" s="1244"/>
      <c r="J53" s="1244"/>
      <c r="K53" s="1244"/>
      <c r="L53" s="1244"/>
      <c r="M53" s="1245" t="str">
        <f>IF(AND(ISBLANK(E53),OR(NOT(ISBLANK(E51)),NOT(ISBLANK(E52)),NOT(ISBLANK(E54)),NOT(ISBLANK(I55)),NOT(ISBLANK(A57)))),"This information is required.","")</f>
        <v/>
      </c>
      <c r="N53" s="1089"/>
      <c r="O53" s="1089"/>
      <c r="P53" s="1089"/>
      <c r="Q53" s="430"/>
      <c r="R53" s="431"/>
      <c r="S53" s="432" t="str">
        <f>IF(ISBLANK(E53),"",E53)</f>
        <v/>
      </c>
      <c r="T53" s="433" t="s">
        <v>188</v>
      </c>
      <c r="U53" s="431"/>
      <c r="V53" s="431"/>
      <c r="W53" s="210"/>
      <c r="X53" s="466"/>
      <c r="Y53" s="466"/>
      <c r="Z53" s="466"/>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134"/>
      <c r="BA53" s="441" t="str">
        <f t="shared" si="1"/>
        <v/>
      </c>
      <c r="BB53" s="441" t="str">
        <f t="shared" si="8"/>
        <v/>
      </c>
      <c r="BC53" s="441" t="str">
        <f>S239</f>
        <v/>
      </c>
      <c r="BD53" s="291"/>
    </row>
    <row r="54" spans="1:56" s="436" customFormat="1" ht="25.15" customHeight="1" x14ac:dyDescent="0.2">
      <c r="A54" s="1222" t="s">
        <v>616</v>
      </c>
      <c r="B54" s="1223"/>
      <c r="C54" s="1223"/>
      <c r="D54" s="1224"/>
      <c r="E54" s="1225"/>
      <c r="F54" s="1226"/>
      <c r="G54" s="434"/>
      <c r="H54" s="435"/>
      <c r="J54" s="431"/>
      <c r="K54" s="431"/>
      <c r="L54" s="431"/>
      <c r="M54" s="1089" t="str">
        <f>IF(AND(ISBLANK(E54),OR(NOT(ISBLANK(E51)),NOT(ISBLANK(E52)),NOT(ISBLANK(E53)),NOT(ISBLANK(I55)),NOT(ISBLANK(A57)))),"This information is required.","")</f>
        <v/>
      </c>
      <c r="N54" s="1089"/>
      <c r="O54" s="1089"/>
      <c r="P54" s="1089"/>
      <c r="Q54" s="430"/>
      <c r="R54" s="392"/>
      <c r="S54" s="437" t="str">
        <f>IF(ISBLANK(E54),"",E54)</f>
        <v/>
      </c>
      <c r="T54" s="438" t="s">
        <v>189</v>
      </c>
      <c r="U54" s="392"/>
      <c r="V54" s="392"/>
      <c r="W54" s="210"/>
      <c r="X54" s="466"/>
      <c r="Y54" s="466"/>
      <c r="Z54" s="466"/>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134"/>
      <c r="BA54" s="441" t="str">
        <f t="shared" si="1"/>
        <v/>
      </c>
      <c r="BB54" s="441" t="str">
        <f t="shared" si="8"/>
        <v/>
      </c>
      <c r="BC54" s="441" t="str">
        <f>S240</f>
        <v/>
      </c>
      <c r="BD54" s="291"/>
    </row>
    <row r="55" spans="1:56" s="436" customFormat="1" ht="25.15" customHeight="1" thickBot="1" x14ac:dyDescent="0.25">
      <c r="A55" s="1227" t="s">
        <v>617</v>
      </c>
      <c r="B55" s="1228"/>
      <c r="C55" s="1228"/>
      <c r="D55" s="1228"/>
      <c r="E55" s="1229"/>
      <c r="F55" s="1229"/>
      <c r="G55" s="1229"/>
      <c r="H55" s="1229"/>
      <c r="I55" s="1230"/>
      <c r="J55" s="1230"/>
      <c r="K55" s="1231" t="s">
        <v>618</v>
      </c>
      <c r="L55" s="1232"/>
      <c r="M55" s="1233" t="str">
        <f>IF(AND(ISBLANK(I55),OR(NOT(ISBLANK(E51)),NOT(ISBLANK(E52)),NOT(ISBLANK(E53)),NOT(ISBLANK(E54)),NOT(ISBLANK(A57)))),"This information is required!","")</f>
        <v/>
      </c>
      <c r="N55" s="1233"/>
      <c r="O55" s="1233"/>
      <c r="P55" s="1233"/>
      <c r="Q55" s="439"/>
      <c r="R55" s="392"/>
      <c r="S55" s="437" t="str">
        <f>IF(ISBLANK(I55),"",I55)</f>
        <v/>
      </c>
      <c r="T55" s="438" t="s">
        <v>190</v>
      </c>
      <c r="U55" s="440"/>
      <c r="V55" s="440"/>
      <c r="W55" s="431"/>
      <c r="X55" s="466"/>
      <c r="Y55" s="466"/>
      <c r="Z55" s="466"/>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134"/>
      <c r="BA55" s="441" t="str">
        <f t="shared" si="1"/>
        <v/>
      </c>
      <c r="BB55" s="441" t="str">
        <f t="shared" si="8"/>
        <v/>
      </c>
      <c r="BC55" s="441" t="str">
        <f>S248</f>
        <v/>
      </c>
      <c r="BD55" s="291"/>
    </row>
    <row r="56" spans="1:56" s="436" customFormat="1" ht="25.15" customHeight="1" x14ac:dyDescent="0.2">
      <c r="A56" s="1148" t="s">
        <v>620</v>
      </c>
      <c r="B56" s="1149"/>
      <c r="C56" s="1149"/>
      <c r="D56" s="1149"/>
      <c r="E56" s="1149"/>
      <c r="F56" s="1149"/>
      <c r="G56" s="1149"/>
      <c r="H56" s="1149"/>
      <c r="I56" s="1149"/>
      <c r="J56" s="1214"/>
      <c r="K56" s="1215" t="s">
        <v>693</v>
      </c>
      <c r="L56" s="1215"/>
      <c r="M56" s="1215"/>
      <c r="N56" s="1215"/>
      <c r="O56" s="1217" t="s">
        <v>621</v>
      </c>
      <c r="P56" s="1217"/>
      <c r="Q56" s="1218"/>
      <c r="R56" s="431"/>
      <c r="S56" s="437" t="str">
        <f>IF(ISBLANK(A57),"",A57)</f>
        <v/>
      </c>
      <c r="T56" s="438" t="s">
        <v>191</v>
      </c>
      <c r="U56" s="442"/>
      <c r="V56" s="442"/>
      <c r="W56" s="466"/>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134"/>
      <c r="BA56" s="441" t="str">
        <f t="shared" si="1"/>
        <v/>
      </c>
      <c r="BB56" s="441" t="str">
        <f t="shared" si="8"/>
        <v/>
      </c>
      <c r="BC56" s="441" t="str">
        <f>S249</f>
        <v/>
      </c>
      <c r="BD56" s="291"/>
    </row>
    <row r="57" spans="1:56" s="436" customFormat="1" ht="25.15" customHeight="1" x14ac:dyDescent="0.2">
      <c r="A57" s="1160"/>
      <c r="B57" s="1161"/>
      <c r="C57" s="1161"/>
      <c r="D57" s="1161"/>
      <c r="E57" s="1161"/>
      <c r="F57" s="1161"/>
      <c r="G57" s="1161"/>
      <c r="H57" s="1161"/>
      <c r="I57" s="1161"/>
      <c r="J57" s="1202"/>
      <c r="K57" s="1216"/>
      <c r="L57" s="1216"/>
      <c r="M57" s="1216"/>
      <c r="N57" s="1216"/>
      <c r="O57" s="443"/>
      <c r="P57" s="229" t="s">
        <v>269</v>
      </c>
      <c r="Q57" s="444" t="s">
        <v>270</v>
      </c>
      <c r="R57" s="431"/>
      <c r="S57" s="437" t="str">
        <f>IF(ISBLANK(A60),"",A60)</f>
        <v/>
      </c>
      <c r="T57" s="445" t="s">
        <v>192</v>
      </c>
      <c r="U57" s="442"/>
      <c r="V57" s="442"/>
      <c r="W57" s="466"/>
      <c r="X57" s="464"/>
      <c r="Y57" s="464"/>
      <c r="Z57" s="464"/>
      <c r="AA57" s="431"/>
      <c r="AB57" s="431"/>
      <c r="AC57" s="431"/>
      <c r="AD57" s="486"/>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134"/>
      <c r="BA57" s="412" t="str">
        <f t="shared" si="1"/>
        <v/>
      </c>
      <c r="BB57" s="412" t="str">
        <f t="shared" ref="BB57:BB65" si="9">IF(BC57="","",$Q$264)</f>
        <v/>
      </c>
      <c r="BC57" s="412" t="str">
        <f>S279</f>
        <v/>
      </c>
      <c r="BD57" s="207" t="s">
        <v>660</v>
      </c>
    </row>
    <row r="58" spans="1:56" s="436" customFormat="1" ht="25.15" customHeight="1" x14ac:dyDescent="0.2">
      <c r="A58" s="1176"/>
      <c r="B58" s="1177"/>
      <c r="C58" s="1177"/>
      <c r="D58" s="1177"/>
      <c r="E58" s="1177"/>
      <c r="F58" s="1177"/>
      <c r="G58" s="1177"/>
      <c r="H58" s="1177"/>
      <c r="I58" s="1177"/>
      <c r="J58" s="1203"/>
      <c r="K58" s="1204" t="s">
        <v>622</v>
      </c>
      <c r="L58" s="1205"/>
      <c r="M58" s="1205"/>
      <c r="N58" s="1205"/>
      <c r="O58" s="1206"/>
      <c r="P58" s="451"/>
      <c r="Q58" s="487"/>
      <c r="R58" s="440" t="str">
        <f>IF(COUNTBLANK(P58:Q58)=2,"Please enter response.",IF(COUNTBLANK(P58:Q58)&lt;&gt;1,"Please VERIFY response.",""))</f>
        <v>Please enter response.</v>
      </c>
      <c r="S58" s="452" t="str">
        <f>IF(AND(ISBLANK(P58),ISBLANK(Q58)),"",IF(ISBLANK(P58),0,1))</f>
        <v/>
      </c>
      <c r="T58" s="251" t="s">
        <v>592</v>
      </c>
      <c r="U58" s="213"/>
      <c r="V58" s="213"/>
      <c r="W58" s="466"/>
      <c r="X58" s="466"/>
      <c r="Y58" s="466"/>
      <c r="Z58" s="466"/>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134"/>
      <c r="BA58" s="412" t="str">
        <f t="shared" si="1"/>
        <v/>
      </c>
      <c r="BB58" s="412" t="str">
        <f t="shared" si="9"/>
        <v/>
      </c>
      <c r="BC58" s="412" t="str">
        <f>T279</f>
        <v/>
      </c>
      <c r="BD58" s="213"/>
    </row>
    <row r="59" spans="1:56" s="436" customFormat="1" ht="25.15" customHeight="1" x14ac:dyDescent="0.2">
      <c r="A59" s="1219" t="s">
        <v>623</v>
      </c>
      <c r="B59" s="1220"/>
      <c r="C59" s="1220"/>
      <c r="D59" s="1220"/>
      <c r="E59" s="1220"/>
      <c r="F59" s="1220"/>
      <c r="G59" s="1220"/>
      <c r="H59" s="1220"/>
      <c r="I59" s="1220"/>
      <c r="J59" s="1221"/>
      <c r="K59" s="1204" t="s">
        <v>624</v>
      </c>
      <c r="L59" s="1205"/>
      <c r="M59" s="1205"/>
      <c r="N59" s="1205"/>
      <c r="O59" s="1206"/>
      <c r="P59" s="451"/>
      <c r="Q59" s="487"/>
      <c r="R59" s="440" t="str">
        <f>IF(COUNTBLANK(P59:Q59)=2,"Please enter response.",IF(COUNTBLANK(P59:Q59)&lt;&gt;1,"Please VERIFY response.",""))</f>
        <v>Please enter response.</v>
      </c>
      <c r="S59" s="452" t="str">
        <f>IF(AND(ISBLANK(P59),ISBLANK(Q59)),"",IF(ISBLANK(P59),0,1))</f>
        <v/>
      </c>
      <c r="T59" s="251" t="s">
        <v>593</v>
      </c>
      <c r="U59" s="213"/>
      <c r="V59" s="213"/>
      <c r="W59" s="466"/>
      <c r="X59" s="466"/>
      <c r="Y59" s="466"/>
      <c r="Z59" s="466"/>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134"/>
      <c r="BA59" s="412" t="str">
        <f t="shared" si="1"/>
        <v/>
      </c>
      <c r="BB59" s="412" t="str">
        <f t="shared" si="9"/>
        <v/>
      </c>
      <c r="BC59" s="412" t="str">
        <f>U279</f>
        <v/>
      </c>
      <c r="BD59" s="291"/>
    </row>
    <row r="60" spans="1:56" s="436" customFormat="1" ht="25.15" customHeight="1" x14ac:dyDescent="0.2">
      <c r="A60" s="1160"/>
      <c r="B60" s="1161"/>
      <c r="C60" s="1161"/>
      <c r="D60" s="1161"/>
      <c r="E60" s="1161"/>
      <c r="F60" s="1161"/>
      <c r="G60" s="1161"/>
      <c r="H60" s="1161"/>
      <c r="I60" s="1161"/>
      <c r="J60" s="1202"/>
      <c r="K60" s="1204" t="s">
        <v>625</v>
      </c>
      <c r="L60" s="1205"/>
      <c r="M60" s="1205"/>
      <c r="N60" s="1205"/>
      <c r="O60" s="1206"/>
      <c r="P60" s="451"/>
      <c r="Q60" s="487"/>
      <c r="R60" s="440" t="str">
        <f>IF(COUNTBLANK(P60:Q60)=2,"Please enter response.",IF(COUNTBLANK(P60:Q60)&lt;&gt;1,"Please VERIFY response.",""))</f>
        <v>Please enter response.</v>
      </c>
      <c r="S60" s="452" t="str">
        <f>IF(AND(ISBLANK(P60),ISBLANK(Q60)),"",IF(ISBLANK(P60),0,1))</f>
        <v/>
      </c>
      <c r="T60" s="251" t="s">
        <v>594</v>
      </c>
      <c r="U60" s="213"/>
      <c r="V60" s="213"/>
      <c r="W60" s="210"/>
      <c r="X60" s="466"/>
      <c r="Y60" s="466"/>
      <c r="Z60" s="466"/>
      <c r="AA60" s="210"/>
      <c r="AB60" s="210"/>
      <c r="AC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134"/>
      <c r="BA60" s="412" t="str">
        <f t="shared" si="1"/>
        <v/>
      </c>
      <c r="BB60" s="412" t="str">
        <f t="shared" si="9"/>
        <v/>
      </c>
      <c r="BC60" s="412" t="str">
        <f>V279</f>
        <v/>
      </c>
      <c r="BD60" s="291"/>
    </row>
    <row r="61" spans="1:56" s="436" customFormat="1" ht="25.15" customHeight="1" x14ac:dyDescent="0.25">
      <c r="A61" s="1176"/>
      <c r="B61" s="1177"/>
      <c r="C61" s="1177"/>
      <c r="D61" s="1177"/>
      <c r="E61" s="1177"/>
      <c r="F61" s="1177"/>
      <c r="G61" s="1177"/>
      <c r="H61" s="1177"/>
      <c r="I61" s="1177"/>
      <c r="J61" s="1203"/>
      <c r="K61" s="1204" t="s">
        <v>626</v>
      </c>
      <c r="L61" s="1205"/>
      <c r="M61" s="1205"/>
      <c r="N61" s="1205"/>
      <c r="O61" s="1206"/>
      <c r="P61" s="451"/>
      <c r="Q61" s="487"/>
      <c r="R61" s="440" t="str">
        <f>IF(COUNTBLANK(P61:Q61)=2,"Please enter response.",IF(COUNTBLANK(P61:Q61)&lt;&gt;1,"Please VERIFY response.",""))</f>
        <v>Please enter response.</v>
      </c>
      <c r="S61" s="452" t="str">
        <f>IF(AND(ISBLANK(P61),ISBLANK(Q61)),"",IF(ISBLANK(P61),0,1))</f>
        <v/>
      </c>
      <c r="T61" s="251" t="s">
        <v>595</v>
      </c>
      <c r="U61" s="213"/>
      <c r="V61" s="213"/>
      <c r="W61" s="464"/>
      <c r="X61" s="474"/>
      <c r="Y61" s="474"/>
      <c r="Z61" s="474"/>
      <c r="AA61" s="431"/>
      <c r="AB61" s="431"/>
      <c r="AC61" s="431"/>
      <c r="AD61" s="471"/>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134"/>
      <c r="BA61" s="412" t="str">
        <f t="shared" si="1"/>
        <v/>
      </c>
      <c r="BB61" s="412" t="str">
        <f t="shared" si="9"/>
        <v/>
      </c>
      <c r="BC61" s="412" t="str">
        <f>S281</f>
        <v/>
      </c>
      <c r="BD61" s="291"/>
    </row>
    <row r="62" spans="1:56" s="436" customFormat="1" ht="25.15" customHeight="1" x14ac:dyDescent="0.2">
      <c r="A62" s="1207" t="s">
        <v>627</v>
      </c>
      <c r="B62" s="1208"/>
      <c r="C62" s="1208"/>
      <c r="D62" s="1208"/>
      <c r="E62" s="1208"/>
      <c r="F62" s="1208"/>
      <c r="G62" s="1208"/>
      <c r="H62" s="1208"/>
      <c r="I62" s="1208"/>
      <c r="J62" s="1208"/>
      <c r="K62" s="1208"/>
      <c r="L62" s="1208"/>
      <c r="M62" s="1208"/>
      <c r="N62" s="1208"/>
      <c r="O62" s="1208"/>
      <c r="P62" s="1208"/>
      <c r="Q62" s="1209"/>
      <c r="R62" s="454"/>
      <c r="S62" s="463"/>
      <c r="T62" s="454"/>
      <c r="U62" s="454"/>
      <c r="V62" s="454"/>
      <c r="W62" s="466"/>
      <c r="X62" s="464"/>
      <c r="Y62" s="464"/>
      <c r="Z62" s="464"/>
      <c r="AA62" s="466"/>
      <c r="AB62" s="466"/>
      <c r="AC62" s="466"/>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134"/>
      <c r="BA62" s="412" t="str">
        <f t="shared" si="1"/>
        <v/>
      </c>
      <c r="BB62" s="412" t="str">
        <f t="shared" si="9"/>
        <v/>
      </c>
      <c r="BC62" s="412" t="str">
        <f>S282</f>
        <v/>
      </c>
      <c r="BD62" s="291"/>
    </row>
    <row r="63" spans="1:56" s="436" customFormat="1" ht="25.15" customHeight="1" x14ac:dyDescent="0.25">
      <c r="A63" s="1210" t="s">
        <v>628</v>
      </c>
      <c r="B63" s="1211"/>
      <c r="C63" s="1211"/>
      <c r="D63" s="1211"/>
      <c r="E63" s="1211" t="s">
        <v>629</v>
      </c>
      <c r="F63" s="1211"/>
      <c r="G63" s="1211"/>
      <c r="H63" s="1211"/>
      <c r="I63" s="1211" t="s">
        <v>630</v>
      </c>
      <c r="J63" s="1211"/>
      <c r="K63" s="1211"/>
      <c r="L63" s="1211"/>
      <c r="M63" s="1212" t="s">
        <v>631</v>
      </c>
      <c r="N63" s="1211"/>
      <c r="O63" s="1211"/>
      <c r="P63" s="1211"/>
      <c r="Q63" s="1213"/>
      <c r="R63" s="459"/>
      <c r="S63" s="1195" t="s">
        <v>632</v>
      </c>
      <c r="T63" s="1195"/>
      <c r="U63" s="1195"/>
      <c r="V63" s="1195"/>
      <c r="W63" s="466"/>
      <c r="X63" s="466"/>
      <c r="Y63" s="466"/>
      <c r="Z63" s="466"/>
      <c r="AA63" s="466"/>
      <c r="AB63" s="466"/>
      <c r="AC63" s="466"/>
      <c r="AD63" s="471"/>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134"/>
      <c r="BA63" s="412" t="str">
        <f t="shared" si="1"/>
        <v/>
      </c>
      <c r="BB63" s="412" t="str">
        <f t="shared" si="9"/>
        <v/>
      </c>
      <c r="BC63" s="412" t="str">
        <f>S283</f>
        <v/>
      </c>
      <c r="BD63" s="291"/>
    </row>
    <row r="64" spans="1:56" s="436" customFormat="1" ht="25.15" customHeight="1" thickBot="1" x14ac:dyDescent="0.3">
      <c r="A64" s="1196"/>
      <c r="B64" s="815"/>
      <c r="C64" s="815"/>
      <c r="D64" s="815"/>
      <c r="E64" s="815"/>
      <c r="F64" s="815"/>
      <c r="G64" s="815"/>
      <c r="H64" s="815"/>
      <c r="I64" s="815"/>
      <c r="J64" s="815"/>
      <c r="K64" s="815"/>
      <c r="L64" s="815"/>
      <c r="M64" s="1197"/>
      <c r="N64" s="1197"/>
      <c r="O64" s="1197"/>
      <c r="P64" s="1197"/>
      <c r="Q64" s="1198"/>
      <c r="R64" s="454"/>
      <c r="S64" s="467" t="str">
        <f>IF(ISBLANK(A64),"",VLOOKUP(A64,VProjType,2,FALSE))</f>
        <v/>
      </c>
      <c r="T64" s="467" t="str">
        <f>IF(ISBLANK(E64),"",VLOOKUP(E64,VSubtype1,2,FALSE))</f>
        <v/>
      </c>
      <c r="U64" s="467" t="str">
        <f>IF(ISBLANK(I64),"",VLOOKUP(I64,VSubtype2,2,FALSE))</f>
        <v/>
      </c>
      <c r="V64" s="467" t="str">
        <f>IF(ISBLANK(M64),"",VLOOKUP(M64,VSubtype3,2,FALSE))</f>
        <v/>
      </c>
      <c r="W64" s="466"/>
      <c r="X64" s="466"/>
      <c r="Y64" s="466"/>
      <c r="Z64" s="466"/>
      <c r="AA64" s="466"/>
      <c r="AB64" s="466"/>
      <c r="AC64" s="466"/>
      <c r="AD64" s="471"/>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134"/>
      <c r="BA64" s="412" t="str">
        <f t="shared" si="1"/>
        <v/>
      </c>
      <c r="BB64" s="412" t="str">
        <f t="shared" si="9"/>
        <v/>
      </c>
      <c r="BC64" s="412" t="str">
        <f>S291</f>
        <v/>
      </c>
      <c r="BD64" s="291"/>
    </row>
    <row r="65" spans="1:56" s="436" customFormat="1" ht="25.15" customHeight="1" x14ac:dyDescent="0.25">
      <c r="A65" s="1199" t="s">
        <v>634</v>
      </c>
      <c r="B65" s="1200"/>
      <c r="C65" s="1200"/>
      <c r="D65" s="1200"/>
      <c r="E65" s="1200"/>
      <c r="F65" s="1200"/>
      <c r="G65" s="1200"/>
      <c r="H65" s="1200"/>
      <c r="I65" s="1200"/>
      <c r="J65" s="1200"/>
      <c r="K65" s="1200"/>
      <c r="L65" s="1200"/>
      <c r="M65" s="1200"/>
      <c r="N65" s="1200"/>
      <c r="O65" s="1200"/>
      <c r="P65" s="1200"/>
      <c r="Q65" s="1201"/>
      <c r="R65" s="464"/>
      <c r="S65" s="468" t="s">
        <v>635</v>
      </c>
      <c r="T65" s="464"/>
      <c r="U65" s="464"/>
      <c r="V65" s="464"/>
      <c r="W65" s="474"/>
      <c r="X65" s="466"/>
      <c r="Y65" s="466"/>
      <c r="Z65" s="466"/>
      <c r="AA65" s="466"/>
      <c r="AB65" s="466"/>
      <c r="AC65" s="466"/>
      <c r="AD65" s="471"/>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134"/>
      <c r="BA65" s="412" t="str">
        <f t="shared" si="1"/>
        <v/>
      </c>
      <c r="BB65" s="412" t="str">
        <f t="shared" si="9"/>
        <v/>
      </c>
      <c r="BC65" s="412" t="str">
        <f>S292</f>
        <v/>
      </c>
      <c r="BD65" s="213"/>
    </row>
    <row r="66" spans="1:56" s="436" customFormat="1" ht="25.15" customHeight="1" x14ac:dyDescent="0.25">
      <c r="A66" s="1166" t="s">
        <v>636</v>
      </c>
      <c r="B66" s="1167"/>
      <c r="C66" s="1167"/>
      <c r="D66" s="1167"/>
      <c r="E66" s="1167"/>
      <c r="F66" s="1167"/>
      <c r="G66" s="1167"/>
      <c r="H66" s="1167"/>
      <c r="I66" s="1167"/>
      <c r="J66" s="1167"/>
      <c r="K66" s="1167"/>
      <c r="L66" s="1168"/>
      <c r="M66" s="1169"/>
      <c r="N66" s="1170"/>
      <c r="O66" s="1170"/>
      <c r="P66" s="1170"/>
      <c r="Q66" s="1171"/>
      <c r="R66" s="464"/>
      <c r="S66" s="469" t="str">
        <f>IF(ISBLANK(M66),"",VLOOKUP(M66,VRemote,2,FALSE))</f>
        <v/>
      </c>
      <c r="T66" s="470" t="s">
        <v>637</v>
      </c>
      <c r="U66" s="464"/>
      <c r="V66" s="464"/>
      <c r="W66" s="464"/>
      <c r="X66" s="466"/>
      <c r="Y66" s="466"/>
      <c r="Z66" s="466"/>
      <c r="AA66" s="466"/>
      <c r="AB66" s="466"/>
      <c r="AC66" s="466"/>
      <c r="AD66" s="471"/>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134"/>
      <c r="BA66" s="441" t="str">
        <f t="shared" si="1"/>
        <v/>
      </c>
      <c r="BB66" s="441" t="str">
        <f t="shared" ref="BB66:BB74" si="10">IF(BC66="","",$Q$307)</f>
        <v/>
      </c>
      <c r="BC66" s="441" t="str">
        <f>S322</f>
        <v/>
      </c>
      <c r="BD66" s="207" t="s">
        <v>661</v>
      </c>
    </row>
    <row r="67" spans="1:56" s="436" customFormat="1" ht="25.15" customHeight="1" x14ac:dyDescent="0.25">
      <c r="A67" s="1166" t="s">
        <v>638</v>
      </c>
      <c r="B67" s="1167"/>
      <c r="C67" s="1167"/>
      <c r="D67" s="1167"/>
      <c r="E67" s="1167"/>
      <c r="F67" s="1167"/>
      <c r="G67" s="1167"/>
      <c r="H67" s="1167"/>
      <c r="I67" s="1167"/>
      <c r="J67" s="1167"/>
      <c r="K67" s="1167"/>
      <c r="L67" s="1167"/>
      <c r="M67" s="1169"/>
      <c r="N67" s="1170"/>
      <c r="O67" s="1170"/>
      <c r="P67" s="1170"/>
      <c r="Q67" s="1171"/>
      <c r="R67" s="466"/>
      <c r="S67" s="469" t="str">
        <f>IF(ISBLANK(M67),"",VLOOKUP(M67,VCapacity,2,FALSE))</f>
        <v/>
      </c>
      <c r="T67" s="162" t="s">
        <v>639</v>
      </c>
      <c r="U67" s="466"/>
      <c r="V67" s="466"/>
      <c r="W67" s="466"/>
      <c r="X67" s="466"/>
      <c r="Y67" s="466"/>
      <c r="Z67" s="466"/>
      <c r="AA67" s="466"/>
      <c r="AB67" s="466"/>
      <c r="AC67" s="466"/>
      <c r="AD67" s="471"/>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134"/>
      <c r="BA67" s="441" t="str">
        <f t="shared" ref="BA67:BA110" si="11">IF(BC67="","",$O$6)</f>
        <v/>
      </c>
      <c r="BB67" s="441" t="str">
        <f t="shared" si="10"/>
        <v/>
      </c>
      <c r="BC67" s="441" t="str">
        <f>T322</f>
        <v/>
      </c>
      <c r="BD67" s="291"/>
    </row>
    <row r="68" spans="1:56" s="436" customFormat="1" ht="25.15" customHeight="1" x14ac:dyDescent="0.25">
      <c r="A68" s="1166" t="s">
        <v>640</v>
      </c>
      <c r="B68" s="1167"/>
      <c r="C68" s="1167"/>
      <c r="D68" s="1167"/>
      <c r="E68" s="1167"/>
      <c r="F68" s="1167"/>
      <c r="G68" s="1167"/>
      <c r="H68" s="1167"/>
      <c r="I68" s="1167"/>
      <c r="J68" s="1167"/>
      <c r="K68" s="1167"/>
      <c r="L68" s="1167"/>
      <c r="M68" s="1169"/>
      <c r="N68" s="1170"/>
      <c r="O68" s="1170"/>
      <c r="P68" s="1170"/>
      <c r="Q68" s="1171"/>
      <c r="R68" s="466"/>
      <c r="S68" s="469" t="str">
        <f>IF(ISBLANK(M68),"",VLOOKUP(M68,VPriorCap,2,FALSE))</f>
        <v/>
      </c>
      <c r="T68" s="162" t="s">
        <v>641</v>
      </c>
      <c r="U68" s="466"/>
      <c r="V68" s="466"/>
      <c r="W68" s="466"/>
      <c r="X68" s="466"/>
      <c r="Y68" s="466"/>
      <c r="Z68" s="466"/>
      <c r="AA68" s="466"/>
      <c r="AB68" s="466"/>
      <c r="AC68" s="466"/>
      <c r="AD68" s="471"/>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134"/>
      <c r="BA68" s="441" t="str">
        <f t="shared" si="11"/>
        <v/>
      </c>
      <c r="BB68" s="441" t="str">
        <f t="shared" si="10"/>
        <v/>
      </c>
      <c r="BC68" s="441" t="str">
        <f>U322</f>
        <v/>
      </c>
      <c r="BD68" s="291"/>
    </row>
    <row r="69" spans="1:56" s="436" customFormat="1" ht="25.15" customHeight="1" x14ac:dyDescent="0.25">
      <c r="A69" s="1183" t="s">
        <v>643</v>
      </c>
      <c r="B69" s="1184"/>
      <c r="C69" s="1184"/>
      <c r="D69" s="1184"/>
      <c r="E69" s="1184"/>
      <c r="F69" s="1184"/>
      <c r="G69" s="1184"/>
      <c r="H69" s="1184"/>
      <c r="I69" s="1184"/>
      <c r="J69" s="1184"/>
      <c r="K69" s="1184"/>
      <c r="L69" s="1184"/>
      <c r="M69" s="1184"/>
      <c r="N69" s="1184"/>
      <c r="O69" s="1184"/>
      <c r="P69" s="1184"/>
      <c r="Q69" s="1185"/>
      <c r="R69" s="466"/>
      <c r="S69" s="472" t="str">
        <f>IF(ISBLANK(A70),"",A70)</f>
        <v/>
      </c>
      <c r="T69" s="162" t="s">
        <v>589</v>
      </c>
      <c r="U69" s="466"/>
      <c r="V69" s="466"/>
      <c r="W69" s="466"/>
      <c r="X69" s="466"/>
      <c r="Y69" s="466"/>
      <c r="Z69" s="466"/>
      <c r="AA69" s="466"/>
      <c r="AB69" s="466"/>
      <c r="AC69" s="466"/>
      <c r="AD69" s="471"/>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134"/>
      <c r="BA69" s="441" t="str">
        <f t="shared" si="11"/>
        <v/>
      </c>
      <c r="BB69" s="441" t="str">
        <f t="shared" si="10"/>
        <v/>
      </c>
      <c r="BC69" s="441" t="str">
        <f>V322</f>
        <v/>
      </c>
      <c r="BD69" s="291"/>
    </row>
    <row r="70" spans="1:56" s="436" customFormat="1" ht="25.15" customHeight="1" x14ac:dyDescent="0.25">
      <c r="A70" s="1175"/>
      <c r="B70" s="1152"/>
      <c r="C70" s="1152"/>
      <c r="D70" s="1152"/>
      <c r="E70" s="1152"/>
      <c r="F70" s="1152"/>
      <c r="G70" s="1152"/>
      <c r="H70" s="1152"/>
      <c r="I70" s="1152"/>
      <c r="J70" s="1152"/>
      <c r="K70" s="1152"/>
      <c r="L70" s="1152"/>
      <c r="M70" s="1152"/>
      <c r="N70" s="1152"/>
      <c r="O70" s="1152"/>
      <c r="P70" s="1152"/>
      <c r="Q70" s="1182"/>
      <c r="R70" s="466"/>
      <c r="S70" s="466"/>
      <c r="T70" s="466"/>
      <c r="U70" s="466"/>
      <c r="V70" s="466"/>
      <c r="W70" s="466"/>
      <c r="X70" s="466"/>
      <c r="Y70" s="466"/>
      <c r="Z70" s="466"/>
      <c r="AA70" s="466"/>
      <c r="AB70" s="466"/>
      <c r="AC70" s="466"/>
      <c r="AD70" s="471"/>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134"/>
      <c r="BA70" s="441" t="str">
        <f t="shared" si="11"/>
        <v/>
      </c>
      <c r="BB70" s="441" t="str">
        <f t="shared" si="10"/>
        <v/>
      </c>
      <c r="BC70" s="441" t="str">
        <f>S324</f>
        <v/>
      </c>
      <c r="BD70" s="291"/>
    </row>
    <row r="71" spans="1:56" s="436" customFormat="1" ht="25.15" customHeight="1" x14ac:dyDescent="0.25">
      <c r="A71" s="1186"/>
      <c r="B71" s="1187"/>
      <c r="C71" s="1187"/>
      <c r="D71" s="1187"/>
      <c r="E71" s="1187"/>
      <c r="F71" s="1187"/>
      <c r="G71" s="1187"/>
      <c r="H71" s="1187"/>
      <c r="I71" s="1187"/>
      <c r="J71" s="1187"/>
      <c r="K71" s="1187"/>
      <c r="L71" s="1187"/>
      <c r="M71" s="1187"/>
      <c r="N71" s="1187"/>
      <c r="O71" s="1187"/>
      <c r="P71" s="1187"/>
      <c r="Q71" s="1188"/>
      <c r="R71" s="466"/>
      <c r="S71" s="466"/>
      <c r="T71" s="466"/>
      <c r="U71" s="466"/>
      <c r="V71" s="466"/>
      <c r="W71" s="466"/>
      <c r="X71" s="466"/>
      <c r="Y71" s="466"/>
      <c r="Z71" s="466"/>
      <c r="AA71" s="210"/>
      <c r="AB71" s="210"/>
      <c r="AC71" s="210"/>
      <c r="AD71" s="471"/>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134"/>
      <c r="BA71" s="441" t="str">
        <f t="shared" si="11"/>
        <v/>
      </c>
      <c r="BB71" s="441" t="str">
        <f t="shared" si="10"/>
        <v/>
      </c>
      <c r="BC71" s="441" t="str">
        <f>S325</f>
        <v/>
      </c>
      <c r="BD71" s="291"/>
    </row>
    <row r="72" spans="1:56" s="436" customFormat="1" ht="25.15" customHeight="1" x14ac:dyDescent="0.25">
      <c r="A72" s="1189" t="s">
        <v>645</v>
      </c>
      <c r="B72" s="1190"/>
      <c r="C72" s="1190"/>
      <c r="D72" s="1190"/>
      <c r="E72" s="1190"/>
      <c r="F72" s="1190"/>
      <c r="G72" s="1190"/>
      <c r="H72" s="1190"/>
      <c r="I72" s="1190"/>
      <c r="J72" s="1190"/>
      <c r="K72" s="1190"/>
      <c r="L72" s="1190"/>
      <c r="M72" s="1190"/>
      <c r="N72" s="1190"/>
      <c r="O72" s="1190"/>
      <c r="P72" s="1190"/>
      <c r="Q72" s="1191"/>
      <c r="R72" s="468"/>
      <c r="S72" s="468"/>
      <c r="T72" s="468"/>
      <c r="U72" s="468"/>
      <c r="V72" s="468"/>
      <c r="W72" s="466"/>
      <c r="X72" s="210"/>
      <c r="Y72" s="210"/>
      <c r="Z72" s="210"/>
      <c r="AA72" s="464"/>
      <c r="AB72" s="464"/>
      <c r="AC72" s="464"/>
      <c r="AD72" s="471"/>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134"/>
      <c r="BA72" s="441" t="str">
        <f t="shared" si="11"/>
        <v/>
      </c>
      <c r="BB72" s="441" t="str">
        <f t="shared" si="10"/>
        <v/>
      </c>
      <c r="BC72" s="441" t="str">
        <f>S326</f>
        <v/>
      </c>
      <c r="BD72" s="291"/>
    </row>
    <row r="73" spans="1:56" s="436" customFormat="1" ht="25.15" customHeight="1" x14ac:dyDescent="0.2">
      <c r="A73" s="1175"/>
      <c r="B73" s="1152"/>
      <c r="C73" s="1152"/>
      <c r="D73" s="1152"/>
      <c r="E73" s="1152"/>
      <c r="F73" s="1152"/>
      <c r="G73" s="1152"/>
      <c r="H73" s="1152"/>
      <c r="I73" s="1152"/>
      <c r="J73" s="1152"/>
      <c r="K73" s="1152"/>
      <c r="L73" s="1152"/>
      <c r="M73" s="1152"/>
      <c r="N73" s="1152"/>
      <c r="O73" s="1152"/>
      <c r="P73" s="1152"/>
      <c r="Q73" s="1153"/>
      <c r="R73" s="466"/>
      <c r="S73" s="472" t="str">
        <f>IF(ISBLANK(A73),"",A73)</f>
        <v/>
      </c>
      <c r="T73" s="438" t="s">
        <v>194</v>
      </c>
      <c r="U73" s="466"/>
      <c r="V73" s="466"/>
      <c r="W73" s="466"/>
      <c r="X73" s="468"/>
      <c r="Y73" s="468"/>
      <c r="Z73" s="468"/>
      <c r="AA73" s="466"/>
      <c r="AB73" s="466"/>
      <c r="AC73" s="466"/>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134"/>
      <c r="BA73" s="441" t="str">
        <f t="shared" si="11"/>
        <v/>
      </c>
      <c r="BB73" s="441" t="str">
        <f t="shared" si="10"/>
        <v/>
      </c>
      <c r="BC73" s="441" t="str">
        <f>S334</f>
        <v/>
      </c>
      <c r="BD73" s="291"/>
    </row>
    <row r="74" spans="1:56" s="436" customFormat="1" ht="25.15" customHeight="1" thickBot="1" x14ac:dyDescent="0.3">
      <c r="A74" s="1163"/>
      <c r="B74" s="1164"/>
      <c r="C74" s="1164"/>
      <c r="D74" s="1164"/>
      <c r="E74" s="1164"/>
      <c r="F74" s="1164"/>
      <c r="G74" s="1164"/>
      <c r="H74" s="1164"/>
      <c r="I74" s="1164"/>
      <c r="J74" s="1164"/>
      <c r="K74" s="1164"/>
      <c r="L74" s="1164"/>
      <c r="M74" s="1164"/>
      <c r="N74" s="1164"/>
      <c r="O74" s="1164"/>
      <c r="P74" s="1164"/>
      <c r="Q74" s="1165"/>
      <c r="R74" s="466"/>
      <c r="S74" s="466"/>
      <c r="T74" s="438"/>
      <c r="U74" s="466"/>
      <c r="V74" s="466"/>
      <c r="W74" s="466"/>
      <c r="X74" s="466"/>
      <c r="Y74" s="466"/>
      <c r="Z74" s="466"/>
      <c r="AA74" s="466"/>
      <c r="AB74" s="466"/>
      <c r="AC74" s="466"/>
      <c r="AD74" s="471"/>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134"/>
      <c r="BA74" s="441" t="str">
        <f t="shared" si="11"/>
        <v/>
      </c>
      <c r="BB74" s="441" t="str">
        <f t="shared" si="10"/>
        <v/>
      </c>
      <c r="BC74" s="441" t="str">
        <f>S335</f>
        <v/>
      </c>
      <c r="BD74" s="291"/>
    </row>
    <row r="75" spans="1:56" s="436" customFormat="1" ht="25.15" customHeight="1" x14ac:dyDescent="0.25">
      <c r="A75" s="1157" t="s">
        <v>647</v>
      </c>
      <c r="B75" s="1158"/>
      <c r="C75" s="1158"/>
      <c r="D75" s="1158"/>
      <c r="E75" s="1158"/>
      <c r="F75" s="1158"/>
      <c r="G75" s="1158"/>
      <c r="H75" s="1158"/>
      <c r="I75" s="1158"/>
      <c r="J75" s="1158"/>
      <c r="K75" s="1158"/>
      <c r="L75" s="1158"/>
      <c r="M75" s="1158"/>
      <c r="N75" s="1158"/>
      <c r="O75" s="1158"/>
      <c r="P75" s="1158"/>
      <c r="Q75" s="1159"/>
      <c r="R75" s="464"/>
      <c r="S75" s="468" t="s">
        <v>648</v>
      </c>
      <c r="T75" s="464"/>
      <c r="U75" s="464"/>
      <c r="V75" s="464"/>
      <c r="W75" s="466"/>
      <c r="X75" s="466"/>
      <c r="Y75" s="466"/>
      <c r="Z75" s="466"/>
      <c r="AA75" s="466"/>
      <c r="AB75" s="466"/>
      <c r="AC75" s="466"/>
      <c r="AD75" s="471"/>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134"/>
      <c r="BA75" s="412" t="str">
        <f t="shared" si="11"/>
        <v/>
      </c>
      <c r="BB75" s="412" t="str">
        <f t="shared" ref="BB75:BB83" si="12">IF(BC75="","",$Q$350)</f>
        <v/>
      </c>
      <c r="BC75" s="412" t="str">
        <f>S365</f>
        <v/>
      </c>
      <c r="BD75" s="207" t="s">
        <v>662</v>
      </c>
    </row>
    <row r="76" spans="1:56" s="436" customFormat="1" ht="25.15" customHeight="1" x14ac:dyDescent="0.25">
      <c r="A76" s="1192" t="s">
        <v>649</v>
      </c>
      <c r="B76" s="1193"/>
      <c r="C76" s="1193"/>
      <c r="D76" s="1193"/>
      <c r="E76" s="1193"/>
      <c r="F76" s="1193"/>
      <c r="G76" s="1193"/>
      <c r="H76" s="1193"/>
      <c r="I76" s="1193"/>
      <c r="J76" s="1193"/>
      <c r="K76" s="1193"/>
      <c r="L76" s="1194"/>
      <c r="M76" s="1169"/>
      <c r="N76" s="1170"/>
      <c r="O76" s="1170"/>
      <c r="P76" s="1170"/>
      <c r="Q76" s="1171"/>
      <c r="R76" s="466"/>
      <c r="S76" s="473" t="str">
        <f>IF(ISBLANK(M76),"",VLOOKUP(M76,VImpact,2,FALSE))</f>
        <v/>
      </c>
      <c r="T76" s="162" t="s">
        <v>650</v>
      </c>
      <c r="U76" s="466"/>
      <c r="V76" s="466"/>
      <c r="W76" s="210"/>
      <c r="X76" s="466"/>
      <c r="Y76" s="466"/>
      <c r="Z76" s="466"/>
      <c r="AA76" s="466"/>
      <c r="AB76" s="466"/>
      <c r="AC76" s="466"/>
      <c r="AD76" s="471"/>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134"/>
      <c r="BA76" s="412" t="str">
        <f t="shared" si="11"/>
        <v/>
      </c>
      <c r="BB76" s="412" t="str">
        <f t="shared" si="12"/>
        <v/>
      </c>
      <c r="BC76" s="412" t="str">
        <f>T365</f>
        <v/>
      </c>
      <c r="BD76" s="213"/>
    </row>
    <row r="77" spans="1:56" s="436" customFormat="1" ht="25.15" customHeight="1" x14ac:dyDescent="0.25">
      <c r="A77" s="1166" t="s">
        <v>651</v>
      </c>
      <c r="B77" s="1167"/>
      <c r="C77" s="1167"/>
      <c r="D77" s="1167"/>
      <c r="E77" s="1167"/>
      <c r="F77" s="1167"/>
      <c r="G77" s="1167"/>
      <c r="H77" s="1167"/>
      <c r="I77" s="1167"/>
      <c r="J77" s="1167"/>
      <c r="K77" s="1167"/>
      <c r="L77" s="1168"/>
      <c r="M77" s="1169"/>
      <c r="N77" s="1170"/>
      <c r="O77" s="1170"/>
      <c r="P77" s="1170"/>
      <c r="Q77" s="1171"/>
      <c r="R77" s="466"/>
      <c r="S77" s="473" t="str">
        <f>IF(ISBLANK(M77),"",VLOOKUP(M77,VEvidence,2,FALSE))</f>
        <v/>
      </c>
      <c r="T77" s="251" t="s">
        <v>652</v>
      </c>
      <c r="U77" s="466"/>
      <c r="V77" s="466"/>
      <c r="W77" s="468"/>
      <c r="X77" s="466"/>
      <c r="Y77" s="466"/>
      <c r="Z77" s="466"/>
      <c r="AA77" s="466"/>
      <c r="AB77" s="466"/>
      <c r="AC77" s="466"/>
      <c r="AD77" s="471"/>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134"/>
      <c r="BA77" s="412" t="str">
        <f t="shared" si="11"/>
        <v/>
      </c>
      <c r="BB77" s="412" t="str">
        <f t="shared" si="12"/>
        <v/>
      </c>
      <c r="BC77" s="412" t="str">
        <f>U365</f>
        <v/>
      </c>
      <c r="BD77" s="291"/>
    </row>
    <row r="78" spans="1:56" s="436" customFormat="1" ht="25.15" customHeight="1" x14ac:dyDescent="0.25">
      <c r="A78" s="1172" t="s">
        <v>653</v>
      </c>
      <c r="B78" s="1173"/>
      <c r="C78" s="1173"/>
      <c r="D78" s="1173"/>
      <c r="E78" s="1173"/>
      <c r="F78" s="1173"/>
      <c r="G78" s="1173"/>
      <c r="H78" s="1173"/>
      <c r="I78" s="1173"/>
      <c r="J78" s="1173"/>
      <c r="K78" s="1173"/>
      <c r="L78" s="1173"/>
      <c r="M78" s="1173"/>
      <c r="N78" s="1173"/>
      <c r="O78" s="1173"/>
      <c r="P78" s="1173"/>
      <c r="Q78" s="1174"/>
      <c r="R78" s="466"/>
      <c r="S78" s="472" t="str">
        <f>IF(ISBLANK(A79),"",A79)</f>
        <v/>
      </c>
      <c r="T78" s="438" t="s">
        <v>193</v>
      </c>
      <c r="U78" s="466"/>
      <c r="V78" s="466"/>
      <c r="W78" s="466"/>
      <c r="X78" s="466"/>
      <c r="Y78" s="466"/>
      <c r="Z78" s="466"/>
      <c r="AA78" s="466"/>
      <c r="AB78" s="466"/>
      <c r="AC78" s="466"/>
      <c r="AD78" s="471"/>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134"/>
      <c r="BA78" s="412" t="str">
        <f t="shared" si="11"/>
        <v/>
      </c>
      <c r="BB78" s="412" t="str">
        <f t="shared" si="12"/>
        <v/>
      </c>
      <c r="BC78" s="412" t="str">
        <f>V365</f>
        <v/>
      </c>
      <c r="BD78" s="291"/>
    </row>
    <row r="79" spans="1:56" ht="25.15" customHeight="1" x14ac:dyDescent="0.25">
      <c r="A79" s="1175"/>
      <c r="B79" s="1152"/>
      <c r="C79" s="1152"/>
      <c r="D79" s="1152"/>
      <c r="E79" s="1152"/>
      <c r="F79" s="1152"/>
      <c r="G79" s="1152"/>
      <c r="H79" s="1152"/>
      <c r="I79" s="1152"/>
      <c r="J79" s="1152"/>
      <c r="K79" s="1152"/>
      <c r="L79" s="1152"/>
      <c r="M79" s="1152"/>
      <c r="N79" s="1152"/>
      <c r="O79" s="1152"/>
      <c r="P79" s="1152"/>
      <c r="Q79" s="1153"/>
      <c r="R79" s="466"/>
      <c r="S79" s="466"/>
      <c r="T79" s="475"/>
      <c r="U79" s="466"/>
      <c r="V79" s="466"/>
      <c r="W79" s="466"/>
      <c r="X79" s="466"/>
      <c r="Y79" s="466"/>
      <c r="Z79" s="466"/>
      <c r="AA79" s="466"/>
      <c r="AB79" s="466"/>
      <c r="AC79" s="466"/>
      <c r="AD79" s="471"/>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34"/>
      <c r="BA79" s="412" t="str">
        <f t="shared" si="11"/>
        <v/>
      </c>
      <c r="BB79" s="412" t="str">
        <f t="shared" si="12"/>
        <v/>
      </c>
      <c r="BC79" s="412" t="str">
        <f>S367</f>
        <v/>
      </c>
    </row>
    <row r="80" spans="1:56" ht="25.15" customHeight="1" x14ac:dyDescent="0.25">
      <c r="A80" s="1176"/>
      <c r="B80" s="1177"/>
      <c r="C80" s="1177"/>
      <c r="D80" s="1177"/>
      <c r="E80" s="1177"/>
      <c r="F80" s="1177"/>
      <c r="G80" s="1177"/>
      <c r="H80" s="1177"/>
      <c r="I80" s="1177"/>
      <c r="J80" s="1177"/>
      <c r="K80" s="1177"/>
      <c r="L80" s="1177"/>
      <c r="M80" s="1177"/>
      <c r="N80" s="1177"/>
      <c r="O80" s="1177"/>
      <c r="P80" s="1177"/>
      <c r="Q80" s="1178"/>
      <c r="R80" s="466"/>
      <c r="S80" s="466"/>
      <c r="T80" s="475"/>
      <c r="U80" s="466"/>
      <c r="V80" s="466"/>
      <c r="W80" s="466"/>
      <c r="X80" s="466"/>
      <c r="Y80" s="466"/>
      <c r="Z80" s="466"/>
      <c r="AA80" s="466"/>
      <c r="AB80" s="466"/>
      <c r="AC80" s="466"/>
      <c r="AD80" s="471"/>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34"/>
      <c r="BA80" s="412" t="str">
        <f t="shared" si="11"/>
        <v/>
      </c>
      <c r="BB80" s="412" t="str">
        <f t="shared" si="12"/>
        <v/>
      </c>
      <c r="BC80" s="412" t="str">
        <f>S368</f>
        <v/>
      </c>
    </row>
    <row r="81" spans="1:56" ht="25.15" customHeight="1" x14ac:dyDescent="0.25">
      <c r="A81" s="1179" t="s">
        <v>654</v>
      </c>
      <c r="B81" s="1180"/>
      <c r="C81" s="1180"/>
      <c r="D81" s="1180"/>
      <c r="E81" s="1180"/>
      <c r="F81" s="1180"/>
      <c r="G81" s="1180"/>
      <c r="H81" s="1180"/>
      <c r="I81" s="1180"/>
      <c r="J81" s="1180"/>
      <c r="K81" s="1180"/>
      <c r="L81" s="1180"/>
      <c r="M81" s="1180"/>
      <c r="N81" s="1180"/>
      <c r="O81" s="1180"/>
      <c r="P81" s="1180"/>
      <c r="Q81" s="1181"/>
      <c r="R81" s="466"/>
      <c r="S81" s="472" t="str">
        <f>IF(ISBLANK(A82),"",A82)</f>
        <v/>
      </c>
      <c r="T81" s="475" t="s">
        <v>590</v>
      </c>
      <c r="U81" s="466"/>
      <c r="V81" s="466"/>
      <c r="W81" s="466"/>
      <c r="X81" s="466"/>
      <c r="Y81" s="466"/>
      <c r="Z81" s="466"/>
      <c r="AA81" s="466"/>
      <c r="AB81" s="466"/>
      <c r="AC81" s="466"/>
      <c r="AD81" s="471"/>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34"/>
      <c r="BA81" s="412" t="str">
        <f t="shared" si="11"/>
        <v/>
      </c>
      <c r="BB81" s="412" t="str">
        <f t="shared" si="12"/>
        <v/>
      </c>
      <c r="BC81" s="412" t="str">
        <f>S369</f>
        <v/>
      </c>
    </row>
    <row r="82" spans="1:56" ht="25.15" customHeight="1" x14ac:dyDescent="0.25">
      <c r="A82" s="1175"/>
      <c r="B82" s="1152"/>
      <c r="C82" s="1152"/>
      <c r="D82" s="1152"/>
      <c r="E82" s="1152"/>
      <c r="F82" s="1152"/>
      <c r="G82" s="1152"/>
      <c r="H82" s="1152"/>
      <c r="I82" s="1152"/>
      <c r="J82" s="1152"/>
      <c r="K82" s="1152"/>
      <c r="L82" s="1152"/>
      <c r="M82" s="1152"/>
      <c r="N82" s="1152"/>
      <c r="O82" s="1152"/>
      <c r="P82" s="1152"/>
      <c r="Q82" s="1182"/>
      <c r="R82" s="466"/>
      <c r="U82" s="466"/>
      <c r="V82" s="466"/>
      <c r="W82" s="466"/>
      <c r="X82" s="210"/>
      <c r="Y82" s="210"/>
      <c r="Z82" s="210"/>
      <c r="AA82" s="474"/>
      <c r="AB82" s="474"/>
      <c r="AC82" s="474"/>
      <c r="AD82" s="471"/>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34"/>
      <c r="BA82" s="412" t="str">
        <f t="shared" si="11"/>
        <v/>
      </c>
      <c r="BB82" s="412" t="str">
        <f t="shared" si="12"/>
        <v/>
      </c>
      <c r="BC82" s="412" t="str">
        <f>S377</f>
        <v/>
      </c>
    </row>
    <row r="83" spans="1:56" ht="25.15" customHeight="1" thickBot="1" x14ac:dyDescent="0.3">
      <c r="A83" s="1154"/>
      <c r="B83" s="1155"/>
      <c r="C83" s="1155"/>
      <c r="D83" s="1155"/>
      <c r="E83" s="1155"/>
      <c r="F83" s="1155"/>
      <c r="G83" s="1155"/>
      <c r="H83" s="1155"/>
      <c r="I83" s="1155"/>
      <c r="J83" s="1155"/>
      <c r="K83" s="1155"/>
      <c r="L83" s="1155"/>
      <c r="M83" s="1155"/>
      <c r="N83" s="1155"/>
      <c r="O83" s="1155"/>
      <c r="P83" s="1155"/>
      <c r="Q83" s="1156"/>
      <c r="R83" s="466"/>
      <c r="S83" s="466"/>
      <c r="T83" s="466"/>
      <c r="U83" s="466"/>
      <c r="V83" s="466"/>
      <c r="W83" s="466"/>
      <c r="X83" s="464"/>
      <c r="Y83" s="464"/>
      <c r="Z83" s="464"/>
      <c r="AA83" s="464"/>
      <c r="AB83" s="464"/>
      <c r="AC83" s="464"/>
      <c r="AD83" s="471"/>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34"/>
      <c r="BA83" s="412" t="str">
        <f t="shared" si="11"/>
        <v/>
      </c>
      <c r="BB83" s="412" t="str">
        <f t="shared" si="12"/>
        <v/>
      </c>
      <c r="BC83" s="412" t="str">
        <f>S378</f>
        <v/>
      </c>
      <c r="BD83" s="213"/>
    </row>
    <row r="84" spans="1:56" ht="25.15" customHeight="1" x14ac:dyDescent="0.2">
      <c r="A84" s="1148" t="s">
        <v>656</v>
      </c>
      <c r="B84" s="1149"/>
      <c r="C84" s="1149"/>
      <c r="D84" s="1149"/>
      <c r="E84" s="1149"/>
      <c r="F84" s="1149"/>
      <c r="G84" s="1149"/>
      <c r="H84" s="1149"/>
      <c r="I84" s="1149"/>
      <c r="J84" s="1149"/>
      <c r="K84" s="1149"/>
      <c r="L84" s="1149"/>
      <c r="M84" s="1149"/>
      <c r="N84" s="1149"/>
      <c r="O84" s="1149"/>
      <c r="P84" s="1149"/>
      <c r="Q84" s="1150"/>
      <c r="S84" s="478" t="str">
        <f>IF(ISBLANK(A85),"",A85)</f>
        <v/>
      </c>
      <c r="T84" s="479" t="s">
        <v>657</v>
      </c>
      <c r="W84" s="466"/>
      <c r="X84" s="466"/>
      <c r="Y84" s="466"/>
      <c r="Z84" s="466"/>
      <c r="AA84" s="466"/>
      <c r="AB84" s="466"/>
      <c r="AC84" s="466"/>
      <c r="AD84" s="210"/>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34"/>
      <c r="BA84" s="441" t="str">
        <f t="shared" si="11"/>
        <v/>
      </c>
      <c r="BB84" s="441" t="str">
        <f t="shared" ref="BB84:BB92" si="13">IF(BC84="","",$Q$393)</f>
        <v/>
      </c>
      <c r="BC84" s="441" t="str">
        <f>S408</f>
        <v/>
      </c>
      <c r="BD84" s="207" t="s">
        <v>663</v>
      </c>
    </row>
    <row r="85" spans="1:56" ht="25.15" customHeight="1" x14ac:dyDescent="0.25">
      <c r="A85" s="1175"/>
      <c r="B85" s="1152"/>
      <c r="C85" s="1152"/>
      <c r="D85" s="1152"/>
      <c r="E85" s="1152"/>
      <c r="F85" s="1152"/>
      <c r="G85" s="1152"/>
      <c r="H85" s="1152"/>
      <c r="I85" s="1152"/>
      <c r="J85" s="1152"/>
      <c r="K85" s="1152"/>
      <c r="L85" s="1152"/>
      <c r="M85" s="1152"/>
      <c r="N85" s="1152"/>
      <c r="O85" s="1152"/>
      <c r="P85" s="1152"/>
      <c r="Q85" s="1153"/>
      <c r="W85" s="466"/>
      <c r="X85" s="466"/>
      <c r="Y85" s="466"/>
      <c r="Z85" s="466"/>
      <c r="AA85" s="466"/>
      <c r="AB85" s="466"/>
      <c r="AC85" s="466"/>
      <c r="AD85" s="471"/>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34"/>
      <c r="BA85" s="441" t="str">
        <f t="shared" si="11"/>
        <v/>
      </c>
      <c r="BB85" s="441" t="str">
        <f t="shared" si="13"/>
        <v/>
      </c>
      <c r="BC85" s="441" t="str">
        <f>T408</f>
        <v/>
      </c>
    </row>
    <row r="86" spans="1:56" ht="25.15" customHeight="1" thickBot="1" x14ac:dyDescent="0.25">
      <c r="A86" s="1154"/>
      <c r="B86" s="1155"/>
      <c r="C86" s="1155"/>
      <c r="D86" s="1155"/>
      <c r="E86" s="1155"/>
      <c r="F86" s="1155"/>
      <c r="G86" s="1155"/>
      <c r="H86" s="1155"/>
      <c r="I86" s="1155"/>
      <c r="J86" s="1155"/>
      <c r="K86" s="1155"/>
      <c r="L86" s="1155"/>
      <c r="M86" s="1155"/>
      <c r="N86" s="1155"/>
      <c r="O86" s="1155"/>
      <c r="P86" s="1155"/>
      <c r="Q86" s="1156"/>
      <c r="R86" s="436"/>
      <c r="S86" s="436"/>
      <c r="T86" s="436"/>
      <c r="U86" s="436"/>
      <c r="V86" s="436"/>
      <c r="W86" s="210"/>
      <c r="X86" s="466"/>
      <c r="Y86" s="466"/>
      <c r="Z86" s="466"/>
      <c r="AA86" s="466"/>
      <c r="AB86" s="466"/>
      <c r="AC86" s="466"/>
      <c r="AD86" s="210"/>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34"/>
      <c r="BA86" s="441" t="str">
        <f t="shared" si="11"/>
        <v/>
      </c>
      <c r="BB86" s="441" t="str">
        <f t="shared" si="13"/>
        <v/>
      </c>
      <c r="BC86" s="441" t="str">
        <f>U408</f>
        <v/>
      </c>
    </row>
    <row r="87" spans="1:56" ht="25.15" customHeight="1" x14ac:dyDescent="0.2">
      <c r="A87" s="1157" t="s">
        <v>658</v>
      </c>
      <c r="B87" s="1158"/>
      <c r="C87" s="1158"/>
      <c r="D87" s="1158"/>
      <c r="E87" s="1158"/>
      <c r="F87" s="1158"/>
      <c r="G87" s="1158"/>
      <c r="H87" s="1158"/>
      <c r="I87" s="1158"/>
      <c r="J87" s="1158"/>
      <c r="K87" s="1158"/>
      <c r="L87" s="1158"/>
      <c r="M87" s="1158"/>
      <c r="N87" s="1158"/>
      <c r="O87" s="1158"/>
      <c r="P87" s="1158"/>
      <c r="Q87" s="1159"/>
      <c r="R87" s="476"/>
      <c r="S87" s="481"/>
      <c r="T87" s="482"/>
      <c r="U87" s="476"/>
      <c r="V87" s="476"/>
      <c r="W87" s="464"/>
      <c r="X87" s="466"/>
      <c r="Y87" s="466"/>
      <c r="Z87" s="466"/>
      <c r="AA87" s="466"/>
      <c r="AB87" s="466"/>
      <c r="AC87" s="466"/>
      <c r="AD87" s="210"/>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34"/>
      <c r="BA87" s="441" t="str">
        <f t="shared" si="11"/>
        <v/>
      </c>
      <c r="BB87" s="441" t="str">
        <f t="shared" si="13"/>
        <v/>
      </c>
      <c r="BC87" s="441" t="str">
        <f>V408</f>
        <v/>
      </c>
    </row>
    <row r="88" spans="1:56" ht="25.15" customHeight="1" x14ac:dyDescent="0.2">
      <c r="A88" s="1160"/>
      <c r="B88" s="1161"/>
      <c r="C88" s="1161"/>
      <c r="D88" s="1161"/>
      <c r="E88" s="1161"/>
      <c r="F88" s="1161"/>
      <c r="G88" s="1161"/>
      <c r="H88" s="1161"/>
      <c r="I88" s="1161"/>
      <c r="J88" s="1161"/>
      <c r="K88" s="1161"/>
      <c r="L88" s="1161"/>
      <c r="M88" s="1161"/>
      <c r="N88" s="1161"/>
      <c r="O88" s="1161"/>
      <c r="P88" s="1161"/>
      <c r="Q88" s="1162"/>
      <c r="R88" s="195"/>
      <c r="S88" s="483" t="str">
        <f>IF(ISBLANK(A88),"",CONCATENATE(S87,A88))</f>
        <v/>
      </c>
      <c r="T88" s="438" t="s">
        <v>195</v>
      </c>
      <c r="U88" s="195"/>
      <c r="V88" s="195"/>
      <c r="W88" s="466"/>
      <c r="X88" s="466"/>
      <c r="Y88" s="466"/>
      <c r="Z88" s="466"/>
      <c r="AA88" s="466"/>
      <c r="AB88" s="466"/>
      <c r="AC88" s="466"/>
      <c r="AD88" s="210"/>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34"/>
      <c r="BA88" s="441" t="str">
        <f t="shared" si="11"/>
        <v/>
      </c>
      <c r="BB88" s="441" t="str">
        <f t="shared" si="13"/>
        <v/>
      </c>
      <c r="BC88" s="441" t="str">
        <f>S410</f>
        <v/>
      </c>
    </row>
    <row r="89" spans="1:56" ht="25.15" customHeight="1" thickBot="1" x14ac:dyDescent="0.25">
      <c r="A89" s="1163"/>
      <c r="B89" s="1164"/>
      <c r="C89" s="1164"/>
      <c r="D89" s="1164"/>
      <c r="E89" s="1164"/>
      <c r="F89" s="1164"/>
      <c r="G89" s="1164"/>
      <c r="H89" s="1164"/>
      <c r="I89" s="1164"/>
      <c r="J89" s="1164"/>
      <c r="K89" s="1164"/>
      <c r="L89" s="1164"/>
      <c r="M89" s="1164"/>
      <c r="N89" s="1164"/>
      <c r="O89" s="1164"/>
      <c r="P89" s="1164"/>
      <c r="Q89" s="1165"/>
      <c r="R89" s="195"/>
      <c r="S89" s="210"/>
      <c r="T89" s="210"/>
      <c r="U89" s="210"/>
      <c r="V89" s="210"/>
      <c r="W89" s="466"/>
      <c r="X89" s="466"/>
      <c r="Y89" s="466"/>
      <c r="Z89" s="466"/>
      <c r="AA89" s="466"/>
      <c r="AB89" s="466"/>
      <c r="AC89" s="466"/>
      <c r="AD89" s="210"/>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34"/>
      <c r="BA89" s="441" t="str">
        <f t="shared" si="11"/>
        <v/>
      </c>
      <c r="BB89" s="441" t="str">
        <f t="shared" si="13"/>
        <v/>
      </c>
      <c r="BC89" s="441" t="str">
        <f>S411</f>
        <v/>
      </c>
    </row>
    <row r="90" spans="1:56" ht="26.25" customHeight="1" x14ac:dyDescent="0.2">
      <c r="A90" s="484" t="e">
        <f>$A$1</f>
        <v>#N/A</v>
      </c>
      <c r="B90" s="210"/>
      <c r="C90" s="210"/>
      <c r="D90" s="210"/>
      <c r="E90" s="210"/>
      <c r="F90" s="210"/>
      <c r="G90" s="210"/>
      <c r="H90" s="210"/>
      <c r="I90" s="210"/>
      <c r="J90" s="210"/>
      <c r="K90" s="210"/>
      <c r="L90" s="210"/>
      <c r="M90" s="210"/>
      <c r="N90" s="210"/>
      <c r="O90" s="210"/>
      <c r="P90" s="954"/>
      <c r="Q90" s="954"/>
      <c r="R90" s="474"/>
      <c r="S90" s="474"/>
      <c r="T90" s="474"/>
      <c r="U90" s="474"/>
      <c r="V90" s="474"/>
      <c r="W90" s="466"/>
      <c r="X90" s="466"/>
      <c r="Y90" s="466"/>
      <c r="Z90" s="466"/>
      <c r="AA90" s="466"/>
      <c r="AB90" s="466"/>
      <c r="AC90" s="466"/>
      <c r="AD90" s="210"/>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34"/>
      <c r="BA90" s="441" t="str">
        <f t="shared" si="11"/>
        <v/>
      </c>
      <c r="BB90" s="441" t="str">
        <f t="shared" si="13"/>
        <v/>
      </c>
      <c r="BC90" s="441" t="str">
        <f>S412</f>
        <v/>
      </c>
    </row>
    <row r="91" spans="1:56" ht="26.25" customHeight="1" thickBot="1" x14ac:dyDescent="0.25">
      <c r="A91" s="1259" t="s">
        <v>85</v>
      </c>
      <c r="B91" s="1260"/>
      <c r="C91" s="1260"/>
      <c r="D91" s="1260"/>
      <c r="E91" s="1260"/>
      <c r="F91" s="1260"/>
      <c r="G91" s="1260"/>
      <c r="H91" s="1260"/>
      <c r="I91" s="1260"/>
      <c r="J91" s="1260"/>
      <c r="K91" s="1260"/>
      <c r="L91" s="1260"/>
      <c r="M91" s="1260"/>
      <c r="N91" s="1261" t="str">
        <f>$N$5</f>
        <v>2019 Report Year</v>
      </c>
      <c r="O91" s="1262"/>
      <c r="P91" s="1262"/>
      <c r="Q91" s="1262"/>
      <c r="R91" s="480"/>
      <c r="S91" s="480"/>
      <c r="T91" s="480"/>
      <c r="U91" s="480"/>
      <c r="V91" s="480"/>
      <c r="W91" s="466"/>
      <c r="X91" s="466"/>
      <c r="Y91" s="466"/>
      <c r="Z91" s="466"/>
      <c r="AA91" s="466"/>
      <c r="AB91" s="466"/>
      <c r="AC91" s="466"/>
      <c r="AD91" s="210"/>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34"/>
      <c r="BA91" s="441" t="str">
        <f t="shared" si="11"/>
        <v/>
      </c>
      <c r="BB91" s="441" t="str">
        <f t="shared" si="13"/>
        <v/>
      </c>
      <c r="BC91" s="441" t="str">
        <f>S420</f>
        <v/>
      </c>
    </row>
    <row r="92" spans="1:56" ht="26.25" customHeight="1" x14ac:dyDescent="0.2">
      <c r="A92" s="1246" t="e">
        <f>IF(AND(OR(ISNA(cap_exp_contact),TRIM(cap_exp_contact)=""),NOT(ISBLANK(code_7594))),"The Capital Expenditure Contact information has NOT been provided.  Please complete this information now.","")</f>
        <v>#N/A</v>
      </c>
      <c r="B92" s="1247"/>
      <c r="C92" s="1247"/>
      <c r="D92" s="1247"/>
      <c r="E92" s="1247"/>
      <c r="F92" s="1247"/>
      <c r="G92" s="1247"/>
      <c r="H92" s="1247"/>
      <c r="I92" s="1247"/>
      <c r="J92" s="1247"/>
      <c r="K92" s="1247"/>
      <c r="L92" s="1247"/>
      <c r="M92" s="1247"/>
      <c r="N92" s="422" t="s">
        <v>609</v>
      </c>
      <c r="O92" s="423" t="e">
        <f>$O$6</f>
        <v>#N/A</v>
      </c>
      <c r="P92" s="424" t="s">
        <v>610</v>
      </c>
      <c r="Q92" s="425"/>
      <c r="R92" s="325"/>
      <c r="S92" s="210"/>
      <c r="T92" s="210"/>
      <c r="U92" s="210"/>
      <c r="V92" s="210"/>
      <c r="W92" s="466"/>
      <c r="X92" s="466"/>
      <c r="Y92" s="466"/>
      <c r="Z92" s="466"/>
      <c r="AA92" s="210"/>
      <c r="AB92" s="210"/>
      <c r="AC92" s="210"/>
      <c r="AD92" s="210"/>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34"/>
      <c r="BA92" s="441" t="str">
        <f t="shared" si="11"/>
        <v/>
      </c>
      <c r="BB92" s="441" t="str">
        <f t="shared" si="13"/>
        <v/>
      </c>
      <c r="BC92" s="441" t="str">
        <f>S421</f>
        <v/>
      </c>
    </row>
    <row r="93" spans="1:56" ht="26.25" customHeight="1" thickBot="1" x14ac:dyDescent="0.25">
      <c r="A93" s="1248" t="s">
        <v>197</v>
      </c>
      <c r="B93" s="1249"/>
      <c r="C93" s="1249"/>
      <c r="D93" s="1249"/>
      <c r="E93" s="1250"/>
      <c r="F93" s="1251"/>
      <c r="G93" s="1251"/>
      <c r="H93" s="1251"/>
      <c r="I93" s="1251"/>
      <c r="J93" s="1251"/>
      <c r="K93" s="1251"/>
      <c r="L93" s="1252"/>
      <c r="M93" s="427"/>
      <c r="N93" s="1253" t="s">
        <v>611</v>
      </c>
      <c r="O93" s="1254"/>
      <c r="P93" s="1254"/>
      <c r="Q93" s="1255"/>
      <c r="R93" s="325"/>
      <c r="S93" s="428" t="str">
        <f>IF(ISBLANK(E93),"",E93)</f>
        <v/>
      </c>
      <c r="T93" s="154" t="s">
        <v>501</v>
      </c>
      <c r="U93" s="325"/>
      <c r="V93" s="325"/>
      <c r="W93" s="466"/>
      <c r="X93" s="474"/>
      <c r="Y93" s="474"/>
      <c r="Z93" s="474"/>
      <c r="AA93" s="468"/>
      <c r="AB93" s="468"/>
      <c r="AC93" s="468"/>
      <c r="AD93" s="210"/>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34"/>
      <c r="BA93" s="412" t="str">
        <f t="shared" si="11"/>
        <v/>
      </c>
      <c r="BB93" s="412" t="str">
        <f t="shared" ref="BB93:BB101" si="14">IF(BC93="","",$Q$436)</f>
        <v/>
      </c>
      <c r="BC93" s="412" t="str">
        <f>S451</f>
        <v/>
      </c>
      <c r="BD93" s="207" t="s">
        <v>664</v>
      </c>
    </row>
    <row r="94" spans="1:56" ht="26.25" customHeight="1" x14ac:dyDescent="0.2">
      <c r="A94" s="1256" t="s">
        <v>612</v>
      </c>
      <c r="B94" s="1257"/>
      <c r="C94" s="1257"/>
      <c r="D94" s="1258"/>
      <c r="E94" s="1234"/>
      <c r="F94" s="1235"/>
      <c r="G94" s="1235"/>
      <c r="H94" s="1235"/>
      <c r="I94" s="1235"/>
      <c r="J94" s="1235"/>
      <c r="K94" s="1235"/>
      <c r="L94" s="1236"/>
      <c r="M94" s="1237" t="str">
        <f>IF(AND(ISBLANK(E94),OR(NOT(ISBLANK(E95)),NOT(ISBLANK(E96)),NOT(ISBLANK(E97)),NOT(ISBLANK(I98)),NOT(ISBLANK(A100)))),"This information is required.","")</f>
        <v/>
      </c>
      <c r="N94" s="1238"/>
      <c r="O94" s="1238"/>
      <c r="P94" s="1238"/>
      <c r="Q94" s="429"/>
      <c r="R94" s="325"/>
      <c r="S94" s="428" t="str">
        <f>IF(ISBLANK(E94),"",E94)</f>
        <v/>
      </c>
      <c r="T94" s="154" t="s">
        <v>185</v>
      </c>
      <c r="U94" s="325"/>
      <c r="V94" s="325"/>
      <c r="W94" s="466"/>
      <c r="X94" s="480"/>
      <c r="Y94" s="480"/>
      <c r="Z94" s="480"/>
      <c r="AA94" s="466"/>
      <c r="AB94" s="466"/>
      <c r="AC94" s="466"/>
      <c r="AD94" s="210"/>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34"/>
      <c r="BA94" s="412" t="str">
        <f t="shared" si="11"/>
        <v/>
      </c>
      <c r="BB94" s="412" t="str">
        <f t="shared" si="14"/>
        <v/>
      </c>
      <c r="BC94" s="412" t="str">
        <f>T451</f>
        <v/>
      </c>
      <c r="BD94" s="213"/>
    </row>
    <row r="95" spans="1:56" ht="26.25" customHeight="1" x14ac:dyDescent="0.2">
      <c r="A95" s="1222" t="s">
        <v>613</v>
      </c>
      <c r="B95" s="1223"/>
      <c r="C95" s="1223"/>
      <c r="D95" s="1224"/>
      <c r="E95" s="1234"/>
      <c r="F95" s="1235"/>
      <c r="G95" s="1235"/>
      <c r="H95" s="1235"/>
      <c r="I95" s="1235"/>
      <c r="J95" s="1235"/>
      <c r="K95" s="1235"/>
      <c r="L95" s="1236"/>
      <c r="M95" s="1237" t="str">
        <f>IF(AND(ISBLANK(E95),OR(NOT(ISBLANK(E94)),NOT(ISBLANK(E96)),NOT(ISBLANK(E97)),NOT(ISBLANK(I98)),NOT(ISBLANK(A100)))),"This information is required.","")</f>
        <v/>
      </c>
      <c r="N95" s="1238"/>
      <c r="O95" s="1238"/>
      <c r="P95" s="1238"/>
      <c r="Q95" s="429"/>
      <c r="R95" s="325"/>
      <c r="S95" s="428" t="str">
        <f>IF(ISBLANK(E95),"",E95)</f>
        <v/>
      </c>
      <c r="T95" s="154" t="s">
        <v>186</v>
      </c>
      <c r="U95" s="325"/>
      <c r="V95" s="325"/>
      <c r="W95" s="466"/>
      <c r="X95" s="210"/>
      <c r="Y95" s="210"/>
      <c r="Z95" s="210"/>
      <c r="AA95" s="466"/>
      <c r="AB95" s="466"/>
      <c r="AC95" s="466"/>
      <c r="AD95" s="210"/>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34"/>
      <c r="BA95" s="412" t="str">
        <f t="shared" si="11"/>
        <v/>
      </c>
      <c r="BB95" s="412" t="str">
        <f t="shared" si="14"/>
        <v/>
      </c>
      <c r="BC95" s="412" t="str">
        <f>U451</f>
        <v/>
      </c>
    </row>
    <row r="96" spans="1:56" ht="26.25" customHeight="1" x14ac:dyDescent="0.2">
      <c r="A96" s="1239" t="s">
        <v>614</v>
      </c>
      <c r="B96" s="1240"/>
      <c r="C96" s="1240"/>
      <c r="D96" s="1241"/>
      <c r="E96" s="1242"/>
      <c r="F96" s="1243"/>
      <c r="G96" s="1244" t="s">
        <v>615</v>
      </c>
      <c r="H96" s="1244"/>
      <c r="I96" s="1244"/>
      <c r="J96" s="1244"/>
      <c r="K96" s="1244"/>
      <c r="L96" s="1244"/>
      <c r="M96" s="1245" t="str">
        <f>IF(AND(ISBLANK(E96),OR(NOT(ISBLANK(E94)),NOT(ISBLANK(E95)),NOT(ISBLANK(E97)),NOT(ISBLANK(I98)),NOT(ISBLANK(A100)))),"This information is required.","")</f>
        <v/>
      </c>
      <c r="N96" s="1089"/>
      <c r="O96" s="1089"/>
      <c r="P96" s="1089"/>
      <c r="Q96" s="430"/>
      <c r="R96" s="431"/>
      <c r="S96" s="432" t="str">
        <f>IF(ISBLANK(E96),"",E96)</f>
        <v/>
      </c>
      <c r="T96" s="433" t="s">
        <v>188</v>
      </c>
      <c r="U96" s="431"/>
      <c r="V96" s="431"/>
      <c r="W96" s="466"/>
      <c r="X96" s="210"/>
      <c r="Y96" s="210"/>
      <c r="Z96" s="210"/>
      <c r="AA96" s="466"/>
      <c r="AB96" s="466"/>
      <c r="AC96" s="466"/>
      <c r="AD96" s="210"/>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34"/>
      <c r="BA96" s="412" t="str">
        <f t="shared" si="11"/>
        <v/>
      </c>
      <c r="BB96" s="412" t="str">
        <f t="shared" si="14"/>
        <v/>
      </c>
      <c r="BC96" s="412" t="str">
        <f>V451</f>
        <v/>
      </c>
    </row>
    <row r="97" spans="1:56" ht="26.25" customHeight="1" x14ac:dyDescent="0.2">
      <c r="A97" s="1222" t="s">
        <v>616</v>
      </c>
      <c r="B97" s="1223"/>
      <c r="C97" s="1223"/>
      <c r="D97" s="1224"/>
      <c r="E97" s="1225"/>
      <c r="F97" s="1226"/>
      <c r="G97" s="434"/>
      <c r="H97" s="435"/>
      <c r="I97" s="436"/>
      <c r="J97" s="431"/>
      <c r="K97" s="431"/>
      <c r="L97" s="431"/>
      <c r="M97" s="1089" t="str">
        <f>IF(AND(ISBLANK(E97),OR(NOT(ISBLANK(E94)),NOT(ISBLANK(E95)),NOT(ISBLANK(E96)),NOT(ISBLANK(I98)),NOT(ISBLANK(A100)))),"This information is required.","")</f>
        <v/>
      </c>
      <c r="N97" s="1089"/>
      <c r="O97" s="1089"/>
      <c r="P97" s="1089"/>
      <c r="Q97" s="430"/>
      <c r="R97" s="392"/>
      <c r="S97" s="437" t="str">
        <f>IF(ISBLANK(E97),"",E97)</f>
        <v/>
      </c>
      <c r="T97" s="438" t="s">
        <v>189</v>
      </c>
      <c r="U97" s="392"/>
      <c r="V97" s="392"/>
      <c r="W97" s="474"/>
      <c r="X97" s="210"/>
      <c r="Y97" s="210"/>
      <c r="Z97" s="210"/>
      <c r="AA97" s="466"/>
      <c r="AB97" s="466"/>
      <c r="AC97" s="466"/>
      <c r="AD97" s="210"/>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34"/>
      <c r="BA97" s="412" t="str">
        <f t="shared" si="11"/>
        <v/>
      </c>
      <c r="BB97" s="412" t="str">
        <f t="shared" si="14"/>
        <v/>
      </c>
      <c r="BC97" s="412" t="str">
        <f>S453</f>
        <v/>
      </c>
    </row>
    <row r="98" spans="1:56" ht="26.25" customHeight="1" thickBot="1" x14ac:dyDescent="0.25">
      <c r="A98" s="1227" t="s">
        <v>617</v>
      </c>
      <c r="B98" s="1228"/>
      <c r="C98" s="1228"/>
      <c r="D98" s="1228"/>
      <c r="E98" s="1229"/>
      <c r="F98" s="1229"/>
      <c r="G98" s="1229"/>
      <c r="H98" s="1229"/>
      <c r="I98" s="1230"/>
      <c r="J98" s="1230"/>
      <c r="K98" s="1231" t="s">
        <v>618</v>
      </c>
      <c r="L98" s="1232"/>
      <c r="M98" s="1233" t="str">
        <f>IF(AND(ISBLANK(I98),OR(NOT(ISBLANK(E94)),NOT(ISBLANK(E95)),NOT(ISBLANK(E96)),NOT(ISBLANK(E97)),NOT(ISBLANK(A100)))),"This information is required!","")</f>
        <v/>
      </c>
      <c r="N98" s="1233"/>
      <c r="O98" s="1233"/>
      <c r="P98" s="1233"/>
      <c r="Q98" s="439"/>
      <c r="R98" s="392"/>
      <c r="S98" s="437" t="str">
        <f>IF(ISBLANK(I98),"",I98)</f>
        <v/>
      </c>
      <c r="T98" s="438" t="s">
        <v>190</v>
      </c>
      <c r="U98" s="440"/>
      <c r="V98" s="440"/>
      <c r="W98" s="480"/>
      <c r="X98" s="210"/>
      <c r="Y98" s="210"/>
      <c r="Z98" s="210"/>
      <c r="AA98" s="466"/>
      <c r="AB98" s="466"/>
      <c r="AC98" s="466"/>
      <c r="AD98" s="210"/>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34"/>
      <c r="BA98" s="412" t="str">
        <f t="shared" si="11"/>
        <v/>
      </c>
      <c r="BB98" s="412" t="str">
        <f t="shared" si="14"/>
        <v/>
      </c>
      <c r="BC98" s="412" t="str">
        <f>S454</f>
        <v/>
      </c>
    </row>
    <row r="99" spans="1:56" ht="26.25" customHeight="1" x14ac:dyDescent="0.2">
      <c r="A99" s="1148" t="s">
        <v>620</v>
      </c>
      <c r="B99" s="1149"/>
      <c r="C99" s="1149"/>
      <c r="D99" s="1149"/>
      <c r="E99" s="1149"/>
      <c r="F99" s="1149"/>
      <c r="G99" s="1149"/>
      <c r="H99" s="1149"/>
      <c r="I99" s="1149"/>
      <c r="J99" s="1214"/>
      <c r="K99" s="1215" t="s">
        <v>693</v>
      </c>
      <c r="L99" s="1215"/>
      <c r="M99" s="1215"/>
      <c r="N99" s="1215"/>
      <c r="O99" s="1217" t="s">
        <v>621</v>
      </c>
      <c r="P99" s="1217"/>
      <c r="Q99" s="1218"/>
      <c r="R99" s="431"/>
      <c r="S99" s="437" t="str">
        <f>IF(ISBLANK(A100),"",A100)</f>
        <v/>
      </c>
      <c r="T99" s="438" t="s">
        <v>191</v>
      </c>
      <c r="U99" s="442"/>
      <c r="V99" s="442"/>
      <c r="W99" s="210"/>
      <c r="X99" s="210"/>
      <c r="Y99" s="210"/>
      <c r="Z99" s="210"/>
      <c r="AA99" s="466"/>
      <c r="AB99" s="466"/>
      <c r="AC99" s="466"/>
      <c r="AD99" s="210"/>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34"/>
      <c r="BA99" s="412" t="str">
        <f t="shared" si="11"/>
        <v/>
      </c>
      <c r="BB99" s="412" t="str">
        <f t="shared" si="14"/>
        <v/>
      </c>
      <c r="BC99" s="412" t="str">
        <f>S455</f>
        <v/>
      </c>
    </row>
    <row r="100" spans="1:56" ht="26.25" customHeight="1" x14ac:dyDescent="0.2">
      <c r="A100" s="1160"/>
      <c r="B100" s="1161"/>
      <c r="C100" s="1161"/>
      <c r="D100" s="1161"/>
      <c r="E100" s="1161"/>
      <c r="F100" s="1161"/>
      <c r="G100" s="1161"/>
      <c r="H100" s="1161"/>
      <c r="I100" s="1161"/>
      <c r="J100" s="1202"/>
      <c r="K100" s="1216"/>
      <c r="L100" s="1216"/>
      <c r="M100" s="1216"/>
      <c r="N100" s="1216"/>
      <c r="O100" s="443"/>
      <c r="P100" s="229" t="s">
        <v>269</v>
      </c>
      <c r="Q100" s="444" t="s">
        <v>270</v>
      </c>
      <c r="R100" s="431"/>
      <c r="S100" s="437" t="str">
        <f>IF(ISBLANK(A103),"",A103)</f>
        <v/>
      </c>
      <c r="T100" s="445" t="s">
        <v>192</v>
      </c>
      <c r="U100" s="442"/>
      <c r="V100" s="442"/>
      <c r="W100" s="210"/>
      <c r="X100" s="431"/>
      <c r="Y100" s="431"/>
      <c r="Z100" s="431"/>
      <c r="AA100" s="466"/>
      <c r="AB100" s="466"/>
      <c r="AC100" s="466"/>
      <c r="AD100" s="210"/>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34"/>
      <c r="BA100" s="412" t="str">
        <f t="shared" si="11"/>
        <v/>
      </c>
      <c r="BB100" s="412" t="str">
        <f t="shared" si="14"/>
        <v/>
      </c>
      <c r="BC100" s="412" t="str">
        <f>S463</f>
        <v/>
      </c>
    </row>
    <row r="101" spans="1:56" ht="26.25" customHeight="1" x14ac:dyDescent="0.2">
      <c r="A101" s="1176"/>
      <c r="B101" s="1177"/>
      <c r="C101" s="1177"/>
      <c r="D101" s="1177"/>
      <c r="E101" s="1177"/>
      <c r="F101" s="1177"/>
      <c r="G101" s="1177"/>
      <c r="H101" s="1177"/>
      <c r="I101" s="1177"/>
      <c r="J101" s="1203"/>
      <c r="K101" s="1204" t="s">
        <v>622</v>
      </c>
      <c r="L101" s="1205"/>
      <c r="M101" s="1205"/>
      <c r="N101" s="1205"/>
      <c r="O101" s="1206"/>
      <c r="P101" s="451"/>
      <c r="Q101" s="487"/>
      <c r="R101" s="440" t="str">
        <f>IF(COUNTBLANK(P101:Q101)=2,"Please enter response.",IF(COUNTBLANK(P101:Q101)&lt;&gt;1,"Please VERIFY response.",""))</f>
        <v>Please enter response.</v>
      </c>
      <c r="S101" s="452" t="str">
        <f>IF(AND(ISBLANK(P101),ISBLANK(Q101)),"",IF(ISBLANK(P101),0,1))</f>
        <v/>
      </c>
      <c r="T101" s="251" t="s">
        <v>592</v>
      </c>
      <c r="U101" s="213"/>
      <c r="V101" s="213"/>
      <c r="W101" s="210"/>
      <c r="X101" s="210"/>
      <c r="Y101" s="210"/>
      <c r="Z101" s="210"/>
      <c r="AA101" s="466"/>
      <c r="AB101" s="466"/>
      <c r="AC101" s="466"/>
      <c r="AD101" s="210"/>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34"/>
      <c r="BA101" s="412" t="str">
        <f t="shared" si="11"/>
        <v/>
      </c>
      <c r="BB101" s="412" t="str">
        <f t="shared" si="14"/>
        <v/>
      </c>
      <c r="BC101" s="412" t="str">
        <f>S464</f>
        <v/>
      </c>
      <c r="BD101" s="213"/>
    </row>
    <row r="102" spans="1:56" ht="26.25" customHeight="1" x14ac:dyDescent="0.2">
      <c r="A102" s="1219" t="s">
        <v>623</v>
      </c>
      <c r="B102" s="1220"/>
      <c r="C102" s="1220"/>
      <c r="D102" s="1220"/>
      <c r="E102" s="1220"/>
      <c r="F102" s="1220"/>
      <c r="G102" s="1220"/>
      <c r="H102" s="1220"/>
      <c r="I102" s="1220"/>
      <c r="J102" s="1221"/>
      <c r="K102" s="1204" t="s">
        <v>624</v>
      </c>
      <c r="L102" s="1205"/>
      <c r="M102" s="1205"/>
      <c r="N102" s="1205"/>
      <c r="O102" s="1206"/>
      <c r="P102" s="451"/>
      <c r="Q102" s="487"/>
      <c r="R102" s="440" t="str">
        <f>IF(COUNTBLANK(P102:Q102)=2,"Please enter response.",IF(COUNTBLANK(P102:Q102)&lt;&gt;1,"Please VERIFY response.",""))</f>
        <v>Please enter response.</v>
      </c>
      <c r="S102" s="452" t="str">
        <f>IF(AND(ISBLANK(P102),ISBLANK(Q102)),"",IF(ISBLANK(P102),0,1))</f>
        <v/>
      </c>
      <c r="T102" s="251" t="s">
        <v>593</v>
      </c>
      <c r="U102" s="213"/>
      <c r="V102" s="213"/>
      <c r="W102" s="210"/>
      <c r="X102" s="210"/>
      <c r="Y102" s="210"/>
      <c r="Z102" s="210"/>
      <c r="AA102" s="466"/>
      <c r="AB102" s="466"/>
      <c r="AC102" s="466"/>
      <c r="AD102" s="210"/>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34"/>
      <c r="BA102" s="441" t="str">
        <f t="shared" si="11"/>
        <v/>
      </c>
      <c r="BB102" s="441" t="str">
        <f t="shared" ref="BB102:BB110" si="15">IF(BC102="","",$Q$479)</f>
        <v/>
      </c>
      <c r="BC102" s="441" t="str">
        <f>S494</f>
        <v/>
      </c>
      <c r="BD102" s="207" t="s">
        <v>665</v>
      </c>
    </row>
    <row r="103" spans="1:56" ht="26.25" customHeight="1" x14ac:dyDescent="0.2">
      <c r="A103" s="1160"/>
      <c r="B103" s="1161"/>
      <c r="C103" s="1161"/>
      <c r="D103" s="1161"/>
      <c r="E103" s="1161"/>
      <c r="F103" s="1161"/>
      <c r="G103" s="1161"/>
      <c r="H103" s="1161"/>
      <c r="I103" s="1161"/>
      <c r="J103" s="1202"/>
      <c r="K103" s="1204" t="s">
        <v>625</v>
      </c>
      <c r="L103" s="1205"/>
      <c r="M103" s="1205"/>
      <c r="N103" s="1205"/>
      <c r="O103" s="1206"/>
      <c r="P103" s="451"/>
      <c r="Q103" s="487"/>
      <c r="R103" s="440" t="str">
        <f>IF(COUNTBLANK(P103:Q103)=2,"Please enter response.",IF(COUNTBLANK(P103:Q103)&lt;&gt;1,"Please VERIFY response.",""))</f>
        <v>Please enter response.</v>
      </c>
      <c r="S103" s="452" t="str">
        <f>IF(AND(ISBLANK(P103),ISBLANK(Q103)),"",IF(ISBLANK(P103),0,1))</f>
        <v/>
      </c>
      <c r="T103" s="251" t="s">
        <v>594</v>
      </c>
      <c r="U103" s="213"/>
      <c r="V103" s="213"/>
      <c r="W103" s="210"/>
      <c r="X103" s="210"/>
      <c r="Y103" s="210"/>
      <c r="Z103" s="210"/>
      <c r="AA103" s="210"/>
      <c r="AB103" s="210"/>
      <c r="AC103" s="210"/>
      <c r="AD103" s="210"/>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34"/>
      <c r="BA103" s="441" t="str">
        <f t="shared" si="11"/>
        <v/>
      </c>
      <c r="BB103" s="441" t="str">
        <f t="shared" si="15"/>
        <v/>
      </c>
      <c r="BC103" s="441" t="str">
        <f>T494</f>
        <v/>
      </c>
    </row>
    <row r="104" spans="1:56" ht="26.25" customHeight="1" x14ac:dyDescent="0.2">
      <c r="A104" s="1176"/>
      <c r="B104" s="1177"/>
      <c r="C104" s="1177"/>
      <c r="D104" s="1177"/>
      <c r="E104" s="1177"/>
      <c r="F104" s="1177"/>
      <c r="G104" s="1177"/>
      <c r="H104" s="1177"/>
      <c r="I104" s="1177"/>
      <c r="J104" s="1203"/>
      <c r="K104" s="1204" t="s">
        <v>626</v>
      </c>
      <c r="L104" s="1205"/>
      <c r="M104" s="1205"/>
      <c r="N104" s="1205"/>
      <c r="O104" s="1206"/>
      <c r="P104" s="451"/>
      <c r="Q104" s="487"/>
      <c r="R104" s="440" t="str">
        <f>IF(COUNTBLANK(P104:Q104)=2,"Please enter response.",IF(COUNTBLANK(P104:Q104)&lt;&gt;1,"Please VERIFY response.",""))</f>
        <v>Please enter response.</v>
      </c>
      <c r="S104" s="452" t="str">
        <f>IF(AND(ISBLANK(P104),ISBLANK(Q104)),"",IF(ISBLANK(P104),0,1))</f>
        <v/>
      </c>
      <c r="T104" s="251" t="s">
        <v>595</v>
      </c>
      <c r="U104" s="213"/>
      <c r="V104" s="213"/>
      <c r="W104" s="431"/>
      <c r="X104" s="431"/>
      <c r="Y104" s="431"/>
      <c r="Z104" s="431"/>
      <c r="AA104" s="464"/>
      <c r="AB104" s="464"/>
      <c r="AC104" s="464"/>
      <c r="AD104" s="210"/>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34"/>
      <c r="BA104" s="441" t="str">
        <f t="shared" si="11"/>
        <v/>
      </c>
      <c r="BB104" s="441" t="str">
        <f t="shared" si="15"/>
        <v/>
      </c>
      <c r="BC104" s="441" t="str">
        <f>U494</f>
        <v/>
      </c>
    </row>
    <row r="105" spans="1:56" ht="26.25" customHeight="1" x14ac:dyDescent="0.2">
      <c r="A105" s="1207" t="s">
        <v>627</v>
      </c>
      <c r="B105" s="1208"/>
      <c r="C105" s="1208"/>
      <c r="D105" s="1208"/>
      <c r="E105" s="1208"/>
      <c r="F105" s="1208"/>
      <c r="G105" s="1208"/>
      <c r="H105" s="1208"/>
      <c r="I105" s="1208"/>
      <c r="J105" s="1208"/>
      <c r="K105" s="1208"/>
      <c r="L105" s="1208"/>
      <c r="M105" s="1208"/>
      <c r="N105" s="1208"/>
      <c r="O105" s="1208"/>
      <c r="P105" s="1208"/>
      <c r="Q105" s="1209"/>
      <c r="R105" s="454"/>
      <c r="S105" s="463"/>
      <c r="T105" s="454"/>
      <c r="U105" s="454"/>
      <c r="V105" s="454"/>
      <c r="W105" s="210"/>
      <c r="X105" s="466"/>
      <c r="Y105" s="466"/>
      <c r="Z105" s="466"/>
      <c r="AA105" s="466"/>
      <c r="AB105" s="466"/>
      <c r="AC105" s="466"/>
      <c r="AD105" s="210"/>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34"/>
      <c r="BA105" s="441" t="str">
        <f t="shared" si="11"/>
        <v/>
      </c>
      <c r="BB105" s="441" t="str">
        <f t="shared" si="15"/>
        <v/>
      </c>
      <c r="BC105" s="441" t="str">
        <f>V494</f>
        <v/>
      </c>
    </row>
    <row r="106" spans="1:56" ht="26.25" customHeight="1" x14ac:dyDescent="0.2">
      <c r="A106" s="1210" t="s">
        <v>628</v>
      </c>
      <c r="B106" s="1211"/>
      <c r="C106" s="1211"/>
      <c r="D106" s="1211"/>
      <c r="E106" s="1211" t="s">
        <v>629</v>
      </c>
      <c r="F106" s="1211"/>
      <c r="G106" s="1211"/>
      <c r="H106" s="1211"/>
      <c r="I106" s="1211" t="s">
        <v>630</v>
      </c>
      <c r="J106" s="1211"/>
      <c r="K106" s="1211"/>
      <c r="L106" s="1211"/>
      <c r="M106" s="1212" t="s">
        <v>631</v>
      </c>
      <c r="N106" s="1211"/>
      <c r="O106" s="1211"/>
      <c r="P106" s="1211"/>
      <c r="Q106" s="1213"/>
      <c r="R106" s="459"/>
      <c r="S106" s="1195" t="s">
        <v>632</v>
      </c>
      <c r="T106" s="1195"/>
      <c r="U106" s="1195"/>
      <c r="V106" s="1195"/>
      <c r="W106" s="210"/>
      <c r="X106" s="466"/>
      <c r="Y106" s="466"/>
      <c r="Z106" s="466"/>
      <c r="AA106" s="466"/>
      <c r="AB106" s="466"/>
      <c r="AC106" s="466"/>
      <c r="AD106" s="210"/>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34"/>
      <c r="BA106" s="441" t="str">
        <f t="shared" si="11"/>
        <v/>
      </c>
      <c r="BB106" s="441" t="str">
        <f t="shared" si="15"/>
        <v/>
      </c>
      <c r="BC106" s="441" t="str">
        <f>S496</f>
        <v/>
      </c>
    </row>
    <row r="107" spans="1:56" ht="26.25" customHeight="1" thickBot="1" x14ac:dyDescent="0.25">
      <c r="A107" s="1196"/>
      <c r="B107" s="815"/>
      <c r="C107" s="815"/>
      <c r="D107" s="815"/>
      <c r="E107" s="815"/>
      <c r="F107" s="815"/>
      <c r="G107" s="815"/>
      <c r="H107" s="815"/>
      <c r="I107" s="815"/>
      <c r="J107" s="815"/>
      <c r="K107" s="815"/>
      <c r="L107" s="815"/>
      <c r="M107" s="1197"/>
      <c r="N107" s="1197"/>
      <c r="O107" s="1197"/>
      <c r="P107" s="1197"/>
      <c r="Q107" s="1198"/>
      <c r="R107" s="454"/>
      <c r="S107" s="467" t="str">
        <f>IF(ISBLANK(A107),"",VLOOKUP(A107,VProjType,2,FALSE))</f>
        <v/>
      </c>
      <c r="T107" s="467" t="str">
        <f>IF(ISBLANK(E107),"",VLOOKUP(E107,VSubtype1,2,FALSE))</f>
        <v/>
      </c>
      <c r="U107" s="467" t="str">
        <f>IF(ISBLANK(I107),"",VLOOKUP(I107,VSubtype2,2,FALSE))</f>
        <v/>
      </c>
      <c r="V107" s="467" t="str">
        <f>IF(ISBLANK(M107),"",VLOOKUP(M107,VSubtype3,2,FALSE))</f>
        <v/>
      </c>
      <c r="W107" s="210"/>
      <c r="X107" s="466"/>
      <c r="Y107" s="466"/>
      <c r="Z107" s="466"/>
      <c r="AA107" s="466"/>
      <c r="AB107" s="466"/>
      <c r="AC107" s="466"/>
      <c r="AD107" s="210"/>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34"/>
      <c r="BA107" s="441" t="str">
        <f t="shared" si="11"/>
        <v/>
      </c>
      <c r="BB107" s="441" t="str">
        <f t="shared" si="15"/>
        <v/>
      </c>
      <c r="BC107" s="441" t="str">
        <f>S497</f>
        <v/>
      </c>
    </row>
    <row r="108" spans="1:56" ht="26.25" customHeight="1" x14ac:dyDescent="0.2">
      <c r="A108" s="1199" t="s">
        <v>634</v>
      </c>
      <c r="B108" s="1200"/>
      <c r="C108" s="1200"/>
      <c r="D108" s="1200"/>
      <c r="E108" s="1200"/>
      <c r="F108" s="1200"/>
      <c r="G108" s="1200"/>
      <c r="H108" s="1200"/>
      <c r="I108" s="1200"/>
      <c r="J108" s="1200"/>
      <c r="K108" s="1200"/>
      <c r="L108" s="1200"/>
      <c r="M108" s="1200"/>
      <c r="N108" s="1200"/>
      <c r="O108" s="1200"/>
      <c r="P108" s="1200"/>
      <c r="Q108" s="1201"/>
      <c r="R108" s="464"/>
      <c r="S108" s="468" t="s">
        <v>635</v>
      </c>
      <c r="T108" s="464"/>
      <c r="U108" s="464"/>
      <c r="V108" s="464"/>
      <c r="W108" s="431"/>
      <c r="X108" s="466"/>
      <c r="Y108" s="466"/>
      <c r="Z108" s="466"/>
      <c r="AA108" s="466"/>
      <c r="AB108" s="466"/>
      <c r="AC108" s="466"/>
      <c r="AD108" s="210"/>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34"/>
      <c r="BA108" s="441" t="str">
        <f t="shared" si="11"/>
        <v/>
      </c>
      <c r="BB108" s="441" t="str">
        <f t="shared" si="15"/>
        <v/>
      </c>
      <c r="BC108" s="441" t="str">
        <f>S498</f>
        <v/>
      </c>
    </row>
    <row r="109" spans="1:56" ht="26.25" customHeight="1" x14ac:dyDescent="0.2">
      <c r="A109" s="1166" t="s">
        <v>636</v>
      </c>
      <c r="B109" s="1167"/>
      <c r="C109" s="1167"/>
      <c r="D109" s="1167"/>
      <c r="E109" s="1167"/>
      <c r="F109" s="1167"/>
      <c r="G109" s="1167"/>
      <c r="H109" s="1167"/>
      <c r="I109" s="1167"/>
      <c r="J109" s="1167"/>
      <c r="K109" s="1167"/>
      <c r="L109" s="1168"/>
      <c r="M109" s="1169"/>
      <c r="N109" s="1170"/>
      <c r="O109" s="1170"/>
      <c r="P109" s="1170"/>
      <c r="Q109" s="1171"/>
      <c r="R109" s="464"/>
      <c r="S109" s="469" t="str">
        <f>IF(ISBLANK(M109),"",VLOOKUP(M109,VRemote,2,FALSE))</f>
        <v/>
      </c>
      <c r="T109" s="470" t="s">
        <v>637</v>
      </c>
      <c r="U109" s="464"/>
      <c r="V109" s="464"/>
      <c r="W109" s="466"/>
      <c r="X109" s="466"/>
      <c r="Y109" s="466"/>
      <c r="Z109" s="466"/>
      <c r="AA109" s="466"/>
      <c r="AB109" s="466"/>
      <c r="AC109" s="466"/>
      <c r="AD109" s="210"/>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34"/>
      <c r="BA109" s="441" t="str">
        <f t="shared" si="11"/>
        <v/>
      </c>
      <c r="BB109" s="441" t="str">
        <f t="shared" si="15"/>
        <v/>
      </c>
      <c r="BC109" s="441" t="str">
        <f>S506</f>
        <v/>
      </c>
    </row>
    <row r="110" spans="1:56" ht="26.25" customHeight="1" x14ac:dyDescent="0.2">
      <c r="A110" s="1166" t="s">
        <v>638</v>
      </c>
      <c r="B110" s="1167"/>
      <c r="C110" s="1167"/>
      <c r="D110" s="1167"/>
      <c r="E110" s="1167"/>
      <c r="F110" s="1167"/>
      <c r="G110" s="1167"/>
      <c r="H110" s="1167"/>
      <c r="I110" s="1167"/>
      <c r="J110" s="1167"/>
      <c r="K110" s="1167"/>
      <c r="L110" s="1167"/>
      <c r="M110" s="1169"/>
      <c r="N110" s="1170"/>
      <c r="O110" s="1170"/>
      <c r="P110" s="1170"/>
      <c r="Q110" s="1171"/>
      <c r="R110" s="466"/>
      <c r="S110" s="469" t="str">
        <f>IF(ISBLANK(M110),"",VLOOKUP(M110,VCapacity,2,FALSE))</f>
        <v/>
      </c>
      <c r="T110" s="162" t="s">
        <v>639</v>
      </c>
      <c r="U110" s="466"/>
      <c r="V110" s="466"/>
      <c r="W110" s="466"/>
      <c r="X110" s="466"/>
      <c r="Y110" s="466"/>
      <c r="Z110" s="466"/>
      <c r="AA110" s="466"/>
      <c r="AB110" s="466"/>
      <c r="AC110" s="466"/>
      <c r="AD110" s="210"/>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34"/>
      <c r="BA110" s="441" t="str">
        <f t="shared" si="11"/>
        <v/>
      </c>
      <c r="BB110" s="441" t="str">
        <f t="shared" si="15"/>
        <v/>
      </c>
      <c r="BC110" s="441" t="str">
        <f>S507</f>
        <v/>
      </c>
    </row>
    <row r="111" spans="1:56" ht="26.25" customHeight="1" x14ac:dyDescent="0.2">
      <c r="A111" s="1166" t="s">
        <v>640</v>
      </c>
      <c r="B111" s="1167"/>
      <c r="C111" s="1167"/>
      <c r="D111" s="1167"/>
      <c r="E111" s="1167"/>
      <c r="F111" s="1167"/>
      <c r="G111" s="1167"/>
      <c r="H111" s="1167"/>
      <c r="I111" s="1167"/>
      <c r="J111" s="1167"/>
      <c r="K111" s="1167"/>
      <c r="L111" s="1167"/>
      <c r="M111" s="1169"/>
      <c r="N111" s="1170"/>
      <c r="O111" s="1170"/>
      <c r="P111" s="1170"/>
      <c r="Q111" s="1171"/>
      <c r="R111" s="466"/>
      <c r="S111" s="469" t="str">
        <f>IF(ISBLANK(M111),"",VLOOKUP(M111,VPriorCap,2,FALSE))</f>
        <v/>
      </c>
      <c r="T111" s="162" t="s">
        <v>641</v>
      </c>
      <c r="U111" s="466"/>
      <c r="V111" s="466"/>
      <c r="W111" s="466"/>
      <c r="X111" s="466"/>
      <c r="Y111" s="466"/>
      <c r="Z111" s="466"/>
      <c r="AA111" s="466"/>
      <c r="AB111" s="466"/>
      <c r="AC111" s="466"/>
      <c r="AD111" s="210"/>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row>
    <row r="112" spans="1:56" ht="26.25" customHeight="1" x14ac:dyDescent="0.2">
      <c r="A112" s="1183" t="s">
        <v>643</v>
      </c>
      <c r="B112" s="1184"/>
      <c r="C112" s="1184"/>
      <c r="D112" s="1184"/>
      <c r="E112" s="1184"/>
      <c r="F112" s="1184"/>
      <c r="G112" s="1184"/>
      <c r="H112" s="1184"/>
      <c r="I112" s="1184"/>
      <c r="J112" s="1184"/>
      <c r="K112" s="1184"/>
      <c r="L112" s="1184"/>
      <c r="M112" s="1184"/>
      <c r="N112" s="1184"/>
      <c r="O112" s="1184"/>
      <c r="P112" s="1184"/>
      <c r="Q112" s="1185"/>
      <c r="R112" s="466"/>
      <c r="S112" s="472" t="str">
        <f>IF(ISBLANK(A113),"",A113)</f>
        <v/>
      </c>
      <c r="T112" s="162" t="s">
        <v>589</v>
      </c>
      <c r="U112" s="466"/>
      <c r="V112" s="466"/>
      <c r="W112" s="466"/>
      <c r="X112" s="466"/>
      <c r="Y112" s="466"/>
      <c r="Z112" s="466"/>
      <c r="AA112" s="466"/>
      <c r="AB112" s="466"/>
      <c r="AC112" s="466"/>
      <c r="AD112" s="210"/>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row>
    <row r="113" spans="1:52" ht="26.25" customHeight="1" x14ac:dyDescent="0.2">
      <c r="A113" s="1175"/>
      <c r="B113" s="1152"/>
      <c r="C113" s="1152"/>
      <c r="D113" s="1152"/>
      <c r="E113" s="1152"/>
      <c r="F113" s="1152"/>
      <c r="G113" s="1152"/>
      <c r="H113" s="1152"/>
      <c r="I113" s="1152"/>
      <c r="J113" s="1152"/>
      <c r="K113" s="1152"/>
      <c r="L113" s="1152"/>
      <c r="M113" s="1152"/>
      <c r="N113" s="1152"/>
      <c r="O113" s="1152"/>
      <c r="P113" s="1152"/>
      <c r="Q113" s="1182"/>
      <c r="R113" s="466"/>
      <c r="S113" s="466"/>
      <c r="T113" s="466"/>
      <c r="U113" s="466"/>
      <c r="V113" s="466"/>
      <c r="W113" s="466"/>
      <c r="X113" s="466"/>
      <c r="Y113" s="466"/>
      <c r="Z113" s="466"/>
      <c r="AA113" s="466"/>
      <c r="AB113" s="466"/>
      <c r="AC113" s="466"/>
      <c r="AD113" s="210"/>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row>
    <row r="114" spans="1:52" ht="26.25" customHeight="1" x14ac:dyDescent="0.2">
      <c r="A114" s="1186"/>
      <c r="B114" s="1187"/>
      <c r="C114" s="1187"/>
      <c r="D114" s="1187"/>
      <c r="E114" s="1187"/>
      <c r="F114" s="1187"/>
      <c r="G114" s="1187"/>
      <c r="H114" s="1187"/>
      <c r="I114" s="1187"/>
      <c r="J114" s="1187"/>
      <c r="K114" s="1187"/>
      <c r="L114" s="1187"/>
      <c r="M114" s="1187"/>
      <c r="N114" s="1187"/>
      <c r="O114" s="1187"/>
      <c r="P114" s="1187"/>
      <c r="Q114" s="1188"/>
      <c r="R114" s="466"/>
      <c r="S114" s="466"/>
      <c r="T114" s="466"/>
      <c r="U114" s="466"/>
      <c r="V114" s="466"/>
      <c r="W114" s="466"/>
      <c r="X114" s="210"/>
      <c r="Y114" s="210"/>
      <c r="Z114" s="210"/>
      <c r="AA114" s="474"/>
      <c r="AB114" s="474"/>
      <c r="AC114" s="474"/>
      <c r="AD114" s="210"/>
      <c r="AE114" s="127"/>
      <c r="AF114" s="127"/>
      <c r="AG114" s="127"/>
      <c r="AH114" s="127"/>
      <c r="AI114" s="127"/>
      <c r="AJ114" s="127"/>
      <c r="AK114" s="127"/>
      <c r="AL114" s="134"/>
      <c r="AM114" s="127"/>
      <c r="AN114" s="127"/>
      <c r="AO114" s="127"/>
      <c r="AP114" s="127"/>
      <c r="AQ114" s="127"/>
      <c r="AR114" s="127"/>
      <c r="AS114" s="127"/>
      <c r="AT114" s="127"/>
      <c r="AU114" s="127"/>
      <c r="AV114" s="127"/>
      <c r="AW114" s="127"/>
      <c r="AX114" s="127"/>
      <c r="AY114" s="127"/>
      <c r="AZ114" s="127"/>
    </row>
    <row r="115" spans="1:52" ht="26.25" customHeight="1" x14ac:dyDescent="0.2">
      <c r="A115" s="1189" t="s">
        <v>645</v>
      </c>
      <c r="B115" s="1190"/>
      <c r="C115" s="1190"/>
      <c r="D115" s="1190"/>
      <c r="E115" s="1190"/>
      <c r="F115" s="1190"/>
      <c r="G115" s="1190"/>
      <c r="H115" s="1190"/>
      <c r="I115" s="1190"/>
      <c r="J115" s="1190"/>
      <c r="K115" s="1190"/>
      <c r="L115" s="1190"/>
      <c r="M115" s="1190"/>
      <c r="N115" s="1190"/>
      <c r="O115" s="1190"/>
      <c r="P115" s="1190"/>
      <c r="Q115" s="1191"/>
      <c r="R115" s="468"/>
      <c r="S115" s="468"/>
      <c r="T115" s="468"/>
      <c r="U115" s="468"/>
      <c r="V115" s="468"/>
      <c r="W115" s="466"/>
      <c r="X115" s="464"/>
      <c r="Y115" s="464"/>
      <c r="Z115" s="464"/>
      <c r="AA115" s="480"/>
      <c r="AB115" s="480"/>
      <c r="AC115" s="480"/>
      <c r="AD115" s="210"/>
      <c r="AE115" s="127"/>
      <c r="AF115" s="127"/>
      <c r="AG115" s="127"/>
      <c r="AH115" s="127"/>
      <c r="AI115" s="127"/>
      <c r="AJ115" s="127"/>
      <c r="AK115" s="127"/>
      <c r="AL115" s="134"/>
      <c r="AM115" s="127"/>
      <c r="AN115" s="127"/>
      <c r="AO115" s="127"/>
      <c r="AP115" s="127"/>
      <c r="AQ115" s="127"/>
      <c r="AR115" s="127"/>
      <c r="AS115" s="127"/>
      <c r="AT115" s="127"/>
      <c r="AU115" s="127"/>
      <c r="AV115" s="127"/>
      <c r="AW115" s="127"/>
      <c r="AX115" s="127"/>
      <c r="AY115" s="127"/>
      <c r="AZ115" s="127"/>
    </row>
    <row r="116" spans="1:52" ht="26.25" customHeight="1" x14ac:dyDescent="0.2">
      <c r="A116" s="1175"/>
      <c r="B116" s="1152"/>
      <c r="C116" s="1152"/>
      <c r="D116" s="1152"/>
      <c r="E116" s="1152"/>
      <c r="F116" s="1152"/>
      <c r="G116" s="1152"/>
      <c r="H116" s="1152"/>
      <c r="I116" s="1152"/>
      <c r="J116" s="1152"/>
      <c r="K116" s="1152"/>
      <c r="L116" s="1152"/>
      <c r="M116" s="1152"/>
      <c r="N116" s="1152"/>
      <c r="O116" s="1152"/>
      <c r="P116" s="1152"/>
      <c r="Q116" s="1153"/>
      <c r="R116" s="466"/>
      <c r="S116" s="472" t="str">
        <f>IF(ISBLANK(A116),"",A116)</f>
        <v/>
      </c>
      <c r="T116" s="438" t="s">
        <v>194</v>
      </c>
      <c r="U116" s="466"/>
      <c r="V116" s="466"/>
      <c r="W116" s="466"/>
      <c r="X116" s="466"/>
      <c r="Y116" s="466"/>
      <c r="Z116" s="466"/>
      <c r="AA116" s="210"/>
      <c r="AB116" s="210"/>
      <c r="AC116" s="210"/>
      <c r="AD116" s="210"/>
      <c r="AE116" s="127"/>
      <c r="AF116" s="127"/>
      <c r="AG116" s="127"/>
      <c r="AH116" s="127"/>
      <c r="AI116" s="127"/>
      <c r="AJ116" s="127"/>
      <c r="AK116" s="127"/>
      <c r="AL116" s="134"/>
      <c r="AM116" s="127"/>
      <c r="AN116" s="127"/>
      <c r="AO116" s="127"/>
      <c r="AP116" s="127"/>
      <c r="AQ116" s="127"/>
      <c r="AR116" s="127"/>
      <c r="AS116" s="127"/>
      <c r="AT116" s="127"/>
      <c r="AU116" s="127"/>
      <c r="AV116" s="127"/>
      <c r="AW116" s="127"/>
      <c r="AX116" s="127"/>
      <c r="AY116" s="127"/>
      <c r="AZ116" s="127"/>
    </row>
    <row r="117" spans="1:52" ht="26.25" customHeight="1" thickBot="1" x14ac:dyDescent="0.25">
      <c r="A117" s="1163"/>
      <c r="B117" s="1164"/>
      <c r="C117" s="1164"/>
      <c r="D117" s="1164"/>
      <c r="E117" s="1164"/>
      <c r="F117" s="1164"/>
      <c r="G117" s="1164"/>
      <c r="H117" s="1164"/>
      <c r="I117" s="1164"/>
      <c r="J117" s="1164"/>
      <c r="K117" s="1164"/>
      <c r="L117" s="1164"/>
      <c r="M117" s="1164"/>
      <c r="N117" s="1164"/>
      <c r="O117" s="1164"/>
      <c r="P117" s="1164"/>
      <c r="Q117" s="1165"/>
      <c r="R117" s="466"/>
      <c r="S117" s="466"/>
      <c r="T117" s="438"/>
      <c r="U117" s="466"/>
      <c r="V117" s="466"/>
      <c r="W117" s="466"/>
      <c r="X117" s="466"/>
      <c r="Y117" s="466"/>
      <c r="Z117" s="466"/>
      <c r="AA117" s="210"/>
      <c r="AB117" s="210"/>
      <c r="AC117" s="210"/>
      <c r="AD117" s="210"/>
      <c r="AE117" s="127"/>
      <c r="AF117" s="127"/>
      <c r="AG117" s="127"/>
      <c r="AH117" s="127"/>
      <c r="AI117" s="127"/>
      <c r="AJ117" s="127"/>
      <c r="AK117" s="127"/>
      <c r="AL117" s="134"/>
      <c r="AM117" s="127"/>
      <c r="AN117" s="127"/>
      <c r="AO117" s="127"/>
      <c r="AP117" s="127"/>
      <c r="AQ117" s="127"/>
      <c r="AR117" s="127"/>
      <c r="AS117" s="127"/>
      <c r="AT117" s="127"/>
      <c r="AU117" s="127"/>
      <c r="AV117" s="127"/>
      <c r="AW117" s="127"/>
      <c r="AX117" s="127"/>
      <c r="AY117" s="127"/>
      <c r="AZ117" s="127"/>
    </row>
    <row r="118" spans="1:52" ht="26.25" customHeight="1" x14ac:dyDescent="0.2">
      <c r="A118" s="1157" t="s">
        <v>647</v>
      </c>
      <c r="B118" s="1158"/>
      <c r="C118" s="1158"/>
      <c r="D118" s="1158"/>
      <c r="E118" s="1158"/>
      <c r="F118" s="1158"/>
      <c r="G118" s="1158"/>
      <c r="H118" s="1158"/>
      <c r="I118" s="1158"/>
      <c r="J118" s="1158"/>
      <c r="K118" s="1158"/>
      <c r="L118" s="1158"/>
      <c r="M118" s="1158"/>
      <c r="N118" s="1158"/>
      <c r="O118" s="1158"/>
      <c r="P118" s="1158"/>
      <c r="Q118" s="1159"/>
      <c r="R118" s="464"/>
      <c r="S118" s="468" t="s">
        <v>648</v>
      </c>
      <c r="T118" s="464"/>
      <c r="U118" s="464"/>
      <c r="V118" s="464"/>
      <c r="W118" s="210"/>
      <c r="X118" s="466"/>
      <c r="Y118" s="466"/>
      <c r="Z118" s="466"/>
      <c r="AA118" s="210"/>
      <c r="AB118" s="210"/>
      <c r="AC118" s="210"/>
      <c r="AD118" s="210"/>
      <c r="AE118" s="127"/>
      <c r="AF118" s="127"/>
      <c r="AG118" s="127"/>
      <c r="AH118" s="127"/>
      <c r="AI118" s="127"/>
      <c r="AJ118" s="127"/>
      <c r="AK118" s="127"/>
      <c r="AL118" s="134"/>
      <c r="AM118" s="127"/>
      <c r="AN118" s="127"/>
      <c r="AO118" s="127"/>
      <c r="AP118" s="127"/>
      <c r="AQ118" s="127"/>
      <c r="AR118" s="127"/>
      <c r="AS118" s="127"/>
      <c r="AT118" s="127"/>
      <c r="AU118" s="127"/>
      <c r="AV118" s="127"/>
      <c r="AW118" s="127"/>
      <c r="AX118" s="127"/>
      <c r="AY118" s="127"/>
      <c r="AZ118" s="127"/>
    </row>
    <row r="119" spans="1:52" ht="26.25" customHeight="1" x14ac:dyDescent="0.2">
      <c r="A119" s="1192" t="s">
        <v>649</v>
      </c>
      <c r="B119" s="1193"/>
      <c r="C119" s="1193"/>
      <c r="D119" s="1193"/>
      <c r="E119" s="1193"/>
      <c r="F119" s="1193"/>
      <c r="G119" s="1193"/>
      <c r="H119" s="1193"/>
      <c r="I119" s="1193"/>
      <c r="J119" s="1193"/>
      <c r="K119" s="1193"/>
      <c r="L119" s="1194"/>
      <c r="M119" s="1169"/>
      <c r="N119" s="1170"/>
      <c r="O119" s="1170"/>
      <c r="P119" s="1170"/>
      <c r="Q119" s="1171"/>
      <c r="R119" s="466"/>
      <c r="S119" s="473" t="str">
        <f>IF(ISBLANK(M119),"",VLOOKUP(M119,VImpact,2,FALSE))</f>
        <v/>
      </c>
      <c r="T119" s="162" t="s">
        <v>650</v>
      </c>
      <c r="U119" s="466"/>
      <c r="V119" s="466"/>
      <c r="W119" s="464"/>
      <c r="X119" s="466"/>
      <c r="Y119" s="466"/>
      <c r="Z119" s="466"/>
      <c r="AA119" s="210"/>
      <c r="AB119" s="210"/>
      <c r="AC119" s="210"/>
      <c r="AD119" s="210"/>
      <c r="AE119" s="127"/>
      <c r="AF119" s="127"/>
      <c r="AG119" s="127"/>
      <c r="AH119" s="127"/>
      <c r="AI119" s="127"/>
      <c r="AJ119" s="127"/>
      <c r="AK119" s="127"/>
      <c r="AL119" s="134"/>
      <c r="AM119" s="127"/>
      <c r="AN119" s="127"/>
      <c r="AO119" s="127"/>
      <c r="AP119" s="127"/>
      <c r="AQ119" s="127"/>
      <c r="AR119" s="127"/>
      <c r="AS119" s="127"/>
      <c r="AT119" s="127"/>
      <c r="AU119" s="127"/>
      <c r="AV119" s="127"/>
      <c r="AW119" s="127"/>
      <c r="AX119" s="127"/>
      <c r="AY119" s="127"/>
      <c r="AZ119" s="127"/>
    </row>
    <row r="120" spans="1:52" ht="26.25" customHeight="1" x14ac:dyDescent="0.2">
      <c r="A120" s="1166" t="s">
        <v>651</v>
      </c>
      <c r="B120" s="1167"/>
      <c r="C120" s="1167"/>
      <c r="D120" s="1167"/>
      <c r="E120" s="1167"/>
      <c r="F120" s="1167"/>
      <c r="G120" s="1167"/>
      <c r="H120" s="1167"/>
      <c r="I120" s="1167"/>
      <c r="J120" s="1167"/>
      <c r="K120" s="1167"/>
      <c r="L120" s="1168"/>
      <c r="M120" s="1169"/>
      <c r="N120" s="1170"/>
      <c r="O120" s="1170"/>
      <c r="P120" s="1170"/>
      <c r="Q120" s="1171"/>
      <c r="R120" s="466"/>
      <c r="S120" s="473" t="str">
        <f>IF(ISBLANK(M120),"",VLOOKUP(M120,VEvidence,2,FALSE))</f>
        <v/>
      </c>
      <c r="T120" s="251" t="s">
        <v>652</v>
      </c>
      <c r="U120" s="466"/>
      <c r="V120" s="466"/>
      <c r="W120" s="466"/>
      <c r="X120" s="466"/>
      <c r="Y120" s="466"/>
      <c r="Z120" s="466"/>
      <c r="AA120" s="210"/>
      <c r="AB120" s="210"/>
      <c r="AC120" s="210"/>
      <c r="AD120" s="210"/>
      <c r="AE120" s="127"/>
      <c r="AF120" s="127"/>
      <c r="AG120" s="127"/>
      <c r="AH120" s="127"/>
      <c r="AI120" s="127"/>
      <c r="AJ120" s="127"/>
      <c r="AK120" s="127"/>
      <c r="AL120" s="134"/>
      <c r="AM120" s="127"/>
      <c r="AN120" s="127"/>
      <c r="AO120" s="127"/>
      <c r="AP120" s="127"/>
      <c r="AQ120" s="127"/>
      <c r="AR120" s="127"/>
      <c r="AS120" s="127"/>
      <c r="AT120" s="127"/>
      <c r="AU120" s="127"/>
      <c r="AV120" s="127"/>
      <c r="AW120" s="127"/>
      <c r="AX120" s="127"/>
      <c r="AY120" s="127"/>
      <c r="AZ120" s="127"/>
    </row>
    <row r="121" spans="1:52" ht="26.25" customHeight="1" x14ac:dyDescent="0.2">
      <c r="A121" s="1172" t="s">
        <v>653</v>
      </c>
      <c r="B121" s="1173"/>
      <c r="C121" s="1173"/>
      <c r="D121" s="1173"/>
      <c r="E121" s="1173"/>
      <c r="F121" s="1173"/>
      <c r="G121" s="1173"/>
      <c r="H121" s="1173"/>
      <c r="I121" s="1173"/>
      <c r="J121" s="1173"/>
      <c r="K121" s="1173"/>
      <c r="L121" s="1173"/>
      <c r="M121" s="1173"/>
      <c r="N121" s="1173"/>
      <c r="O121" s="1173"/>
      <c r="P121" s="1173"/>
      <c r="Q121" s="1174"/>
      <c r="R121" s="466"/>
      <c r="S121" s="472" t="str">
        <f>IF(ISBLANK(A122),"",A122)</f>
        <v/>
      </c>
      <c r="T121" s="438" t="s">
        <v>193</v>
      </c>
      <c r="U121" s="466"/>
      <c r="V121" s="466"/>
      <c r="W121" s="466"/>
      <c r="X121" s="466"/>
      <c r="Y121" s="466"/>
      <c r="Z121" s="466"/>
      <c r="AA121" s="431"/>
      <c r="AB121" s="431"/>
      <c r="AC121" s="431"/>
      <c r="AD121" s="486"/>
      <c r="AE121" s="127"/>
      <c r="AF121" s="127"/>
      <c r="AG121" s="127"/>
      <c r="AH121" s="127"/>
      <c r="AI121" s="127"/>
      <c r="AJ121" s="127"/>
      <c r="AK121" s="127"/>
      <c r="AL121" s="134"/>
      <c r="AM121" s="127"/>
      <c r="AN121" s="127"/>
      <c r="AO121" s="127"/>
      <c r="AP121" s="127"/>
      <c r="AQ121" s="127"/>
      <c r="AR121" s="127"/>
      <c r="AS121" s="127"/>
      <c r="AT121" s="127"/>
      <c r="AU121" s="127"/>
      <c r="AV121" s="127"/>
      <c r="AW121" s="127"/>
      <c r="AX121" s="127"/>
      <c r="AY121" s="127"/>
      <c r="AZ121" s="127"/>
    </row>
    <row r="122" spans="1:52" ht="26.25" customHeight="1" x14ac:dyDescent="0.2">
      <c r="A122" s="1175"/>
      <c r="B122" s="1152"/>
      <c r="C122" s="1152"/>
      <c r="D122" s="1152"/>
      <c r="E122" s="1152"/>
      <c r="F122" s="1152"/>
      <c r="G122" s="1152"/>
      <c r="H122" s="1152"/>
      <c r="I122" s="1152"/>
      <c r="J122" s="1152"/>
      <c r="K122" s="1152"/>
      <c r="L122" s="1152"/>
      <c r="M122" s="1152"/>
      <c r="N122" s="1152"/>
      <c r="O122" s="1152"/>
      <c r="P122" s="1152"/>
      <c r="Q122" s="1153"/>
      <c r="R122" s="466"/>
      <c r="S122" s="466"/>
      <c r="T122" s="475"/>
      <c r="U122" s="466"/>
      <c r="V122" s="466"/>
      <c r="W122" s="466"/>
      <c r="X122" s="466"/>
      <c r="Y122" s="466"/>
      <c r="Z122" s="466"/>
      <c r="AA122" s="210"/>
      <c r="AB122" s="210"/>
      <c r="AC122" s="210"/>
      <c r="AD122" s="210"/>
      <c r="AE122" s="127"/>
      <c r="AF122" s="127"/>
      <c r="AG122" s="127"/>
      <c r="AH122" s="127"/>
      <c r="AI122" s="127"/>
      <c r="AJ122" s="127"/>
      <c r="AK122" s="127"/>
      <c r="AL122" s="134"/>
      <c r="AM122" s="127"/>
      <c r="AN122" s="127"/>
      <c r="AO122" s="127"/>
      <c r="AP122" s="127"/>
      <c r="AQ122" s="127"/>
      <c r="AR122" s="127"/>
      <c r="AS122" s="127"/>
      <c r="AT122" s="127"/>
      <c r="AU122" s="127"/>
      <c r="AV122" s="127"/>
      <c r="AW122" s="127"/>
      <c r="AX122" s="127"/>
      <c r="AY122" s="127"/>
      <c r="AZ122" s="127"/>
    </row>
    <row r="123" spans="1:52" ht="26.25" customHeight="1" x14ac:dyDescent="0.2">
      <c r="A123" s="1176"/>
      <c r="B123" s="1177"/>
      <c r="C123" s="1177"/>
      <c r="D123" s="1177"/>
      <c r="E123" s="1177"/>
      <c r="F123" s="1177"/>
      <c r="G123" s="1177"/>
      <c r="H123" s="1177"/>
      <c r="I123" s="1177"/>
      <c r="J123" s="1177"/>
      <c r="K123" s="1177"/>
      <c r="L123" s="1177"/>
      <c r="M123" s="1177"/>
      <c r="N123" s="1177"/>
      <c r="O123" s="1177"/>
      <c r="P123" s="1177"/>
      <c r="Q123" s="1178"/>
      <c r="R123" s="466"/>
      <c r="S123" s="466"/>
      <c r="T123" s="475"/>
      <c r="U123" s="466"/>
      <c r="V123" s="466"/>
      <c r="W123" s="466"/>
      <c r="X123" s="466"/>
      <c r="Y123" s="466"/>
      <c r="Z123" s="466"/>
      <c r="AA123" s="210"/>
      <c r="AB123" s="210"/>
      <c r="AC123" s="210"/>
      <c r="AD123" s="210"/>
      <c r="AE123" s="127"/>
      <c r="AF123" s="127"/>
      <c r="AG123" s="127"/>
      <c r="AH123" s="127"/>
      <c r="AI123" s="127"/>
      <c r="AJ123" s="127"/>
      <c r="AK123" s="127"/>
      <c r="AL123" s="134"/>
      <c r="AM123" s="127"/>
      <c r="AN123" s="127"/>
      <c r="AO123" s="127"/>
      <c r="AP123" s="127"/>
      <c r="AQ123" s="127"/>
      <c r="AR123" s="127"/>
      <c r="AS123" s="127"/>
      <c r="AT123" s="127"/>
      <c r="AU123" s="127"/>
      <c r="AV123" s="127"/>
      <c r="AW123" s="127"/>
      <c r="AX123" s="127"/>
      <c r="AY123" s="127"/>
      <c r="AZ123" s="127"/>
    </row>
    <row r="124" spans="1:52" ht="26.25" customHeight="1" x14ac:dyDescent="0.2">
      <c r="A124" s="1179" t="s">
        <v>654</v>
      </c>
      <c r="B124" s="1180"/>
      <c r="C124" s="1180"/>
      <c r="D124" s="1180"/>
      <c r="E124" s="1180"/>
      <c r="F124" s="1180"/>
      <c r="G124" s="1180"/>
      <c r="H124" s="1180"/>
      <c r="I124" s="1180"/>
      <c r="J124" s="1180"/>
      <c r="K124" s="1180"/>
      <c r="L124" s="1180"/>
      <c r="M124" s="1180"/>
      <c r="N124" s="1180"/>
      <c r="O124" s="1180"/>
      <c r="P124" s="1180"/>
      <c r="Q124" s="1181"/>
      <c r="R124" s="466"/>
      <c r="S124" s="472" t="str">
        <f>IF(ISBLANK(A125),"",A125)</f>
        <v/>
      </c>
      <c r="T124" s="475" t="s">
        <v>590</v>
      </c>
      <c r="U124" s="466"/>
      <c r="V124" s="466"/>
      <c r="W124" s="466"/>
      <c r="X124" s="466"/>
      <c r="Y124" s="466"/>
      <c r="Z124" s="466"/>
      <c r="AA124" s="210"/>
      <c r="AB124" s="210"/>
      <c r="AC124" s="210"/>
      <c r="AD124" s="436"/>
      <c r="AE124" s="127"/>
      <c r="AF124" s="127"/>
      <c r="AG124" s="127"/>
      <c r="AH124" s="127"/>
      <c r="AI124" s="127"/>
      <c r="AJ124" s="127"/>
      <c r="AK124" s="127"/>
      <c r="AL124" s="134"/>
      <c r="AM124" s="127"/>
      <c r="AN124" s="127"/>
      <c r="AO124" s="127"/>
      <c r="AP124" s="127"/>
      <c r="AQ124" s="127"/>
      <c r="AR124" s="127"/>
      <c r="AS124" s="127"/>
      <c r="AT124" s="127"/>
      <c r="AU124" s="127"/>
      <c r="AV124" s="127"/>
      <c r="AW124" s="127"/>
      <c r="AX124" s="127"/>
      <c r="AY124" s="127"/>
      <c r="AZ124" s="127"/>
    </row>
    <row r="125" spans="1:52" ht="26.25" customHeight="1" x14ac:dyDescent="0.25">
      <c r="A125" s="1175"/>
      <c r="B125" s="1152"/>
      <c r="C125" s="1152"/>
      <c r="D125" s="1152"/>
      <c r="E125" s="1152"/>
      <c r="F125" s="1152"/>
      <c r="G125" s="1152"/>
      <c r="H125" s="1152"/>
      <c r="I125" s="1152"/>
      <c r="J125" s="1152"/>
      <c r="K125" s="1152"/>
      <c r="L125" s="1152"/>
      <c r="M125" s="1152"/>
      <c r="N125" s="1152"/>
      <c r="O125" s="1152"/>
      <c r="P125" s="1152"/>
      <c r="Q125" s="1182"/>
      <c r="R125" s="466"/>
      <c r="U125" s="466"/>
      <c r="V125" s="466"/>
      <c r="W125" s="466"/>
      <c r="X125" s="474"/>
      <c r="Y125" s="474"/>
      <c r="Z125" s="474"/>
      <c r="AA125" s="431"/>
      <c r="AB125" s="431"/>
      <c r="AC125" s="431"/>
      <c r="AD125" s="471"/>
      <c r="AE125" s="127"/>
      <c r="AF125" s="127"/>
      <c r="AG125" s="127"/>
      <c r="AH125" s="127"/>
      <c r="AI125" s="127"/>
      <c r="AJ125" s="127"/>
      <c r="AK125" s="127"/>
      <c r="AL125" s="134"/>
      <c r="AM125" s="127"/>
      <c r="AN125" s="127"/>
      <c r="AO125" s="127"/>
      <c r="AP125" s="127"/>
      <c r="AQ125" s="127"/>
      <c r="AR125" s="127"/>
      <c r="AS125" s="127"/>
      <c r="AT125" s="127"/>
      <c r="AU125" s="127"/>
      <c r="AV125" s="127"/>
      <c r="AW125" s="127"/>
      <c r="AX125" s="127"/>
      <c r="AY125" s="127"/>
      <c r="AZ125" s="127"/>
    </row>
    <row r="126" spans="1:52" ht="26.25" customHeight="1" thickBot="1" x14ac:dyDescent="0.25">
      <c r="A126" s="1154"/>
      <c r="B126" s="1155"/>
      <c r="C126" s="1155"/>
      <c r="D126" s="1155"/>
      <c r="E126" s="1155"/>
      <c r="F126" s="1155"/>
      <c r="G126" s="1155"/>
      <c r="H126" s="1155"/>
      <c r="I126" s="1155"/>
      <c r="J126" s="1155"/>
      <c r="K126" s="1155"/>
      <c r="L126" s="1155"/>
      <c r="M126" s="1155"/>
      <c r="N126" s="1155"/>
      <c r="O126" s="1155"/>
      <c r="P126" s="1155"/>
      <c r="Q126" s="1156"/>
      <c r="R126" s="466"/>
      <c r="S126" s="466"/>
      <c r="T126" s="466"/>
      <c r="U126" s="466"/>
      <c r="V126" s="466"/>
      <c r="W126" s="466"/>
      <c r="X126" s="464"/>
      <c r="Y126" s="464"/>
      <c r="Z126" s="464"/>
      <c r="AA126" s="466"/>
      <c r="AB126" s="466"/>
      <c r="AC126" s="466"/>
      <c r="AD126" s="210"/>
      <c r="AE126" s="127"/>
      <c r="AF126" s="127"/>
      <c r="AG126" s="127"/>
      <c r="AH126" s="127"/>
      <c r="AI126" s="127"/>
      <c r="AJ126" s="127"/>
      <c r="AK126" s="127"/>
      <c r="AL126" s="134"/>
      <c r="AM126" s="127"/>
      <c r="AN126" s="127"/>
      <c r="AO126" s="127"/>
      <c r="AP126" s="127"/>
      <c r="AQ126" s="127"/>
      <c r="AR126" s="127"/>
      <c r="AS126" s="127"/>
      <c r="AT126" s="127"/>
      <c r="AU126" s="127"/>
      <c r="AV126" s="127"/>
      <c r="AW126" s="127"/>
      <c r="AX126" s="127"/>
      <c r="AY126" s="127"/>
      <c r="AZ126" s="127"/>
    </row>
    <row r="127" spans="1:52" ht="26.25" customHeight="1" x14ac:dyDescent="0.25">
      <c r="A127" s="1148" t="s">
        <v>656</v>
      </c>
      <c r="B127" s="1149"/>
      <c r="C127" s="1149"/>
      <c r="D127" s="1149"/>
      <c r="E127" s="1149"/>
      <c r="F127" s="1149"/>
      <c r="G127" s="1149"/>
      <c r="H127" s="1149"/>
      <c r="I127" s="1149"/>
      <c r="J127" s="1149"/>
      <c r="K127" s="1149"/>
      <c r="L127" s="1149"/>
      <c r="M127" s="1149"/>
      <c r="N127" s="1149"/>
      <c r="O127" s="1149"/>
      <c r="P127" s="1149"/>
      <c r="Q127" s="1150"/>
      <c r="S127" s="478" t="str">
        <f>IF(ISBLANK(A128),"",A128)</f>
        <v/>
      </c>
      <c r="T127" s="479" t="s">
        <v>657</v>
      </c>
      <c r="W127" s="466"/>
      <c r="X127" s="466"/>
      <c r="Y127" s="466"/>
      <c r="Z127" s="466"/>
      <c r="AA127" s="466"/>
      <c r="AB127" s="466"/>
      <c r="AC127" s="466"/>
      <c r="AD127" s="471"/>
      <c r="AE127" s="127"/>
      <c r="AF127" s="127"/>
      <c r="AG127" s="127"/>
      <c r="AH127" s="127"/>
      <c r="AI127" s="127"/>
      <c r="AJ127" s="127"/>
      <c r="AK127" s="127"/>
      <c r="AL127" s="134"/>
      <c r="AM127" s="127"/>
      <c r="AN127" s="127"/>
      <c r="AO127" s="127"/>
      <c r="AP127" s="127"/>
      <c r="AQ127" s="127"/>
      <c r="AR127" s="127"/>
      <c r="AS127" s="127"/>
      <c r="AT127" s="127"/>
      <c r="AU127" s="127"/>
      <c r="AV127" s="127"/>
      <c r="AW127" s="127"/>
      <c r="AX127" s="127"/>
      <c r="AY127" s="127"/>
      <c r="AZ127" s="127"/>
    </row>
    <row r="128" spans="1:52" ht="26.25" customHeight="1" x14ac:dyDescent="0.25">
      <c r="A128" s="1175"/>
      <c r="B128" s="1152"/>
      <c r="C128" s="1152"/>
      <c r="D128" s="1152"/>
      <c r="E128" s="1152"/>
      <c r="F128" s="1152"/>
      <c r="G128" s="1152"/>
      <c r="H128" s="1152"/>
      <c r="I128" s="1152"/>
      <c r="J128" s="1152"/>
      <c r="K128" s="1152"/>
      <c r="L128" s="1152"/>
      <c r="M128" s="1152"/>
      <c r="N128" s="1152"/>
      <c r="O128" s="1152"/>
      <c r="P128" s="1152"/>
      <c r="Q128" s="1153"/>
      <c r="W128" s="466"/>
      <c r="X128" s="466"/>
      <c r="Y128" s="466"/>
      <c r="Z128" s="466"/>
      <c r="AA128" s="466"/>
      <c r="AB128" s="466"/>
      <c r="AC128" s="466"/>
      <c r="AD128" s="471"/>
      <c r="AE128" s="127"/>
      <c r="AF128" s="127"/>
      <c r="AG128" s="127"/>
      <c r="AH128" s="127"/>
      <c r="AI128" s="127"/>
      <c r="AJ128" s="127"/>
      <c r="AK128" s="127"/>
      <c r="AL128" s="134"/>
      <c r="AM128" s="127"/>
      <c r="AN128" s="127"/>
      <c r="AO128" s="127"/>
      <c r="AP128" s="127"/>
      <c r="AQ128" s="127"/>
      <c r="AR128" s="127"/>
      <c r="AS128" s="127"/>
      <c r="AT128" s="127"/>
      <c r="AU128" s="127"/>
      <c r="AV128" s="127"/>
      <c r="AW128" s="127"/>
      <c r="AX128" s="127"/>
      <c r="AY128" s="127"/>
      <c r="AZ128" s="127"/>
    </row>
    <row r="129" spans="1:52" ht="26.25" customHeight="1" thickBot="1" x14ac:dyDescent="0.3">
      <c r="A129" s="1154"/>
      <c r="B129" s="1155"/>
      <c r="C129" s="1155"/>
      <c r="D129" s="1155"/>
      <c r="E129" s="1155"/>
      <c r="F129" s="1155"/>
      <c r="G129" s="1155"/>
      <c r="H129" s="1155"/>
      <c r="I129" s="1155"/>
      <c r="J129" s="1155"/>
      <c r="K129" s="1155"/>
      <c r="L129" s="1155"/>
      <c r="M129" s="1155"/>
      <c r="N129" s="1155"/>
      <c r="O129" s="1155"/>
      <c r="P129" s="1155"/>
      <c r="Q129" s="1156"/>
      <c r="R129" s="436"/>
      <c r="S129" s="436"/>
      <c r="T129" s="436"/>
      <c r="U129" s="436"/>
      <c r="V129" s="436"/>
      <c r="W129" s="474"/>
      <c r="X129" s="466"/>
      <c r="Y129" s="466"/>
      <c r="Z129" s="466"/>
      <c r="AA129" s="466"/>
      <c r="AB129" s="466"/>
      <c r="AC129" s="466"/>
      <c r="AD129" s="471"/>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row>
    <row r="130" spans="1:52" ht="26.25" customHeight="1" x14ac:dyDescent="0.25">
      <c r="A130" s="1157" t="s">
        <v>658</v>
      </c>
      <c r="B130" s="1158"/>
      <c r="C130" s="1158"/>
      <c r="D130" s="1158"/>
      <c r="E130" s="1158"/>
      <c r="F130" s="1158"/>
      <c r="G130" s="1158"/>
      <c r="H130" s="1158"/>
      <c r="I130" s="1158"/>
      <c r="J130" s="1158"/>
      <c r="K130" s="1158"/>
      <c r="L130" s="1158"/>
      <c r="M130" s="1158"/>
      <c r="N130" s="1158"/>
      <c r="O130" s="1158"/>
      <c r="P130" s="1158"/>
      <c r="Q130" s="1159"/>
      <c r="R130" s="476"/>
      <c r="S130" s="481"/>
      <c r="T130" s="482"/>
      <c r="U130" s="476"/>
      <c r="V130" s="476"/>
      <c r="W130" s="464"/>
      <c r="X130" s="466"/>
      <c r="Y130" s="466"/>
      <c r="Z130" s="466"/>
      <c r="AA130" s="466"/>
      <c r="AB130" s="466"/>
      <c r="AC130" s="466"/>
      <c r="AD130" s="471"/>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row>
    <row r="131" spans="1:52" ht="26.25" customHeight="1" x14ac:dyDescent="0.25">
      <c r="A131" s="1160"/>
      <c r="B131" s="1161"/>
      <c r="C131" s="1161"/>
      <c r="D131" s="1161"/>
      <c r="E131" s="1161"/>
      <c r="F131" s="1161"/>
      <c r="G131" s="1161"/>
      <c r="H131" s="1161"/>
      <c r="I131" s="1161"/>
      <c r="J131" s="1161"/>
      <c r="K131" s="1161"/>
      <c r="L131" s="1161"/>
      <c r="M131" s="1161"/>
      <c r="N131" s="1161"/>
      <c r="O131" s="1161"/>
      <c r="P131" s="1161"/>
      <c r="Q131" s="1162"/>
      <c r="R131" s="195"/>
      <c r="S131" s="483" t="str">
        <f>IF(ISBLANK(A131),"",CONCATENATE(S130,A131))</f>
        <v/>
      </c>
      <c r="T131" s="438" t="s">
        <v>195</v>
      </c>
      <c r="U131" s="195"/>
      <c r="V131" s="195"/>
      <c r="W131" s="466"/>
      <c r="X131" s="466"/>
      <c r="Y131" s="466"/>
      <c r="Z131" s="466"/>
      <c r="AA131" s="466"/>
      <c r="AB131" s="466"/>
      <c r="AC131" s="466"/>
      <c r="AD131" s="471"/>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row>
    <row r="132" spans="1:52" ht="26.25" customHeight="1" thickBot="1" x14ac:dyDescent="0.3">
      <c r="A132" s="1163"/>
      <c r="B132" s="1164"/>
      <c r="C132" s="1164"/>
      <c r="D132" s="1164"/>
      <c r="E132" s="1164"/>
      <c r="F132" s="1164"/>
      <c r="G132" s="1164"/>
      <c r="H132" s="1164"/>
      <c r="I132" s="1164"/>
      <c r="J132" s="1164"/>
      <c r="K132" s="1164"/>
      <c r="L132" s="1164"/>
      <c r="M132" s="1164"/>
      <c r="N132" s="1164"/>
      <c r="O132" s="1164"/>
      <c r="P132" s="1164"/>
      <c r="Q132" s="1165"/>
      <c r="R132" s="195"/>
      <c r="S132" s="210"/>
      <c r="T132" s="210"/>
      <c r="U132" s="210"/>
      <c r="V132" s="210"/>
      <c r="W132" s="466"/>
      <c r="X132" s="466"/>
      <c r="Y132" s="466"/>
      <c r="Z132" s="466"/>
      <c r="AA132" s="466"/>
      <c r="AB132" s="466"/>
      <c r="AC132" s="466"/>
      <c r="AD132" s="471"/>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row>
    <row r="133" spans="1:52" ht="26.45" customHeight="1" x14ac:dyDescent="0.25">
      <c r="A133" s="484" t="e">
        <f>$A$1</f>
        <v>#N/A</v>
      </c>
      <c r="B133" s="210"/>
      <c r="C133" s="210"/>
      <c r="D133" s="210"/>
      <c r="E133" s="210"/>
      <c r="F133" s="210"/>
      <c r="G133" s="210"/>
      <c r="H133" s="210"/>
      <c r="I133" s="210"/>
      <c r="J133" s="210"/>
      <c r="K133" s="210"/>
      <c r="L133" s="210"/>
      <c r="M133" s="210"/>
      <c r="N133" s="210"/>
      <c r="O133" s="210"/>
      <c r="P133" s="954"/>
      <c r="Q133" s="954"/>
      <c r="R133" s="474"/>
      <c r="S133" s="474"/>
      <c r="T133" s="474"/>
      <c r="U133" s="474"/>
      <c r="V133" s="474"/>
      <c r="W133" s="466"/>
      <c r="X133" s="466"/>
      <c r="Y133" s="466"/>
      <c r="Z133" s="466"/>
      <c r="AA133" s="466"/>
      <c r="AB133" s="466"/>
      <c r="AC133" s="466"/>
      <c r="AD133" s="471"/>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row>
    <row r="134" spans="1:52" ht="26.25" customHeight="1" thickBot="1" x14ac:dyDescent="0.3">
      <c r="A134" s="1259" t="s">
        <v>86</v>
      </c>
      <c r="B134" s="1260"/>
      <c r="C134" s="1260"/>
      <c r="D134" s="1260"/>
      <c r="E134" s="1260"/>
      <c r="F134" s="1260"/>
      <c r="G134" s="1260"/>
      <c r="H134" s="1260"/>
      <c r="I134" s="1260"/>
      <c r="J134" s="1260"/>
      <c r="K134" s="1260"/>
      <c r="L134" s="1260"/>
      <c r="M134" s="1260"/>
      <c r="N134" s="1261" t="str">
        <f>$N$5</f>
        <v>2019 Report Year</v>
      </c>
      <c r="O134" s="1262"/>
      <c r="P134" s="1262"/>
      <c r="Q134" s="1262"/>
      <c r="R134" s="480"/>
      <c r="S134" s="480"/>
      <c r="T134" s="480"/>
      <c r="U134" s="480"/>
      <c r="V134" s="480"/>
      <c r="W134" s="466"/>
      <c r="X134" s="466"/>
      <c r="Y134" s="466"/>
      <c r="Z134" s="466"/>
      <c r="AA134" s="466"/>
      <c r="AB134" s="466"/>
      <c r="AC134" s="466"/>
      <c r="AD134" s="471"/>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row>
    <row r="135" spans="1:52" ht="26.25" customHeight="1" x14ac:dyDescent="0.25">
      <c r="A135" s="1246" t="e">
        <f>IF(AND(OR(ISNA(cap_exp_contact),TRIM(cap_exp_contact)=""),NOT(ISBLANK(code_7594))),"The Capital Expenditure Contact information has NOT been provided.  Please complete this information now.","")</f>
        <v>#N/A</v>
      </c>
      <c r="B135" s="1247"/>
      <c r="C135" s="1247"/>
      <c r="D135" s="1247"/>
      <c r="E135" s="1247"/>
      <c r="F135" s="1247"/>
      <c r="G135" s="1247"/>
      <c r="H135" s="1247"/>
      <c r="I135" s="1247"/>
      <c r="J135" s="1247"/>
      <c r="K135" s="1247"/>
      <c r="L135" s="1247"/>
      <c r="M135" s="1247"/>
      <c r="N135" s="422" t="s">
        <v>609</v>
      </c>
      <c r="O135" s="423" t="e">
        <f>$O$6</f>
        <v>#N/A</v>
      </c>
      <c r="P135" s="424" t="s">
        <v>610</v>
      </c>
      <c r="Q135" s="425"/>
      <c r="R135" s="325"/>
      <c r="S135" s="210"/>
      <c r="T135" s="210"/>
      <c r="U135" s="210"/>
      <c r="V135" s="210"/>
      <c r="W135" s="466"/>
      <c r="X135" s="466"/>
      <c r="Y135" s="466"/>
      <c r="Z135" s="466"/>
      <c r="AA135" s="210"/>
      <c r="AB135" s="210"/>
      <c r="AC135" s="210"/>
      <c r="AD135" s="471"/>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row>
    <row r="136" spans="1:52" ht="26.25" customHeight="1" thickBot="1" x14ac:dyDescent="0.3">
      <c r="A136" s="1248" t="s">
        <v>197</v>
      </c>
      <c r="B136" s="1249"/>
      <c r="C136" s="1249"/>
      <c r="D136" s="1249"/>
      <c r="E136" s="1250"/>
      <c r="F136" s="1251"/>
      <c r="G136" s="1251"/>
      <c r="H136" s="1251"/>
      <c r="I136" s="1251"/>
      <c r="J136" s="1251"/>
      <c r="K136" s="1251"/>
      <c r="L136" s="1252"/>
      <c r="M136" s="427"/>
      <c r="N136" s="1253" t="s">
        <v>611</v>
      </c>
      <c r="O136" s="1254"/>
      <c r="P136" s="1254"/>
      <c r="Q136" s="1255"/>
      <c r="R136" s="325"/>
      <c r="S136" s="428" t="str">
        <f>IF(ISBLANK(E136),"",E136)</f>
        <v/>
      </c>
      <c r="T136" s="154" t="s">
        <v>501</v>
      </c>
      <c r="U136" s="325"/>
      <c r="V136" s="325"/>
      <c r="W136" s="466"/>
      <c r="X136" s="210"/>
      <c r="Y136" s="210"/>
      <c r="Z136" s="210"/>
      <c r="AA136" s="464"/>
      <c r="AB136" s="464"/>
      <c r="AC136" s="464"/>
      <c r="AD136" s="471"/>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row>
    <row r="137" spans="1:52" ht="26.25" customHeight="1" x14ac:dyDescent="0.2">
      <c r="A137" s="1256" t="s">
        <v>612</v>
      </c>
      <c r="B137" s="1257"/>
      <c r="C137" s="1257"/>
      <c r="D137" s="1258"/>
      <c r="E137" s="1234"/>
      <c r="F137" s="1235"/>
      <c r="G137" s="1235"/>
      <c r="H137" s="1235"/>
      <c r="I137" s="1235"/>
      <c r="J137" s="1235"/>
      <c r="K137" s="1235"/>
      <c r="L137" s="1236"/>
      <c r="M137" s="1237" t="str">
        <f>IF(AND(ISBLANK(E137),OR(NOT(ISBLANK(E138)),NOT(ISBLANK(E139)),NOT(ISBLANK(E140)),NOT(ISBLANK(I141)),NOT(ISBLANK(A143)))),"This information is required.","")</f>
        <v/>
      </c>
      <c r="N137" s="1238"/>
      <c r="O137" s="1238"/>
      <c r="P137" s="1238"/>
      <c r="Q137" s="429"/>
      <c r="R137" s="325"/>
      <c r="S137" s="428" t="str">
        <f>IF(ISBLANK(E137),"",E137)</f>
        <v/>
      </c>
      <c r="T137" s="154" t="s">
        <v>185</v>
      </c>
      <c r="U137" s="325"/>
      <c r="V137" s="325"/>
      <c r="W137" s="466"/>
      <c r="X137" s="468"/>
      <c r="Y137" s="468"/>
      <c r="Z137" s="468"/>
      <c r="AA137" s="466"/>
      <c r="AB137" s="466"/>
      <c r="AC137" s="466"/>
      <c r="AD137" s="210"/>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row>
    <row r="138" spans="1:52" ht="26.25" customHeight="1" x14ac:dyDescent="0.25">
      <c r="A138" s="1222" t="s">
        <v>613</v>
      </c>
      <c r="B138" s="1223"/>
      <c r="C138" s="1223"/>
      <c r="D138" s="1224"/>
      <c r="E138" s="1234"/>
      <c r="F138" s="1235"/>
      <c r="G138" s="1235"/>
      <c r="H138" s="1235"/>
      <c r="I138" s="1235"/>
      <c r="J138" s="1235"/>
      <c r="K138" s="1235"/>
      <c r="L138" s="1236"/>
      <c r="M138" s="1237" t="str">
        <f>IF(AND(ISBLANK(E138),OR(NOT(ISBLANK(E137)),NOT(ISBLANK(E139)),NOT(ISBLANK(E140)),NOT(ISBLANK(I141)),NOT(ISBLANK(A143)))),"This information is required.","")</f>
        <v/>
      </c>
      <c r="N138" s="1238"/>
      <c r="O138" s="1238"/>
      <c r="P138" s="1238"/>
      <c r="Q138" s="429"/>
      <c r="R138" s="325"/>
      <c r="S138" s="428" t="str">
        <f>IF(ISBLANK(E138),"",E138)</f>
        <v/>
      </c>
      <c r="T138" s="154" t="s">
        <v>186</v>
      </c>
      <c r="U138" s="325"/>
      <c r="V138" s="325"/>
      <c r="W138" s="466"/>
      <c r="X138" s="466"/>
      <c r="Y138" s="466"/>
      <c r="Z138" s="466"/>
      <c r="AA138" s="466"/>
      <c r="AB138" s="466"/>
      <c r="AC138" s="466"/>
      <c r="AD138" s="471"/>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row>
    <row r="139" spans="1:52" ht="26.25" customHeight="1" x14ac:dyDescent="0.25">
      <c r="A139" s="1239" t="s">
        <v>614</v>
      </c>
      <c r="B139" s="1240"/>
      <c r="C139" s="1240"/>
      <c r="D139" s="1241"/>
      <c r="E139" s="1242"/>
      <c r="F139" s="1243"/>
      <c r="G139" s="1244" t="s">
        <v>615</v>
      </c>
      <c r="H139" s="1244"/>
      <c r="I139" s="1244"/>
      <c r="J139" s="1244"/>
      <c r="K139" s="1244"/>
      <c r="L139" s="1244"/>
      <c r="M139" s="1245" t="str">
        <f>IF(AND(ISBLANK(E139),OR(NOT(ISBLANK(E137)),NOT(ISBLANK(E138)),NOT(ISBLANK(E140)),NOT(ISBLANK(I141)),NOT(ISBLANK(A143)))),"This information is required.","")</f>
        <v/>
      </c>
      <c r="N139" s="1089"/>
      <c r="O139" s="1089"/>
      <c r="P139" s="1089"/>
      <c r="Q139" s="430"/>
      <c r="R139" s="431"/>
      <c r="S139" s="432" t="str">
        <f>IF(ISBLANK(E139),"",E139)</f>
        <v/>
      </c>
      <c r="T139" s="433" t="s">
        <v>188</v>
      </c>
      <c r="U139" s="431"/>
      <c r="V139" s="431"/>
      <c r="W139" s="466"/>
      <c r="X139" s="466"/>
      <c r="Y139" s="466"/>
      <c r="Z139" s="466"/>
      <c r="AA139" s="466"/>
      <c r="AB139" s="466"/>
      <c r="AC139" s="466"/>
      <c r="AD139" s="471"/>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row>
    <row r="140" spans="1:52" ht="26.25" customHeight="1" x14ac:dyDescent="0.25">
      <c r="A140" s="1222" t="s">
        <v>616</v>
      </c>
      <c r="B140" s="1223"/>
      <c r="C140" s="1223"/>
      <c r="D140" s="1224"/>
      <c r="E140" s="1225"/>
      <c r="F140" s="1226"/>
      <c r="G140" s="434"/>
      <c r="H140" s="435"/>
      <c r="I140" s="436"/>
      <c r="J140" s="431"/>
      <c r="K140" s="431"/>
      <c r="L140" s="431"/>
      <c r="M140" s="1089" t="str">
        <f>IF(AND(ISBLANK(E140),OR(NOT(ISBLANK(E137)),NOT(ISBLANK(E138)),NOT(ISBLANK(E139)),NOT(ISBLANK(I141)),NOT(ISBLANK(A143)))),"This information is required.","")</f>
        <v/>
      </c>
      <c r="N140" s="1089"/>
      <c r="O140" s="1089"/>
      <c r="P140" s="1089"/>
      <c r="Q140" s="430"/>
      <c r="R140" s="392"/>
      <c r="S140" s="437" t="str">
        <f>IF(ISBLANK(E140),"",E140)</f>
        <v/>
      </c>
      <c r="T140" s="438" t="s">
        <v>189</v>
      </c>
      <c r="U140" s="392"/>
      <c r="V140" s="392"/>
      <c r="W140" s="210"/>
      <c r="X140" s="466"/>
      <c r="Y140" s="466"/>
      <c r="Z140" s="466"/>
      <c r="AA140" s="466"/>
      <c r="AB140" s="466"/>
      <c r="AC140" s="466"/>
      <c r="AD140" s="471"/>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row>
    <row r="141" spans="1:52" ht="26.25" customHeight="1" thickBot="1" x14ac:dyDescent="0.3">
      <c r="A141" s="1227" t="s">
        <v>617</v>
      </c>
      <c r="B141" s="1228"/>
      <c r="C141" s="1228"/>
      <c r="D141" s="1228"/>
      <c r="E141" s="1229"/>
      <c r="F141" s="1229"/>
      <c r="G141" s="1229"/>
      <c r="H141" s="1229"/>
      <c r="I141" s="1230"/>
      <c r="J141" s="1230"/>
      <c r="K141" s="1231" t="s">
        <v>618</v>
      </c>
      <c r="L141" s="1232"/>
      <c r="M141" s="1233" t="str">
        <f>IF(AND(ISBLANK(I141),OR(NOT(ISBLANK(E137)),NOT(ISBLANK(E138)),NOT(ISBLANK(E139)),NOT(ISBLANK(E140)),NOT(ISBLANK(A143)))),"This information is required!","")</f>
        <v/>
      </c>
      <c r="N141" s="1233"/>
      <c r="O141" s="1233"/>
      <c r="P141" s="1233"/>
      <c r="Q141" s="439"/>
      <c r="R141" s="392"/>
      <c r="S141" s="437" t="str">
        <f>IF(ISBLANK(I141),"",I141)</f>
        <v/>
      </c>
      <c r="T141" s="438" t="s">
        <v>190</v>
      </c>
      <c r="U141" s="440"/>
      <c r="V141" s="440"/>
      <c r="W141" s="468"/>
      <c r="X141" s="466"/>
      <c r="Y141" s="466"/>
      <c r="Z141" s="466"/>
      <c r="AA141" s="466"/>
      <c r="AB141" s="466"/>
      <c r="AC141" s="466"/>
      <c r="AD141" s="471"/>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row>
    <row r="142" spans="1:52" ht="26.25" customHeight="1" x14ac:dyDescent="0.25">
      <c r="A142" s="1148" t="s">
        <v>620</v>
      </c>
      <c r="B142" s="1149"/>
      <c r="C142" s="1149"/>
      <c r="D142" s="1149"/>
      <c r="E142" s="1149"/>
      <c r="F142" s="1149"/>
      <c r="G142" s="1149"/>
      <c r="H142" s="1149"/>
      <c r="I142" s="1149"/>
      <c r="J142" s="1214"/>
      <c r="K142" s="1215" t="s">
        <v>693</v>
      </c>
      <c r="L142" s="1215"/>
      <c r="M142" s="1215"/>
      <c r="N142" s="1215"/>
      <c r="O142" s="1217" t="s">
        <v>621</v>
      </c>
      <c r="P142" s="1217"/>
      <c r="Q142" s="1218"/>
      <c r="R142" s="431"/>
      <c r="S142" s="437" t="str">
        <f>IF(ISBLANK(A143),"",A143)</f>
        <v/>
      </c>
      <c r="T142" s="438" t="s">
        <v>191</v>
      </c>
      <c r="U142" s="442"/>
      <c r="V142" s="442"/>
      <c r="W142" s="466"/>
      <c r="X142" s="466"/>
      <c r="Y142" s="466"/>
      <c r="Z142" s="466"/>
      <c r="AA142" s="466"/>
      <c r="AB142" s="466"/>
      <c r="AC142" s="466"/>
      <c r="AD142" s="471"/>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row>
    <row r="143" spans="1:52" ht="26.25" customHeight="1" x14ac:dyDescent="0.25">
      <c r="A143" s="1160"/>
      <c r="B143" s="1161"/>
      <c r="C143" s="1161"/>
      <c r="D143" s="1161"/>
      <c r="E143" s="1161"/>
      <c r="F143" s="1161"/>
      <c r="G143" s="1161"/>
      <c r="H143" s="1161"/>
      <c r="I143" s="1161"/>
      <c r="J143" s="1202"/>
      <c r="K143" s="1216"/>
      <c r="L143" s="1216"/>
      <c r="M143" s="1216"/>
      <c r="N143" s="1216"/>
      <c r="O143" s="443"/>
      <c r="P143" s="229" t="s">
        <v>269</v>
      </c>
      <c r="Q143" s="444" t="s">
        <v>270</v>
      </c>
      <c r="R143" s="431"/>
      <c r="S143" s="437" t="str">
        <f>IF(ISBLANK(A146),"",A146)</f>
        <v/>
      </c>
      <c r="T143" s="445" t="s">
        <v>192</v>
      </c>
      <c r="U143" s="442"/>
      <c r="V143" s="442"/>
      <c r="W143" s="466"/>
      <c r="X143" s="466"/>
      <c r="Y143" s="466"/>
      <c r="Z143" s="466"/>
      <c r="AA143" s="466"/>
      <c r="AB143" s="466"/>
      <c r="AC143" s="466"/>
      <c r="AD143" s="471"/>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row>
    <row r="144" spans="1:52" ht="26.25" customHeight="1" x14ac:dyDescent="0.25">
      <c r="A144" s="1176"/>
      <c r="B144" s="1177"/>
      <c r="C144" s="1177"/>
      <c r="D144" s="1177"/>
      <c r="E144" s="1177"/>
      <c r="F144" s="1177"/>
      <c r="G144" s="1177"/>
      <c r="H144" s="1177"/>
      <c r="I144" s="1177"/>
      <c r="J144" s="1203"/>
      <c r="K144" s="1204" t="s">
        <v>622</v>
      </c>
      <c r="L144" s="1205"/>
      <c r="M144" s="1205"/>
      <c r="N144" s="1205"/>
      <c r="O144" s="1206"/>
      <c r="P144" s="451"/>
      <c r="Q144" s="487"/>
      <c r="R144" s="440" t="str">
        <f>IF(COUNTBLANK(P144:Q144)=2,"Please enter response.",IF(COUNTBLANK(P144:Q144)&lt;&gt;1,"Please VERIFY response.",""))</f>
        <v>Please enter response.</v>
      </c>
      <c r="S144" s="452" t="str">
        <f>IF(AND(ISBLANK(P144),ISBLANK(Q144)),"",IF(ISBLANK(P144),0,1))</f>
        <v/>
      </c>
      <c r="T144" s="251" t="s">
        <v>592</v>
      </c>
      <c r="U144" s="213"/>
      <c r="V144" s="213"/>
      <c r="W144" s="466"/>
      <c r="X144" s="466"/>
      <c r="Y144" s="466"/>
      <c r="Z144" s="466"/>
      <c r="AA144" s="466"/>
      <c r="AB144" s="466"/>
      <c r="AC144" s="466"/>
      <c r="AD144" s="471"/>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row>
    <row r="145" spans="1:52" ht="26.25" customHeight="1" x14ac:dyDescent="0.25">
      <c r="A145" s="1219" t="s">
        <v>623</v>
      </c>
      <c r="B145" s="1220"/>
      <c r="C145" s="1220"/>
      <c r="D145" s="1220"/>
      <c r="E145" s="1220"/>
      <c r="F145" s="1220"/>
      <c r="G145" s="1220"/>
      <c r="H145" s="1220"/>
      <c r="I145" s="1220"/>
      <c r="J145" s="1221"/>
      <c r="K145" s="1204" t="s">
        <v>624</v>
      </c>
      <c r="L145" s="1205"/>
      <c r="M145" s="1205"/>
      <c r="N145" s="1205"/>
      <c r="O145" s="1206"/>
      <c r="P145" s="451"/>
      <c r="Q145" s="487"/>
      <c r="R145" s="440" t="str">
        <f>IF(COUNTBLANK(P145:Q145)=2,"Please enter response.",IF(COUNTBLANK(P145:Q145)&lt;&gt;1,"Please VERIFY response.",""))</f>
        <v>Please enter response.</v>
      </c>
      <c r="S145" s="452" t="str">
        <f>IF(AND(ISBLANK(P145),ISBLANK(Q145)),"",IF(ISBLANK(P145),0,1))</f>
        <v/>
      </c>
      <c r="T145" s="251" t="s">
        <v>593</v>
      </c>
      <c r="U145" s="213"/>
      <c r="V145" s="213"/>
      <c r="W145" s="466"/>
      <c r="X145" s="466"/>
      <c r="Y145" s="466"/>
      <c r="Z145" s="466"/>
      <c r="AA145" s="466"/>
      <c r="AB145" s="466"/>
      <c r="AC145" s="466"/>
      <c r="AD145" s="471"/>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row>
    <row r="146" spans="1:52" ht="26.25" customHeight="1" x14ac:dyDescent="0.25">
      <c r="A146" s="1160"/>
      <c r="B146" s="1161"/>
      <c r="C146" s="1161"/>
      <c r="D146" s="1161"/>
      <c r="E146" s="1161"/>
      <c r="F146" s="1161"/>
      <c r="G146" s="1161"/>
      <c r="H146" s="1161"/>
      <c r="I146" s="1161"/>
      <c r="J146" s="1202"/>
      <c r="K146" s="1204" t="s">
        <v>625</v>
      </c>
      <c r="L146" s="1205"/>
      <c r="M146" s="1205"/>
      <c r="N146" s="1205"/>
      <c r="O146" s="1206"/>
      <c r="P146" s="451"/>
      <c r="Q146" s="487"/>
      <c r="R146" s="440" t="str">
        <f>IF(COUNTBLANK(P146:Q146)=2,"Please enter response.",IF(COUNTBLANK(P146:Q146)&lt;&gt;1,"Please VERIFY response.",""))</f>
        <v>Please enter response.</v>
      </c>
      <c r="S146" s="452" t="str">
        <f>IF(AND(ISBLANK(P146),ISBLANK(Q146)),"",IF(ISBLANK(P146),0,1))</f>
        <v/>
      </c>
      <c r="T146" s="251" t="s">
        <v>594</v>
      </c>
      <c r="U146" s="213"/>
      <c r="V146" s="213"/>
      <c r="W146" s="466"/>
      <c r="X146" s="466"/>
      <c r="Y146" s="466"/>
      <c r="Z146" s="466"/>
      <c r="AA146" s="474"/>
      <c r="AB146" s="474"/>
      <c r="AC146" s="474"/>
      <c r="AD146" s="471"/>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row>
    <row r="147" spans="1:52" ht="26.25" customHeight="1" x14ac:dyDescent="0.25">
      <c r="A147" s="1176"/>
      <c r="B147" s="1177"/>
      <c r="C147" s="1177"/>
      <c r="D147" s="1177"/>
      <c r="E147" s="1177"/>
      <c r="F147" s="1177"/>
      <c r="G147" s="1177"/>
      <c r="H147" s="1177"/>
      <c r="I147" s="1177"/>
      <c r="J147" s="1203"/>
      <c r="K147" s="1204" t="s">
        <v>626</v>
      </c>
      <c r="L147" s="1205"/>
      <c r="M147" s="1205"/>
      <c r="N147" s="1205"/>
      <c r="O147" s="1206"/>
      <c r="P147" s="451"/>
      <c r="Q147" s="487"/>
      <c r="R147" s="440" t="str">
        <f>IF(COUNTBLANK(P147:Q147)=2,"Please enter response.",IF(COUNTBLANK(P147:Q147)&lt;&gt;1,"Please VERIFY response.",""))</f>
        <v>Please enter response.</v>
      </c>
      <c r="S147" s="452" t="str">
        <f>IF(AND(ISBLANK(P147),ISBLANK(Q147)),"",IF(ISBLANK(P147),0,1))</f>
        <v/>
      </c>
      <c r="T147" s="251" t="s">
        <v>595</v>
      </c>
      <c r="U147" s="213"/>
      <c r="V147" s="213"/>
      <c r="W147" s="466"/>
      <c r="X147" s="210"/>
      <c r="Y147" s="210"/>
      <c r="Z147" s="210"/>
      <c r="AA147" s="464"/>
      <c r="AB147" s="464"/>
      <c r="AC147" s="464"/>
      <c r="AD147" s="471"/>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row>
    <row r="148" spans="1:52" ht="26.25" customHeight="1" x14ac:dyDescent="0.2">
      <c r="A148" s="1207" t="s">
        <v>627</v>
      </c>
      <c r="B148" s="1208"/>
      <c r="C148" s="1208"/>
      <c r="D148" s="1208"/>
      <c r="E148" s="1208"/>
      <c r="F148" s="1208"/>
      <c r="G148" s="1208"/>
      <c r="H148" s="1208"/>
      <c r="I148" s="1208"/>
      <c r="J148" s="1208"/>
      <c r="K148" s="1208"/>
      <c r="L148" s="1208"/>
      <c r="M148" s="1208"/>
      <c r="N148" s="1208"/>
      <c r="O148" s="1208"/>
      <c r="P148" s="1208"/>
      <c r="Q148" s="1209"/>
      <c r="R148" s="454"/>
      <c r="S148" s="463"/>
      <c r="T148" s="454"/>
      <c r="U148" s="454"/>
      <c r="V148" s="454"/>
      <c r="W148" s="466"/>
      <c r="X148" s="464"/>
      <c r="Y148" s="464"/>
      <c r="Z148" s="464"/>
      <c r="AA148" s="466"/>
      <c r="AB148" s="466"/>
      <c r="AC148" s="466"/>
      <c r="AD148" s="210"/>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row>
    <row r="149" spans="1:52" ht="26.25" customHeight="1" x14ac:dyDescent="0.25">
      <c r="A149" s="1210" t="s">
        <v>628</v>
      </c>
      <c r="B149" s="1211"/>
      <c r="C149" s="1211"/>
      <c r="D149" s="1211"/>
      <c r="E149" s="1211" t="s">
        <v>629</v>
      </c>
      <c r="F149" s="1211"/>
      <c r="G149" s="1211"/>
      <c r="H149" s="1211"/>
      <c r="I149" s="1211" t="s">
        <v>630</v>
      </c>
      <c r="J149" s="1211"/>
      <c r="K149" s="1211"/>
      <c r="L149" s="1211"/>
      <c r="M149" s="1212" t="s">
        <v>631</v>
      </c>
      <c r="N149" s="1211"/>
      <c r="O149" s="1211"/>
      <c r="P149" s="1211"/>
      <c r="Q149" s="1213"/>
      <c r="R149" s="459"/>
      <c r="S149" s="1195" t="s">
        <v>632</v>
      </c>
      <c r="T149" s="1195"/>
      <c r="U149" s="1195"/>
      <c r="V149" s="1195"/>
      <c r="W149" s="466"/>
      <c r="X149" s="466"/>
      <c r="Y149" s="466"/>
      <c r="Z149" s="466"/>
      <c r="AA149" s="466"/>
      <c r="AB149" s="466"/>
      <c r="AC149" s="466"/>
      <c r="AD149" s="471"/>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row>
    <row r="150" spans="1:52" ht="26.25" customHeight="1" thickBot="1" x14ac:dyDescent="0.3">
      <c r="A150" s="1196"/>
      <c r="B150" s="815"/>
      <c r="C150" s="815"/>
      <c r="D150" s="815"/>
      <c r="E150" s="815"/>
      <c r="F150" s="815"/>
      <c r="G150" s="815"/>
      <c r="H150" s="815"/>
      <c r="I150" s="815"/>
      <c r="J150" s="815"/>
      <c r="K150" s="815"/>
      <c r="L150" s="815"/>
      <c r="M150" s="1197"/>
      <c r="N150" s="1197"/>
      <c r="O150" s="1197"/>
      <c r="P150" s="1197"/>
      <c r="Q150" s="1198"/>
      <c r="R150" s="454"/>
      <c r="S150" s="467" t="str">
        <f>IF(ISBLANK(A150),"",VLOOKUP(A150,VProjType,2,FALSE))</f>
        <v/>
      </c>
      <c r="T150" s="467" t="str">
        <f>IF(ISBLANK(E150),"",VLOOKUP(E150,VSubtype1,2,FALSE))</f>
        <v/>
      </c>
      <c r="U150" s="467" t="str">
        <f>IF(ISBLANK(I150),"",VLOOKUP(I150,VSubtype2,2,FALSE))</f>
        <v/>
      </c>
      <c r="V150" s="467" t="str">
        <f>IF(ISBLANK(M150),"",VLOOKUP(M150,VSubtype3,2,FALSE))</f>
        <v/>
      </c>
      <c r="W150" s="466"/>
      <c r="X150" s="466"/>
      <c r="Y150" s="466"/>
      <c r="Z150" s="466"/>
      <c r="AA150" s="466"/>
      <c r="AB150" s="466"/>
      <c r="AC150" s="466"/>
      <c r="AD150" s="471"/>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row>
    <row r="151" spans="1:52" ht="26.25" customHeight="1" x14ac:dyDescent="0.2">
      <c r="A151" s="1199" t="s">
        <v>634</v>
      </c>
      <c r="B151" s="1200"/>
      <c r="C151" s="1200"/>
      <c r="D151" s="1200"/>
      <c r="E151" s="1200"/>
      <c r="F151" s="1200"/>
      <c r="G151" s="1200"/>
      <c r="H151" s="1200"/>
      <c r="I151" s="1200"/>
      <c r="J151" s="1200"/>
      <c r="K151" s="1200"/>
      <c r="L151" s="1200"/>
      <c r="M151" s="1200"/>
      <c r="N151" s="1200"/>
      <c r="O151" s="1200"/>
      <c r="P151" s="1200"/>
      <c r="Q151" s="1201"/>
      <c r="R151" s="464"/>
      <c r="S151" s="468" t="s">
        <v>635</v>
      </c>
      <c r="T151" s="464"/>
      <c r="U151" s="464"/>
      <c r="V151" s="464"/>
      <c r="W151" s="210"/>
      <c r="X151" s="466"/>
      <c r="Y151" s="466"/>
      <c r="Z151" s="466"/>
      <c r="AA151" s="466"/>
      <c r="AB151" s="466"/>
      <c r="AC151" s="466"/>
      <c r="AD151" s="210"/>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row>
    <row r="152" spans="1:52" ht="26.25" customHeight="1" x14ac:dyDescent="0.2">
      <c r="A152" s="1166" t="s">
        <v>636</v>
      </c>
      <c r="B152" s="1167"/>
      <c r="C152" s="1167"/>
      <c r="D152" s="1167"/>
      <c r="E152" s="1167"/>
      <c r="F152" s="1167"/>
      <c r="G152" s="1167"/>
      <c r="H152" s="1167"/>
      <c r="I152" s="1167"/>
      <c r="J152" s="1167"/>
      <c r="K152" s="1167"/>
      <c r="L152" s="1168"/>
      <c r="M152" s="1169"/>
      <c r="N152" s="1170"/>
      <c r="O152" s="1170"/>
      <c r="P152" s="1170"/>
      <c r="Q152" s="1171"/>
      <c r="R152" s="464"/>
      <c r="S152" s="469" t="str">
        <f>IF(ISBLANK(M152),"",VLOOKUP(M152,VRemote,2,FALSE))</f>
        <v/>
      </c>
      <c r="T152" s="470" t="s">
        <v>637</v>
      </c>
      <c r="U152" s="464"/>
      <c r="V152" s="464"/>
      <c r="W152" s="464"/>
      <c r="X152" s="466"/>
      <c r="Y152" s="466"/>
      <c r="Z152" s="466"/>
      <c r="AA152" s="466"/>
      <c r="AB152" s="466"/>
      <c r="AC152" s="466"/>
      <c r="AD152" s="210"/>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row>
    <row r="153" spans="1:52" ht="26.25" customHeight="1" x14ac:dyDescent="0.2">
      <c r="A153" s="1166" t="s">
        <v>638</v>
      </c>
      <c r="B153" s="1167"/>
      <c r="C153" s="1167"/>
      <c r="D153" s="1167"/>
      <c r="E153" s="1167"/>
      <c r="F153" s="1167"/>
      <c r="G153" s="1167"/>
      <c r="H153" s="1167"/>
      <c r="I153" s="1167"/>
      <c r="J153" s="1167"/>
      <c r="K153" s="1167"/>
      <c r="L153" s="1167"/>
      <c r="M153" s="1169"/>
      <c r="N153" s="1170"/>
      <c r="O153" s="1170"/>
      <c r="P153" s="1170"/>
      <c r="Q153" s="1171"/>
      <c r="R153" s="466"/>
      <c r="S153" s="469" t="str">
        <f>IF(ISBLANK(M153),"",VLOOKUP(M153,VCapacity,2,FALSE))</f>
        <v/>
      </c>
      <c r="T153" s="162" t="s">
        <v>639</v>
      </c>
      <c r="U153" s="466"/>
      <c r="V153" s="466"/>
      <c r="W153" s="466"/>
      <c r="X153" s="466"/>
      <c r="Y153" s="466"/>
      <c r="Z153" s="466"/>
      <c r="AA153" s="466"/>
      <c r="AB153" s="466"/>
      <c r="AC153" s="466"/>
      <c r="AD153" s="210"/>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row>
    <row r="154" spans="1:52" ht="26.25" customHeight="1" x14ac:dyDescent="0.2">
      <c r="A154" s="1166" t="s">
        <v>640</v>
      </c>
      <c r="B154" s="1167"/>
      <c r="C154" s="1167"/>
      <c r="D154" s="1167"/>
      <c r="E154" s="1167"/>
      <c r="F154" s="1167"/>
      <c r="G154" s="1167"/>
      <c r="H154" s="1167"/>
      <c r="I154" s="1167"/>
      <c r="J154" s="1167"/>
      <c r="K154" s="1167"/>
      <c r="L154" s="1167"/>
      <c r="M154" s="1169"/>
      <c r="N154" s="1170"/>
      <c r="O154" s="1170"/>
      <c r="P154" s="1170"/>
      <c r="Q154" s="1171"/>
      <c r="R154" s="466"/>
      <c r="S154" s="469" t="str">
        <f>IF(ISBLANK(M154),"",VLOOKUP(M154,VPriorCap,2,FALSE))</f>
        <v/>
      </c>
      <c r="T154" s="162" t="s">
        <v>641</v>
      </c>
      <c r="U154" s="466"/>
      <c r="V154" s="466"/>
      <c r="W154" s="466"/>
      <c r="X154" s="466"/>
      <c r="Y154" s="466"/>
      <c r="Z154" s="466"/>
      <c r="AA154" s="466"/>
      <c r="AB154" s="466"/>
      <c r="AC154" s="466"/>
      <c r="AD154" s="210"/>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row>
    <row r="155" spans="1:52" ht="26.25" customHeight="1" x14ac:dyDescent="0.2">
      <c r="A155" s="1183" t="s">
        <v>643</v>
      </c>
      <c r="B155" s="1184"/>
      <c r="C155" s="1184"/>
      <c r="D155" s="1184"/>
      <c r="E155" s="1184"/>
      <c r="F155" s="1184"/>
      <c r="G155" s="1184"/>
      <c r="H155" s="1184"/>
      <c r="I155" s="1184"/>
      <c r="J155" s="1184"/>
      <c r="K155" s="1184"/>
      <c r="L155" s="1184"/>
      <c r="M155" s="1184"/>
      <c r="N155" s="1184"/>
      <c r="O155" s="1184"/>
      <c r="P155" s="1184"/>
      <c r="Q155" s="1185"/>
      <c r="R155" s="466"/>
      <c r="S155" s="472" t="str">
        <f>IF(ISBLANK(A156),"",A156)</f>
        <v/>
      </c>
      <c r="T155" s="162" t="s">
        <v>589</v>
      </c>
      <c r="U155" s="466"/>
      <c r="V155" s="466"/>
      <c r="W155" s="466"/>
      <c r="X155" s="466"/>
      <c r="Y155" s="466"/>
      <c r="Z155" s="466"/>
      <c r="AA155" s="466"/>
      <c r="AB155" s="466"/>
      <c r="AC155" s="466"/>
      <c r="AD155" s="210"/>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row>
    <row r="156" spans="1:52" ht="26.25" customHeight="1" x14ac:dyDescent="0.2">
      <c r="A156" s="1175"/>
      <c r="B156" s="1152"/>
      <c r="C156" s="1152"/>
      <c r="D156" s="1152"/>
      <c r="E156" s="1152"/>
      <c r="F156" s="1152"/>
      <c r="G156" s="1152"/>
      <c r="H156" s="1152"/>
      <c r="I156" s="1152"/>
      <c r="J156" s="1152"/>
      <c r="K156" s="1152"/>
      <c r="L156" s="1152"/>
      <c r="M156" s="1152"/>
      <c r="N156" s="1152"/>
      <c r="O156" s="1152"/>
      <c r="P156" s="1152"/>
      <c r="Q156" s="1182"/>
      <c r="R156" s="466"/>
      <c r="S156" s="466"/>
      <c r="T156" s="466"/>
      <c r="U156" s="466"/>
      <c r="V156" s="466"/>
      <c r="W156" s="466"/>
      <c r="X156" s="466"/>
      <c r="Y156" s="466"/>
      <c r="Z156" s="466"/>
      <c r="AA156" s="466"/>
      <c r="AB156" s="466"/>
      <c r="AC156" s="466"/>
      <c r="AD156" s="210"/>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row>
    <row r="157" spans="1:52" ht="26.25" customHeight="1" x14ac:dyDescent="0.2">
      <c r="A157" s="1186"/>
      <c r="B157" s="1187"/>
      <c r="C157" s="1187"/>
      <c r="D157" s="1187"/>
      <c r="E157" s="1187"/>
      <c r="F157" s="1187"/>
      <c r="G157" s="1187"/>
      <c r="H157" s="1187"/>
      <c r="I157" s="1187"/>
      <c r="J157" s="1187"/>
      <c r="K157" s="1187"/>
      <c r="L157" s="1187"/>
      <c r="M157" s="1187"/>
      <c r="N157" s="1187"/>
      <c r="O157" s="1187"/>
      <c r="P157" s="1187"/>
      <c r="Q157" s="1188"/>
      <c r="R157" s="466"/>
      <c r="S157" s="466"/>
      <c r="T157" s="466"/>
      <c r="U157" s="466"/>
      <c r="V157" s="466"/>
      <c r="W157" s="466"/>
      <c r="X157" s="466"/>
      <c r="Y157" s="466"/>
      <c r="Z157" s="466"/>
      <c r="AA157" s="210"/>
      <c r="AB157" s="210"/>
      <c r="AC157" s="210"/>
      <c r="AD157" s="210"/>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row>
    <row r="158" spans="1:52" ht="26.25" customHeight="1" x14ac:dyDescent="0.2">
      <c r="A158" s="1189" t="s">
        <v>645</v>
      </c>
      <c r="B158" s="1190"/>
      <c r="C158" s="1190"/>
      <c r="D158" s="1190"/>
      <c r="E158" s="1190"/>
      <c r="F158" s="1190"/>
      <c r="G158" s="1190"/>
      <c r="H158" s="1190"/>
      <c r="I158" s="1190"/>
      <c r="J158" s="1190"/>
      <c r="K158" s="1190"/>
      <c r="L158" s="1190"/>
      <c r="M158" s="1190"/>
      <c r="N158" s="1190"/>
      <c r="O158" s="1190"/>
      <c r="P158" s="1190"/>
      <c r="Q158" s="1191"/>
      <c r="R158" s="468"/>
      <c r="S158" s="468"/>
      <c r="T158" s="468"/>
      <c r="U158" s="468"/>
      <c r="V158" s="468"/>
      <c r="W158" s="466"/>
      <c r="X158" s="474"/>
      <c r="Y158" s="474"/>
      <c r="Z158" s="474"/>
      <c r="AA158" s="468"/>
      <c r="AB158" s="468"/>
      <c r="AC158" s="468"/>
      <c r="AD158" s="210"/>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row>
    <row r="159" spans="1:52" ht="26.25" customHeight="1" x14ac:dyDescent="0.2">
      <c r="A159" s="1175"/>
      <c r="B159" s="1152"/>
      <c r="C159" s="1152"/>
      <c r="D159" s="1152"/>
      <c r="E159" s="1152"/>
      <c r="F159" s="1152"/>
      <c r="G159" s="1152"/>
      <c r="H159" s="1152"/>
      <c r="I159" s="1152"/>
      <c r="J159" s="1152"/>
      <c r="K159" s="1152"/>
      <c r="L159" s="1152"/>
      <c r="M159" s="1152"/>
      <c r="N159" s="1152"/>
      <c r="O159" s="1152"/>
      <c r="P159" s="1152"/>
      <c r="Q159" s="1153"/>
      <c r="R159" s="466"/>
      <c r="S159" s="472" t="str">
        <f>IF(ISBLANK(A159),"",A159)</f>
        <v/>
      </c>
      <c r="T159" s="438" t="s">
        <v>194</v>
      </c>
      <c r="U159" s="466"/>
      <c r="V159" s="466"/>
      <c r="W159" s="466"/>
      <c r="X159" s="480"/>
      <c r="Y159" s="480"/>
      <c r="Z159" s="480"/>
      <c r="AA159" s="466"/>
      <c r="AB159" s="466"/>
      <c r="AC159" s="466"/>
      <c r="AD159" s="210"/>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row>
    <row r="160" spans="1:52" ht="26.25" customHeight="1" thickBot="1" x14ac:dyDescent="0.25">
      <c r="A160" s="1163"/>
      <c r="B160" s="1164"/>
      <c r="C160" s="1164"/>
      <c r="D160" s="1164"/>
      <c r="E160" s="1164"/>
      <c r="F160" s="1164"/>
      <c r="G160" s="1164"/>
      <c r="H160" s="1164"/>
      <c r="I160" s="1164"/>
      <c r="J160" s="1164"/>
      <c r="K160" s="1164"/>
      <c r="L160" s="1164"/>
      <c r="M160" s="1164"/>
      <c r="N160" s="1164"/>
      <c r="O160" s="1164"/>
      <c r="P160" s="1164"/>
      <c r="Q160" s="1165"/>
      <c r="R160" s="466"/>
      <c r="S160" s="466"/>
      <c r="T160" s="438"/>
      <c r="U160" s="466"/>
      <c r="V160" s="466"/>
      <c r="W160" s="466"/>
      <c r="X160" s="210"/>
      <c r="Y160" s="210"/>
      <c r="Z160" s="210"/>
      <c r="AA160" s="466"/>
      <c r="AB160" s="466"/>
      <c r="AC160" s="466"/>
      <c r="AD160" s="210"/>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row>
    <row r="161" spans="1:52" ht="26.25" customHeight="1" x14ac:dyDescent="0.2">
      <c r="A161" s="1157" t="s">
        <v>647</v>
      </c>
      <c r="B161" s="1158"/>
      <c r="C161" s="1158"/>
      <c r="D161" s="1158"/>
      <c r="E161" s="1158"/>
      <c r="F161" s="1158"/>
      <c r="G161" s="1158"/>
      <c r="H161" s="1158"/>
      <c r="I161" s="1158"/>
      <c r="J161" s="1158"/>
      <c r="K161" s="1158"/>
      <c r="L161" s="1158"/>
      <c r="M161" s="1158"/>
      <c r="N161" s="1158"/>
      <c r="O161" s="1158"/>
      <c r="P161" s="1158"/>
      <c r="Q161" s="1159"/>
      <c r="R161" s="464"/>
      <c r="S161" s="468" t="s">
        <v>648</v>
      </c>
      <c r="T161" s="464"/>
      <c r="U161" s="464"/>
      <c r="V161" s="464"/>
      <c r="W161" s="466"/>
      <c r="X161" s="210"/>
      <c r="Y161" s="210"/>
      <c r="Z161" s="210"/>
      <c r="AA161" s="466"/>
      <c r="AB161" s="466"/>
      <c r="AC161" s="466"/>
      <c r="AD161" s="210"/>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row>
    <row r="162" spans="1:52" ht="26.25" customHeight="1" x14ac:dyDescent="0.2">
      <c r="A162" s="1192" t="s">
        <v>649</v>
      </c>
      <c r="B162" s="1193"/>
      <c r="C162" s="1193"/>
      <c r="D162" s="1193"/>
      <c r="E162" s="1193"/>
      <c r="F162" s="1193"/>
      <c r="G162" s="1193"/>
      <c r="H162" s="1193"/>
      <c r="I162" s="1193"/>
      <c r="J162" s="1193"/>
      <c r="K162" s="1193"/>
      <c r="L162" s="1194"/>
      <c r="M162" s="1169"/>
      <c r="N162" s="1170"/>
      <c r="O162" s="1170"/>
      <c r="P162" s="1170"/>
      <c r="Q162" s="1171"/>
      <c r="R162" s="466"/>
      <c r="S162" s="473" t="str">
        <f>IF(ISBLANK(M162),"",VLOOKUP(M162,VImpact,2,FALSE))</f>
        <v/>
      </c>
      <c r="T162" s="162" t="s">
        <v>650</v>
      </c>
      <c r="U162" s="466"/>
      <c r="V162" s="466"/>
      <c r="W162" s="474"/>
      <c r="X162" s="210"/>
      <c r="Y162" s="210"/>
      <c r="Z162" s="210"/>
      <c r="AA162" s="466"/>
      <c r="AB162" s="466"/>
      <c r="AC162" s="466"/>
      <c r="AD162" s="210"/>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row>
    <row r="163" spans="1:52" ht="26.25" customHeight="1" x14ac:dyDescent="0.2">
      <c r="A163" s="1166" t="s">
        <v>651</v>
      </c>
      <c r="B163" s="1167"/>
      <c r="C163" s="1167"/>
      <c r="D163" s="1167"/>
      <c r="E163" s="1167"/>
      <c r="F163" s="1167"/>
      <c r="G163" s="1167"/>
      <c r="H163" s="1167"/>
      <c r="I163" s="1167"/>
      <c r="J163" s="1167"/>
      <c r="K163" s="1167"/>
      <c r="L163" s="1168"/>
      <c r="M163" s="1169"/>
      <c r="N163" s="1170"/>
      <c r="O163" s="1170"/>
      <c r="P163" s="1170"/>
      <c r="Q163" s="1171"/>
      <c r="R163" s="466"/>
      <c r="S163" s="473" t="str">
        <f>IF(ISBLANK(M163),"",VLOOKUP(M163,VEvidence,2,FALSE))</f>
        <v/>
      </c>
      <c r="T163" s="251" t="s">
        <v>652</v>
      </c>
      <c r="U163" s="466"/>
      <c r="V163" s="466"/>
      <c r="W163" s="480"/>
      <c r="X163" s="210"/>
      <c r="Y163" s="210"/>
      <c r="Z163" s="210"/>
      <c r="AA163" s="466"/>
      <c r="AB163" s="466"/>
      <c r="AC163" s="466"/>
      <c r="AD163" s="210"/>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row>
    <row r="164" spans="1:52" ht="26.25" customHeight="1" x14ac:dyDescent="0.2">
      <c r="A164" s="1172" t="s">
        <v>653</v>
      </c>
      <c r="B164" s="1173"/>
      <c r="C164" s="1173"/>
      <c r="D164" s="1173"/>
      <c r="E164" s="1173"/>
      <c r="F164" s="1173"/>
      <c r="G164" s="1173"/>
      <c r="H164" s="1173"/>
      <c r="I164" s="1173"/>
      <c r="J164" s="1173"/>
      <c r="K164" s="1173"/>
      <c r="L164" s="1173"/>
      <c r="M164" s="1173"/>
      <c r="N164" s="1173"/>
      <c r="O164" s="1173"/>
      <c r="P164" s="1173"/>
      <c r="Q164" s="1174"/>
      <c r="R164" s="466"/>
      <c r="S164" s="472" t="str">
        <f>IF(ISBLANK(A165),"",A165)</f>
        <v/>
      </c>
      <c r="T164" s="438" t="s">
        <v>193</v>
      </c>
      <c r="U164" s="466"/>
      <c r="V164" s="466"/>
      <c r="W164" s="210"/>
      <c r="X164" s="210"/>
      <c r="Y164" s="210"/>
      <c r="Z164" s="210"/>
      <c r="AA164" s="466"/>
      <c r="AB164" s="466"/>
      <c r="AC164" s="466"/>
      <c r="AD164" s="210"/>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row>
    <row r="165" spans="1:52" ht="26.25" customHeight="1" x14ac:dyDescent="0.2">
      <c r="A165" s="1175"/>
      <c r="B165" s="1152"/>
      <c r="C165" s="1152"/>
      <c r="D165" s="1152"/>
      <c r="E165" s="1152"/>
      <c r="F165" s="1152"/>
      <c r="G165" s="1152"/>
      <c r="H165" s="1152"/>
      <c r="I165" s="1152"/>
      <c r="J165" s="1152"/>
      <c r="K165" s="1152"/>
      <c r="L165" s="1152"/>
      <c r="M165" s="1152"/>
      <c r="N165" s="1152"/>
      <c r="O165" s="1152"/>
      <c r="P165" s="1152"/>
      <c r="Q165" s="1153"/>
      <c r="R165" s="466"/>
      <c r="S165" s="466"/>
      <c r="T165" s="475"/>
      <c r="U165" s="466"/>
      <c r="V165" s="466"/>
      <c r="W165" s="210"/>
      <c r="X165" s="431"/>
      <c r="Y165" s="431"/>
      <c r="Z165" s="431"/>
      <c r="AA165" s="466"/>
      <c r="AB165" s="466"/>
      <c r="AC165" s="466"/>
      <c r="AD165" s="210"/>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row>
    <row r="166" spans="1:52" ht="26.25" customHeight="1" x14ac:dyDescent="0.2">
      <c r="A166" s="1176"/>
      <c r="B166" s="1177"/>
      <c r="C166" s="1177"/>
      <c r="D166" s="1177"/>
      <c r="E166" s="1177"/>
      <c r="F166" s="1177"/>
      <c r="G166" s="1177"/>
      <c r="H166" s="1177"/>
      <c r="I166" s="1177"/>
      <c r="J166" s="1177"/>
      <c r="K166" s="1177"/>
      <c r="L166" s="1177"/>
      <c r="M166" s="1177"/>
      <c r="N166" s="1177"/>
      <c r="O166" s="1177"/>
      <c r="P166" s="1177"/>
      <c r="Q166" s="1178"/>
      <c r="R166" s="466"/>
      <c r="S166" s="466"/>
      <c r="T166" s="475"/>
      <c r="U166" s="466"/>
      <c r="V166" s="466"/>
      <c r="W166" s="210"/>
      <c r="X166" s="210"/>
      <c r="Y166" s="210"/>
      <c r="Z166" s="210"/>
      <c r="AA166" s="466"/>
      <c r="AB166" s="466"/>
      <c r="AC166" s="466"/>
      <c r="AD166" s="210"/>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row>
    <row r="167" spans="1:52" ht="26.25" customHeight="1" x14ac:dyDescent="0.2">
      <c r="A167" s="1179" t="s">
        <v>654</v>
      </c>
      <c r="B167" s="1180"/>
      <c r="C167" s="1180"/>
      <c r="D167" s="1180"/>
      <c r="E167" s="1180"/>
      <c r="F167" s="1180"/>
      <c r="G167" s="1180"/>
      <c r="H167" s="1180"/>
      <c r="I167" s="1180"/>
      <c r="J167" s="1180"/>
      <c r="K167" s="1180"/>
      <c r="L167" s="1180"/>
      <c r="M167" s="1180"/>
      <c r="N167" s="1180"/>
      <c r="O167" s="1180"/>
      <c r="P167" s="1180"/>
      <c r="Q167" s="1181"/>
      <c r="R167" s="466"/>
      <c r="S167" s="472" t="str">
        <f>IF(ISBLANK(A168),"",A168)</f>
        <v/>
      </c>
      <c r="T167" s="475" t="s">
        <v>590</v>
      </c>
      <c r="U167" s="466"/>
      <c r="V167" s="466"/>
      <c r="W167" s="210"/>
      <c r="X167" s="210"/>
      <c r="Y167" s="210"/>
      <c r="Z167" s="210"/>
      <c r="AA167" s="466"/>
      <c r="AB167" s="466"/>
      <c r="AC167" s="466"/>
      <c r="AD167" s="210"/>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row>
    <row r="168" spans="1:52" ht="26.25" customHeight="1" x14ac:dyDescent="0.2">
      <c r="A168" s="1175"/>
      <c r="B168" s="1152"/>
      <c r="C168" s="1152"/>
      <c r="D168" s="1152"/>
      <c r="E168" s="1152"/>
      <c r="F168" s="1152"/>
      <c r="G168" s="1152"/>
      <c r="H168" s="1152"/>
      <c r="I168" s="1152"/>
      <c r="J168" s="1152"/>
      <c r="K168" s="1152"/>
      <c r="L168" s="1152"/>
      <c r="M168" s="1152"/>
      <c r="N168" s="1152"/>
      <c r="O168" s="1152"/>
      <c r="P168" s="1152"/>
      <c r="Q168" s="1182"/>
      <c r="R168" s="466"/>
      <c r="U168" s="466"/>
      <c r="V168" s="466"/>
      <c r="W168" s="210"/>
      <c r="X168" s="210"/>
      <c r="Y168" s="210"/>
      <c r="Z168" s="210"/>
      <c r="AA168" s="210"/>
      <c r="AB168" s="210"/>
      <c r="AC168" s="210"/>
      <c r="AD168" s="210"/>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row>
    <row r="169" spans="1:52" ht="26.25" customHeight="1" thickBot="1" x14ac:dyDescent="0.25">
      <c r="A169" s="1154"/>
      <c r="B169" s="1155"/>
      <c r="C169" s="1155"/>
      <c r="D169" s="1155"/>
      <c r="E169" s="1155"/>
      <c r="F169" s="1155"/>
      <c r="G169" s="1155"/>
      <c r="H169" s="1155"/>
      <c r="I169" s="1155"/>
      <c r="J169" s="1155"/>
      <c r="K169" s="1155"/>
      <c r="L169" s="1155"/>
      <c r="M169" s="1155"/>
      <c r="N169" s="1155"/>
      <c r="O169" s="1155"/>
      <c r="P169" s="1155"/>
      <c r="Q169" s="1156"/>
      <c r="R169" s="466"/>
      <c r="S169" s="466"/>
      <c r="T169" s="466"/>
      <c r="U169" s="466"/>
      <c r="V169" s="466"/>
      <c r="W169" s="431"/>
      <c r="X169" s="431"/>
      <c r="Y169" s="431"/>
      <c r="Z169" s="431"/>
      <c r="AA169" s="464"/>
      <c r="AB169" s="464"/>
      <c r="AC169" s="464"/>
      <c r="AD169" s="210"/>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row>
    <row r="170" spans="1:52" ht="26.25" customHeight="1" x14ac:dyDescent="0.2">
      <c r="A170" s="1148" t="s">
        <v>656</v>
      </c>
      <c r="B170" s="1149"/>
      <c r="C170" s="1149"/>
      <c r="D170" s="1149"/>
      <c r="E170" s="1149"/>
      <c r="F170" s="1149"/>
      <c r="G170" s="1149"/>
      <c r="H170" s="1149"/>
      <c r="I170" s="1149"/>
      <c r="J170" s="1149"/>
      <c r="K170" s="1149"/>
      <c r="L170" s="1149"/>
      <c r="M170" s="1149"/>
      <c r="N170" s="1149"/>
      <c r="O170" s="1149"/>
      <c r="P170" s="1149"/>
      <c r="Q170" s="1150"/>
      <c r="S170" s="478" t="str">
        <f>IF(ISBLANK(A171),"",A171)</f>
        <v/>
      </c>
      <c r="T170" s="479" t="s">
        <v>657</v>
      </c>
      <c r="W170" s="210"/>
      <c r="X170" s="466"/>
      <c r="Y170" s="466"/>
      <c r="Z170" s="466"/>
      <c r="AA170" s="466"/>
      <c r="AB170" s="466"/>
      <c r="AC170" s="466"/>
      <c r="AD170" s="210"/>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row>
    <row r="171" spans="1:52" ht="26.25" customHeight="1" x14ac:dyDescent="0.2">
      <c r="A171" s="1175"/>
      <c r="B171" s="1152"/>
      <c r="C171" s="1152"/>
      <c r="D171" s="1152"/>
      <c r="E171" s="1152"/>
      <c r="F171" s="1152"/>
      <c r="G171" s="1152"/>
      <c r="H171" s="1152"/>
      <c r="I171" s="1152"/>
      <c r="J171" s="1152"/>
      <c r="K171" s="1152"/>
      <c r="L171" s="1152"/>
      <c r="M171" s="1152"/>
      <c r="N171" s="1152"/>
      <c r="O171" s="1152"/>
      <c r="P171" s="1152"/>
      <c r="Q171" s="1153"/>
      <c r="W171" s="210"/>
      <c r="X171" s="466"/>
      <c r="Y171" s="466"/>
      <c r="Z171" s="466"/>
      <c r="AA171" s="466"/>
      <c r="AB171" s="466"/>
      <c r="AC171" s="466"/>
      <c r="AD171" s="210"/>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row>
    <row r="172" spans="1:52" ht="26.25" customHeight="1" thickBot="1" x14ac:dyDescent="0.25">
      <c r="A172" s="1154"/>
      <c r="B172" s="1155"/>
      <c r="C172" s="1155"/>
      <c r="D172" s="1155"/>
      <c r="E172" s="1155"/>
      <c r="F172" s="1155"/>
      <c r="G172" s="1155"/>
      <c r="H172" s="1155"/>
      <c r="I172" s="1155"/>
      <c r="J172" s="1155"/>
      <c r="K172" s="1155"/>
      <c r="L172" s="1155"/>
      <c r="M172" s="1155"/>
      <c r="N172" s="1155"/>
      <c r="O172" s="1155"/>
      <c r="P172" s="1155"/>
      <c r="Q172" s="1156"/>
      <c r="R172" s="436"/>
      <c r="S172" s="436"/>
      <c r="T172" s="436"/>
      <c r="U172" s="436"/>
      <c r="V172" s="436"/>
      <c r="W172" s="210"/>
      <c r="X172" s="466"/>
      <c r="Y172" s="466"/>
      <c r="Z172" s="466"/>
      <c r="AA172" s="466"/>
      <c r="AB172" s="466"/>
      <c r="AC172" s="466"/>
      <c r="AD172" s="210"/>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row>
    <row r="173" spans="1:52" ht="26.25" customHeight="1" x14ac:dyDescent="0.2">
      <c r="A173" s="1157" t="s">
        <v>658</v>
      </c>
      <c r="B173" s="1158"/>
      <c r="C173" s="1158"/>
      <c r="D173" s="1158"/>
      <c r="E173" s="1158"/>
      <c r="F173" s="1158"/>
      <c r="G173" s="1158"/>
      <c r="H173" s="1158"/>
      <c r="I173" s="1158"/>
      <c r="J173" s="1158"/>
      <c r="K173" s="1158"/>
      <c r="L173" s="1158"/>
      <c r="M173" s="1158"/>
      <c r="N173" s="1158"/>
      <c r="O173" s="1158"/>
      <c r="P173" s="1158"/>
      <c r="Q173" s="1159"/>
      <c r="R173" s="476"/>
      <c r="S173" s="481"/>
      <c r="T173" s="482"/>
      <c r="U173" s="476"/>
      <c r="V173" s="476"/>
      <c r="W173" s="431"/>
      <c r="X173" s="466"/>
      <c r="Y173" s="466"/>
      <c r="Z173" s="466"/>
      <c r="AA173" s="466"/>
      <c r="AB173" s="466"/>
      <c r="AC173" s="466"/>
      <c r="AD173" s="210"/>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row>
    <row r="174" spans="1:52" ht="26.25" customHeight="1" x14ac:dyDescent="0.2">
      <c r="A174" s="1160"/>
      <c r="B174" s="1161"/>
      <c r="C174" s="1161"/>
      <c r="D174" s="1161"/>
      <c r="E174" s="1161"/>
      <c r="F174" s="1161"/>
      <c r="G174" s="1161"/>
      <c r="H174" s="1161"/>
      <c r="I174" s="1161"/>
      <c r="J174" s="1161"/>
      <c r="K174" s="1161"/>
      <c r="L174" s="1161"/>
      <c r="M174" s="1161"/>
      <c r="N174" s="1161"/>
      <c r="O174" s="1161"/>
      <c r="P174" s="1161"/>
      <c r="Q174" s="1162"/>
      <c r="R174" s="195"/>
      <c r="S174" s="483" t="str">
        <f>IF(ISBLANK(A174),"",CONCATENATE(S173,A174))</f>
        <v/>
      </c>
      <c r="T174" s="438" t="s">
        <v>195</v>
      </c>
      <c r="U174" s="195"/>
      <c r="V174" s="195"/>
      <c r="W174" s="466"/>
      <c r="X174" s="466"/>
      <c r="Y174" s="466"/>
      <c r="Z174" s="466"/>
      <c r="AA174" s="466"/>
      <c r="AB174" s="466"/>
      <c r="AC174" s="466"/>
      <c r="AD174" s="210"/>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row>
    <row r="175" spans="1:52" ht="26.25" customHeight="1" thickBot="1" x14ac:dyDescent="0.25">
      <c r="A175" s="1163"/>
      <c r="B175" s="1164"/>
      <c r="C175" s="1164"/>
      <c r="D175" s="1164"/>
      <c r="E175" s="1164"/>
      <c r="F175" s="1164"/>
      <c r="G175" s="1164"/>
      <c r="H175" s="1164"/>
      <c r="I175" s="1164"/>
      <c r="J175" s="1164"/>
      <c r="K175" s="1164"/>
      <c r="L175" s="1164"/>
      <c r="M175" s="1164"/>
      <c r="N175" s="1164"/>
      <c r="O175" s="1164"/>
      <c r="P175" s="1164"/>
      <c r="Q175" s="1165"/>
      <c r="R175" s="195"/>
      <c r="S175" s="210"/>
      <c r="T175" s="210"/>
      <c r="U175" s="210"/>
      <c r="V175" s="210"/>
      <c r="W175" s="466"/>
      <c r="X175" s="466"/>
      <c r="Y175" s="466"/>
      <c r="Z175" s="466"/>
      <c r="AA175" s="466"/>
      <c r="AB175" s="466"/>
      <c r="AC175" s="466"/>
      <c r="AD175" s="210"/>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row>
    <row r="176" spans="1:52" ht="26.25" customHeight="1" x14ac:dyDescent="0.2">
      <c r="A176" s="484" t="e">
        <f>$A$1</f>
        <v>#N/A</v>
      </c>
      <c r="B176" s="210"/>
      <c r="C176" s="210"/>
      <c r="D176" s="210"/>
      <c r="E176" s="210"/>
      <c r="F176" s="210"/>
      <c r="G176" s="210"/>
      <c r="H176" s="210"/>
      <c r="I176" s="210"/>
      <c r="J176" s="210"/>
      <c r="K176" s="210"/>
      <c r="L176" s="210"/>
      <c r="M176" s="210"/>
      <c r="N176" s="210"/>
      <c r="O176" s="210"/>
      <c r="P176" s="954"/>
      <c r="Q176" s="954"/>
      <c r="R176" s="474"/>
      <c r="S176" s="474"/>
      <c r="T176" s="474"/>
      <c r="U176" s="474"/>
      <c r="V176" s="474"/>
      <c r="W176" s="466"/>
      <c r="X176" s="466"/>
      <c r="Y176" s="466"/>
      <c r="Z176" s="466"/>
      <c r="AA176" s="466"/>
      <c r="AB176" s="466"/>
      <c r="AC176" s="466"/>
      <c r="AD176" s="210"/>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row>
    <row r="177" spans="1:52" ht="26.25" customHeight="1" thickBot="1" x14ac:dyDescent="0.25">
      <c r="A177" s="1259" t="s">
        <v>203</v>
      </c>
      <c r="B177" s="1260"/>
      <c r="C177" s="1260"/>
      <c r="D177" s="1260"/>
      <c r="E177" s="1260"/>
      <c r="F177" s="1260"/>
      <c r="G177" s="1260"/>
      <c r="H177" s="1260"/>
      <c r="I177" s="1260"/>
      <c r="J177" s="1260"/>
      <c r="K177" s="1260"/>
      <c r="L177" s="1260"/>
      <c r="M177" s="1260"/>
      <c r="N177" s="1261" t="str">
        <f>$N$5</f>
        <v>2019 Report Year</v>
      </c>
      <c r="O177" s="1262"/>
      <c r="P177" s="1262"/>
      <c r="Q177" s="1262"/>
      <c r="R177" s="480"/>
      <c r="S177" s="480"/>
      <c r="T177" s="480"/>
      <c r="U177" s="480"/>
      <c r="V177" s="480"/>
      <c r="W177" s="466"/>
      <c r="X177" s="466"/>
      <c r="Y177" s="466"/>
      <c r="Z177" s="466"/>
      <c r="AA177" s="466"/>
      <c r="AB177" s="466"/>
      <c r="AC177" s="466"/>
      <c r="AD177" s="210"/>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row>
    <row r="178" spans="1:52" ht="26.25" customHeight="1" x14ac:dyDescent="0.2">
      <c r="A178" s="1246" t="e">
        <f>IF(AND(OR(ISNA(cap_exp_contact),TRIM(cap_exp_contact)=""),NOT(ISBLANK(code_7594))),"The Capital Expenditure Contact information has NOT been provided.  Please complete this information now.","")</f>
        <v>#N/A</v>
      </c>
      <c r="B178" s="1247"/>
      <c r="C178" s="1247"/>
      <c r="D178" s="1247"/>
      <c r="E178" s="1247"/>
      <c r="F178" s="1247"/>
      <c r="G178" s="1247"/>
      <c r="H178" s="1247"/>
      <c r="I178" s="1247"/>
      <c r="J178" s="1247"/>
      <c r="K178" s="1247"/>
      <c r="L178" s="1247"/>
      <c r="M178" s="1247"/>
      <c r="N178" s="422" t="s">
        <v>609</v>
      </c>
      <c r="O178" s="423" t="e">
        <f>$O$6</f>
        <v>#N/A</v>
      </c>
      <c r="P178" s="424" t="s">
        <v>610</v>
      </c>
      <c r="Q178" s="425"/>
      <c r="R178" s="325"/>
      <c r="S178" s="210"/>
      <c r="T178" s="210"/>
      <c r="U178" s="210"/>
      <c r="V178" s="210"/>
      <c r="W178" s="466"/>
      <c r="X178" s="466"/>
      <c r="Y178" s="466"/>
      <c r="Z178" s="466"/>
      <c r="AA178" s="466"/>
      <c r="AB178" s="466"/>
      <c r="AC178" s="466"/>
      <c r="AD178" s="210"/>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row>
    <row r="179" spans="1:52" ht="26.25" customHeight="1" thickBot="1" x14ac:dyDescent="0.25">
      <c r="A179" s="1248" t="s">
        <v>197</v>
      </c>
      <c r="B179" s="1249"/>
      <c r="C179" s="1249"/>
      <c r="D179" s="1249"/>
      <c r="E179" s="1250"/>
      <c r="F179" s="1251"/>
      <c r="G179" s="1251"/>
      <c r="H179" s="1251"/>
      <c r="I179" s="1251"/>
      <c r="J179" s="1251"/>
      <c r="K179" s="1251"/>
      <c r="L179" s="1252"/>
      <c r="M179" s="427"/>
      <c r="N179" s="1253" t="s">
        <v>611</v>
      </c>
      <c r="O179" s="1254"/>
      <c r="P179" s="1254"/>
      <c r="Q179" s="1255"/>
      <c r="R179" s="325"/>
      <c r="S179" s="428" t="str">
        <f>IF(ISBLANK(E179),"",E179)</f>
        <v/>
      </c>
      <c r="T179" s="154" t="s">
        <v>501</v>
      </c>
      <c r="U179" s="325"/>
      <c r="V179" s="325"/>
      <c r="W179" s="466"/>
      <c r="X179" s="210"/>
      <c r="Y179" s="210"/>
      <c r="Z179" s="210"/>
      <c r="AA179" s="474"/>
      <c r="AB179" s="474"/>
      <c r="AC179" s="474"/>
      <c r="AD179" s="210"/>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row>
    <row r="180" spans="1:52" ht="26.25" customHeight="1" x14ac:dyDescent="0.2">
      <c r="A180" s="1256" t="s">
        <v>612</v>
      </c>
      <c r="B180" s="1257"/>
      <c r="C180" s="1257"/>
      <c r="D180" s="1258"/>
      <c r="E180" s="1234"/>
      <c r="F180" s="1235"/>
      <c r="G180" s="1235"/>
      <c r="H180" s="1235"/>
      <c r="I180" s="1235"/>
      <c r="J180" s="1235"/>
      <c r="K180" s="1235"/>
      <c r="L180" s="1236"/>
      <c r="M180" s="1237" t="str">
        <f>IF(AND(ISBLANK(E180),OR(NOT(ISBLANK(E181)),NOT(ISBLANK(E182)),NOT(ISBLANK(E183)),NOT(ISBLANK(I184)),NOT(ISBLANK(A186)))),"This information is required.","")</f>
        <v/>
      </c>
      <c r="N180" s="1238"/>
      <c r="O180" s="1238"/>
      <c r="P180" s="1238"/>
      <c r="Q180" s="429"/>
      <c r="R180" s="325"/>
      <c r="S180" s="428" t="str">
        <f>IF(ISBLANK(E180),"",E180)</f>
        <v/>
      </c>
      <c r="T180" s="154" t="s">
        <v>185</v>
      </c>
      <c r="U180" s="325"/>
      <c r="V180" s="325"/>
      <c r="W180" s="466"/>
      <c r="X180" s="464"/>
      <c r="Y180" s="464"/>
      <c r="Z180" s="464"/>
      <c r="AA180" s="480"/>
      <c r="AB180" s="480"/>
      <c r="AC180" s="480"/>
      <c r="AD180" s="210"/>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row>
    <row r="181" spans="1:52" ht="26.25" customHeight="1" x14ac:dyDescent="0.2">
      <c r="A181" s="1222" t="s">
        <v>613</v>
      </c>
      <c r="B181" s="1223"/>
      <c r="C181" s="1223"/>
      <c r="D181" s="1224"/>
      <c r="E181" s="1234"/>
      <c r="F181" s="1235"/>
      <c r="G181" s="1235"/>
      <c r="H181" s="1235"/>
      <c r="I181" s="1235"/>
      <c r="J181" s="1235"/>
      <c r="K181" s="1235"/>
      <c r="L181" s="1236"/>
      <c r="M181" s="1237" t="str">
        <f>IF(AND(ISBLANK(E181),OR(NOT(ISBLANK(E180)),NOT(ISBLANK(E182)),NOT(ISBLANK(E183)),NOT(ISBLANK(I184)),NOT(ISBLANK(A186)))),"This information is required.","")</f>
        <v/>
      </c>
      <c r="N181" s="1238"/>
      <c r="O181" s="1238"/>
      <c r="P181" s="1238"/>
      <c r="Q181" s="429"/>
      <c r="R181" s="325"/>
      <c r="S181" s="428" t="str">
        <f>IF(ISBLANK(E181),"",E181)</f>
        <v/>
      </c>
      <c r="T181" s="154" t="s">
        <v>186</v>
      </c>
      <c r="U181" s="325"/>
      <c r="V181" s="325"/>
      <c r="W181" s="466"/>
      <c r="X181" s="466"/>
      <c r="Y181" s="466"/>
      <c r="Z181" s="466"/>
      <c r="AA181" s="210"/>
      <c r="AB181" s="210"/>
      <c r="AC181" s="210"/>
      <c r="AD181" s="210"/>
      <c r="AE181" s="127"/>
      <c r="AF181" s="127"/>
      <c r="AG181" s="127"/>
      <c r="AH181" s="127"/>
      <c r="AI181" s="127"/>
      <c r="AJ181" s="127"/>
      <c r="AK181" s="127"/>
      <c r="AL181" s="134"/>
      <c r="AM181" s="127"/>
      <c r="AN181" s="127"/>
      <c r="AO181" s="127"/>
      <c r="AP181" s="127"/>
      <c r="AQ181" s="127"/>
      <c r="AR181" s="127"/>
      <c r="AS181" s="127"/>
      <c r="AT181" s="127"/>
      <c r="AU181" s="127"/>
      <c r="AV181" s="127"/>
      <c r="AW181" s="127"/>
      <c r="AX181" s="127"/>
      <c r="AY181" s="127"/>
      <c r="AZ181" s="127"/>
    </row>
    <row r="182" spans="1:52" ht="26.25" customHeight="1" x14ac:dyDescent="0.2">
      <c r="A182" s="1239" t="s">
        <v>614</v>
      </c>
      <c r="B182" s="1240"/>
      <c r="C182" s="1240"/>
      <c r="D182" s="1241"/>
      <c r="E182" s="1242"/>
      <c r="F182" s="1243"/>
      <c r="G182" s="1244" t="s">
        <v>615</v>
      </c>
      <c r="H182" s="1244"/>
      <c r="I182" s="1244"/>
      <c r="J182" s="1244"/>
      <c r="K182" s="1244"/>
      <c r="L182" s="1244"/>
      <c r="M182" s="1245" t="str">
        <f>IF(AND(ISBLANK(E182),OR(NOT(ISBLANK(E180)),NOT(ISBLANK(E181)),NOT(ISBLANK(E183)),NOT(ISBLANK(I184)),NOT(ISBLANK(A186)))),"This information is required.","")</f>
        <v/>
      </c>
      <c r="N182" s="1089"/>
      <c r="O182" s="1089"/>
      <c r="P182" s="1089"/>
      <c r="Q182" s="430"/>
      <c r="R182" s="431"/>
      <c r="S182" s="432" t="str">
        <f>IF(ISBLANK(E182),"",E182)</f>
        <v/>
      </c>
      <c r="T182" s="433" t="s">
        <v>188</v>
      </c>
      <c r="U182" s="431"/>
      <c r="V182" s="431"/>
      <c r="W182" s="466"/>
      <c r="X182" s="466"/>
      <c r="Y182" s="466"/>
      <c r="Z182" s="466"/>
      <c r="AA182" s="210"/>
      <c r="AB182" s="210"/>
      <c r="AC182" s="210"/>
      <c r="AD182" s="210"/>
      <c r="AE182" s="127"/>
      <c r="AF182" s="127"/>
      <c r="AG182" s="127"/>
      <c r="AH182" s="127"/>
      <c r="AI182" s="127"/>
      <c r="AJ182" s="127"/>
      <c r="AK182" s="127"/>
      <c r="AL182" s="134"/>
      <c r="AM182" s="127"/>
      <c r="AN182" s="127"/>
      <c r="AO182" s="127"/>
      <c r="AP182" s="127"/>
      <c r="AQ182" s="127"/>
      <c r="AR182" s="127"/>
      <c r="AS182" s="127"/>
      <c r="AT182" s="127"/>
      <c r="AU182" s="127"/>
      <c r="AV182" s="127"/>
      <c r="AW182" s="127"/>
      <c r="AX182" s="127"/>
      <c r="AY182" s="127"/>
      <c r="AZ182" s="127"/>
    </row>
    <row r="183" spans="1:52" ht="26.25" customHeight="1" x14ac:dyDescent="0.2">
      <c r="A183" s="1222" t="s">
        <v>616</v>
      </c>
      <c r="B183" s="1223"/>
      <c r="C183" s="1223"/>
      <c r="D183" s="1224"/>
      <c r="E183" s="1225"/>
      <c r="F183" s="1226"/>
      <c r="G183" s="434"/>
      <c r="H183" s="435"/>
      <c r="I183" s="436"/>
      <c r="J183" s="431"/>
      <c r="K183" s="431"/>
      <c r="L183" s="431"/>
      <c r="M183" s="1089" t="str">
        <f>IF(AND(ISBLANK(E183),OR(NOT(ISBLANK(E180)),NOT(ISBLANK(E181)),NOT(ISBLANK(E182)),NOT(ISBLANK(I184)),NOT(ISBLANK(A186)))),"This information is required.","")</f>
        <v/>
      </c>
      <c r="N183" s="1089"/>
      <c r="O183" s="1089"/>
      <c r="P183" s="1089"/>
      <c r="Q183" s="430"/>
      <c r="R183" s="392"/>
      <c r="S183" s="437" t="str">
        <f>IF(ISBLANK(E183),"",E183)</f>
        <v/>
      </c>
      <c r="T183" s="438" t="s">
        <v>189</v>
      </c>
      <c r="U183" s="392"/>
      <c r="V183" s="392"/>
      <c r="W183" s="210"/>
      <c r="X183" s="466"/>
      <c r="Y183" s="466"/>
      <c r="Z183" s="466"/>
      <c r="AA183" s="210"/>
      <c r="AB183" s="210"/>
      <c r="AC183" s="210"/>
      <c r="AD183" s="210"/>
      <c r="AE183" s="127"/>
      <c r="AF183" s="127"/>
      <c r="AG183" s="127"/>
      <c r="AH183" s="127"/>
      <c r="AI183" s="127"/>
      <c r="AJ183" s="127"/>
      <c r="AK183" s="127"/>
      <c r="AL183" s="134"/>
      <c r="AM183" s="127"/>
      <c r="AN183" s="127"/>
      <c r="AO183" s="127"/>
      <c r="AP183" s="127"/>
      <c r="AQ183" s="127"/>
      <c r="AR183" s="127"/>
      <c r="AS183" s="127"/>
      <c r="AT183" s="127"/>
      <c r="AU183" s="127"/>
      <c r="AV183" s="127"/>
      <c r="AW183" s="127"/>
      <c r="AX183" s="127"/>
      <c r="AY183" s="127"/>
      <c r="AZ183" s="127"/>
    </row>
    <row r="184" spans="1:52" ht="26.25" customHeight="1" thickBot="1" x14ac:dyDescent="0.25">
      <c r="A184" s="1227" t="s">
        <v>617</v>
      </c>
      <c r="B184" s="1228"/>
      <c r="C184" s="1228"/>
      <c r="D184" s="1228"/>
      <c r="E184" s="1229"/>
      <c r="F184" s="1229"/>
      <c r="G184" s="1229"/>
      <c r="H184" s="1229"/>
      <c r="I184" s="1230"/>
      <c r="J184" s="1230"/>
      <c r="K184" s="1231" t="s">
        <v>618</v>
      </c>
      <c r="L184" s="1232"/>
      <c r="M184" s="1233" t="str">
        <f>IF(AND(ISBLANK(I184),OR(NOT(ISBLANK(E180)),NOT(ISBLANK(E181)),NOT(ISBLANK(E182)),NOT(ISBLANK(E183)),NOT(ISBLANK(A186)))),"This information is required!","")</f>
        <v/>
      </c>
      <c r="N184" s="1233"/>
      <c r="O184" s="1233"/>
      <c r="P184" s="1233"/>
      <c r="Q184" s="439"/>
      <c r="R184" s="392"/>
      <c r="S184" s="437" t="str">
        <f>IF(ISBLANK(I184),"",I184)</f>
        <v/>
      </c>
      <c r="T184" s="438" t="s">
        <v>190</v>
      </c>
      <c r="U184" s="440"/>
      <c r="V184" s="440"/>
      <c r="W184" s="464"/>
      <c r="X184" s="466"/>
      <c r="Y184" s="466"/>
      <c r="Z184" s="466"/>
      <c r="AA184" s="210"/>
      <c r="AB184" s="210"/>
      <c r="AC184" s="210"/>
      <c r="AD184" s="210"/>
      <c r="AE184" s="127"/>
      <c r="AF184" s="127"/>
      <c r="AG184" s="127"/>
      <c r="AH184" s="127"/>
      <c r="AI184" s="127"/>
      <c r="AJ184" s="127"/>
      <c r="AK184" s="127"/>
      <c r="AL184" s="134"/>
      <c r="AM184" s="127"/>
      <c r="AN184" s="127"/>
      <c r="AO184" s="127"/>
      <c r="AP184" s="127"/>
      <c r="AQ184" s="127"/>
      <c r="AR184" s="127"/>
      <c r="AS184" s="127"/>
      <c r="AT184" s="127"/>
      <c r="AU184" s="127"/>
      <c r="AV184" s="127"/>
      <c r="AW184" s="127"/>
      <c r="AX184" s="127"/>
      <c r="AY184" s="325"/>
      <c r="AZ184" s="325"/>
    </row>
    <row r="185" spans="1:52" ht="26.25" customHeight="1" x14ac:dyDescent="0.2">
      <c r="A185" s="1148" t="s">
        <v>620</v>
      </c>
      <c r="B185" s="1149"/>
      <c r="C185" s="1149"/>
      <c r="D185" s="1149"/>
      <c r="E185" s="1149"/>
      <c r="F185" s="1149"/>
      <c r="G185" s="1149"/>
      <c r="H185" s="1149"/>
      <c r="I185" s="1149"/>
      <c r="J185" s="1214"/>
      <c r="K185" s="1215" t="s">
        <v>693</v>
      </c>
      <c r="L185" s="1215"/>
      <c r="M185" s="1215"/>
      <c r="N185" s="1215"/>
      <c r="O185" s="1217" t="s">
        <v>621</v>
      </c>
      <c r="P185" s="1217"/>
      <c r="Q185" s="1218"/>
      <c r="R185" s="431"/>
      <c r="S185" s="437" t="str">
        <f>IF(ISBLANK(A186),"",A186)</f>
        <v/>
      </c>
      <c r="T185" s="438" t="s">
        <v>191</v>
      </c>
      <c r="U185" s="442"/>
      <c r="V185" s="442"/>
      <c r="W185" s="466"/>
      <c r="X185" s="466"/>
      <c r="Y185" s="466"/>
      <c r="Z185" s="466"/>
      <c r="AA185" s="210"/>
      <c r="AB185" s="210"/>
      <c r="AC185" s="210"/>
      <c r="AD185" s="210"/>
      <c r="AE185" s="127"/>
      <c r="AF185" s="127"/>
      <c r="AG185" s="127"/>
      <c r="AH185" s="127"/>
      <c r="AI185" s="127"/>
      <c r="AJ185" s="127"/>
      <c r="AK185" s="127"/>
      <c r="AL185" s="134"/>
      <c r="AM185" s="127"/>
      <c r="AN185" s="127"/>
      <c r="AO185" s="127"/>
      <c r="AP185" s="127"/>
      <c r="AQ185" s="127"/>
      <c r="AR185" s="127"/>
      <c r="AS185" s="127"/>
      <c r="AT185" s="127"/>
      <c r="AU185" s="127"/>
      <c r="AV185" s="127"/>
      <c r="AW185" s="127"/>
      <c r="AX185" s="127"/>
      <c r="AY185" s="325"/>
      <c r="AZ185" s="325"/>
    </row>
    <row r="186" spans="1:52" ht="26.25" customHeight="1" x14ac:dyDescent="0.2">
      <c r="A186" s="1160"/>
      <c r="B186" s="1161"/>
      <c r="C186" s="1161"/>
      <c r="D186" s="1161"/>
      <c r="E186" s="1161"/>
      <c r="F186" s="1161"/>
      <c r="G186" s="1161"/>
      <c r="H186" s="1161"/>
      <c r="I186" s="1161"/>
      <c r="J186" s="1202"/>
      <c r="K186" s="1216"/>
      <c r="L186" s="1216"/>
      <c r="M186" s="1216"/>
      <c r="N186" s="1216"/>
      <c r="O186" s="443"/>
      <c r="P186" s="229" t="s">
        <v>269</v>
      </c>
      <c r="Q186" s="444" t="s">
        <v>270</v>
      </c>
      <c r="R186" s="431"/>
      <c r="S186" s="437" t="str">
        <f>IF(ISBLANK(A189),"",A189)</f>
        <v/>
      </c>
      <c r="T186" s="445" t="s">
        <v>192</v>
      </c>
      <c r="U186" s="442"/>
      <c r="V186" s="442"/>
      <c r="W186" s="466"/>
      <c r="X186" s="466"/>
      <c r="Y186" s="466"/>
      <c r="Z186" s="466"/>
      <c r="AA186" s="431"/>
      <c r="AB186" s="431"/>
      <c r="AC186" s="431"/>
      <c r="AD186" s="486"/>
      <c r="AE186" s="127"/>
      <c r="AF186" s="127"/>
      <c r="AG186" s="127"/>
      <c r="AH186" s="127"/>
      <c r="AI186" s="127"/>
      <c r="AJ186" s="127"/>
      <c r="AK186" s="127"/>
      <c r="AL186" s="134"/>
      <c r="AM186" s="127"/>
      <c r="AN186" s="127"/>
      <c r="AO186" s="127"/>
      <c r="AP186" s="127"/>
      <c r="AQ186" s="127"/>
      <c r="AR186" s="127"/>
      <c r="AS186" s="127"/>
      <c r="AT186" s="127"/>
      <c r="AU186" s="127"/>
      <c r="AV186" s="127"/>
      <c r="AW186" s="127"/>
      <c r="AX186" s="127"/>
      <c r="AY186" s="325"/>
      <c r="AZ186" s="325"/>
    </row>
    <row r="187" spans="1:52" ht="26.25" customHeight="1" x14ac:dyDescent="0.2">
      <c r="A187" s="1176"/>
      <c r="B187" s="1177"/>
      <c r="C187" s="1177"/>
      <c r="D187" s="1177"/>
      <c r="E187" s="1177"/>
      <c r="F187" s="1177"/>
      <c r="G187" s="1177"/>
      <c r="H187" s="1177"/>
      <c r="I187" s="1177"/>
      <c r="J187" s="1203"/>
      <c r="K187" s="1204" t="s">
        <v>622</v>
      </c>
      <c r="L187" s="1205"/>
      <c r="M187" s="1205"/>
      <c r="N187" s="1205"/>
      <c r="O187" s="1206"/>
      <c r="P187" s="451"/>
      <c r="Q187" s="487"/>
      <c r="R187" s="440" t="str">
        <f>IF(COUNTBLANK(P187:Q187)=2,"Please enter response.",IF(COUNTBLANK(P187:Q187)&lt;&gt;1,"Please VERIFY response.",""))</f>
        <v>Please enter response.</v>
      </c>
      <c r="S187" s="452" t="str">
        <f>IF(AND(ISBLANK(P187),ISBLANK(Q187)),"",IF(ISBLANK(P187),0,1))</f>
        <v/>
      </c>
      <c r="T187" s="251" t="s">
        <v>592</v>
      </c>
      <c r="U187" s="213"/>
      <c r="V187" s="213"/>
      <c r="W187" s="466"/>
      <c r="X187" s="466"/>
      <c r="Y187" s="466"/>
      <c r="Z187" s="466"/>
      <c r="AA187" s="210"/>
      <c r="AB187" s="210"/>
      <c r="AC187" s="210"/>
      <c r="AD187" s="210"/>
      <c r="AE187" s="127"/>
      <c r="AF187" s="127"/>
      <c r="AG187" s="127"/>
      <c r="AH187" s="127"/>
      <c r="AI187" s="127"/>
      <c r="AJ187" s="127"/>
      <c r="AK187" s="127"/>
      <c r="AL187" s="134"/>
      <c r="AM187" s="127"/>
      <c r="AN187" s="127"/>
      <c r="AO187" s="127"/>
      <c r="AP187" s="127"/>
      <c r="AQ187" s="127"/>
      <c r="AR187" s="127"/>
      <c r="AS187" s="127"/>
      <c r="AT187" s="127"/>
      <c r="AU187" s="127"/>
      <c r="AV187" s="127"/>
      <c r="AW187" s="127"/>
      <c r="AX187" s="127"/>
      <c r="AY187" s="127"/>
      <c r="AZ187" s="127"/>
    </row>
    <row r="188" spans="1:52" ht="26.25" customHeight="1" x14ac:dyDescent="0.2">
      <c r="A188" s="1219" t="s">
        <v>623</v>
      </c>
      <c r="B188" s="1220"/>
      <c r="C188" s="1220"/>
      <c r="D188" s="1220"/>
      <c r="E188" s="1220"/>
      <c r="F188" s="1220"/>
      <c r="G188" s="1220"/>
      <c r="H188" s="1220"/>
      <c r="I188" s="1220"/>
      <c r="J188" s="1221"/>
      <c r="K188" s="1204" t="s">
        <v>624</v>
      </c>
      <c r="L188" s="1205"/>
      <c r="M188" s="1205"/>
      <c r="N188" s="1205"/>
      <c r="O188" s="1206"/>
      <c r="P188" s="451"/>
      <c r="Q188" s="487"/>
      <c r="R188" s="440" t="str">
        <f>IF(COUNTBLANK(P188:Q188)=2,"Please enter response.",IF(COUNTBLANK(P188:Q188)&lt;&gt;1,"Please VERIFY response.",""))</f>
        <v>Please enter response.</v>
      </c>
      <c r="S188" s="452" t="str">
        <f>IF(AND(ISBLANK(P188),ISBLANK(Q188)),"",IF(ISBLANK(P188),0,1))</f>
        <v/>
      </c>
      <c r="T188" s="251" t="s">
        <v>593</v>
      </c>
      <c r="U188" s="213"/>
      <c r="V188" s="213"/>
      <c r="W188" s="466"/>
      <c r="X188" s="466"/>
      <c r="Y188" s="466"/>
      <c r="Z188" s="466"/>
      <c r="AA188" s="210"/>
      <c r="AB188" s="210"/>
      <c r="AC188" s="210"/>
      <c r="AD188" s="210"/>
      <c r="AE188" s="127"/>
      <c r="AF188" s="127"/>
      <c r="AG188" s="127"/>
      <c r="AH188" s="127"/>
      <c r="AI188" s="127"/>
      <c r="AJ188" s="127"/>
      <c r="AK188" s="127"/>
      <c r="AL188" s="134"/>
      <c r="AM188" s="127"/>
      <c r="AN188" s="127"/>
      <c r="AO188" s="127"/>
      <c r="AP188" s="127"/>
      <c r="AQ188" s="127"/>
      <c r="AR188" s="127"/>
      <c r="AS188" s="127"/>
      <c r="AT188" s="127"/>
      <c r="AU188" s="127"/>
      <c r="AV188" s="127"/>
      <c r="AW188" s="127"/>
      <c r="AX188" s="127"/>
      <c r="AY188" s="127"/>
      <c r="AZ188" s="127"/>
    </row>
    <row r="189" spans="1:52" ht="26.25" customHeight="1" x14ac:dyDescent="0.2">
      <c r="A189" s="1160"/>
      <c r="B189" s="1161"/>
      <c r="C189" s="1161"/>
      <c r="D189" s="1161"/>
      <c r="E189" s="1161"/>
      <c r="F189" s="1161"/>
      <c r="G189" s="1161"/>
      <c r="H189" s="1161"/>
      <c r="I189" s="1161"/>
      <c r="J189" s="1202"/>
      <c r="K189" s="1204" t="s">
        <v>625</v>
      </c>
      <c r="L189" s="1205"/>
      <c r="M189" s="1205"/>
      <c r="N189" s="1205"/>
      <c r="O189" s="1206"/>
      <c r="P189" s="451"/>
      <c r="Q189" s="487"/>
      <c r="R189" s="440" t="str">
        <f>IF(COUNTBLANK(P189:Q189)=2,"Please enter response.",IF(COUNTBLANK(P189:Q189)&lt;&gt;1,"Please VERIFY response.",""))</f>
        <v>Please enter response.</v>
      </c>
      <c r="S189" s="452" t="str">
        <f>IF(AND(ISBLANK(P189),ISBLANK(Q189)),"",IF(ISBLANK(P189),0,1))</f>
        <v/>
      </c>
      <c r="T189" s="251" t="s">
        <v>594</v>
      </c>
      <c r="U189" s="213"/>
      <c r="V189" s="213"/>
      <c r="W189" s="466"/>
      <c r="X189" s="466"/>
      <c r="Y189" s="466"/>
      <c r="Z189" s="466"/>
      <c r="AA189" s="210"/>
      <c r="AB189" s="210"/>
      <c r="AC189" s="210"/>
      <c r="AD189" s="436"/>
      <c r="AE189" s="127"/>
      <c r="AF189" s="127"/>
      <c r="AG189" s="127"/>
      <c r="AH189" s="127"/>
      <c r="AI189" s="127"/>
      <c r="AJ189" s="127"/>
      <c r="AK189" s="127"/>
      <c r="AL189" s="134"/>
      <c r="AM189" s="127"/>
      <c r="AN189" s="127"/>
      <c r="AO189" s="127"/>
      <c r="AP189" s="127"/>
      <c r="AQ189" s="127"/>
      <c r="AR189" s="127"/>
      <c r="AS189" s="127"/>
      <c r="AT189" s="127"/>
      <c r="AU189" s="127"/>
      <c r="AV189" s="127"/>
      <c r="AW189" s="127"/>
      <c r="AX189" s="127"/>
      <c r="AY189" s="127"/>
      <c r="AZ189" s="127"/>
    </row>
    <row r="190" spans="1:52" ht="26.25" customHeight="1" x14ac:dyDescent="0.25">
      <c r="A190" s="1176"/>
      <c r="B190" s="1177"/>
      <c r="C190" s="1177"/>
      <c r="D190" s="1177"/>
      <c r="E190" s="1177"/>
      <c r="F190" s="1177"/>
      <c r="G190" s="1177"/>
      <c r="H190" s="1177"/>
      <c r="I190" s="1177"/>
      <c r="J190" s="1203"/>
      <c r="K190" s="1204" t="s">
        <v>626</v>
      </c>
      <c r="L190" s="1205"/>
      <c r="M190" s="1205"/>
      <c r="N190" s="1205"/>
      <c r="O190" s="1206"/>
      <c r="P190" s="451"/>
      <c r="Q190" s="487"/>
      <c r="R190" s="440" t="str">
        <f>IF(COUNTBLANK(P190:Q190)=2,"Please enter response.",IF(COUNTBLANK(P190:Q190)&lt;&gt;1,"Please VERIFY response.",""))</f>
        <v>Please enter response.</v>
      </c>
      <c r="S190" s="452" t="str">
        <f>IF(AND(ISBLANK(P190),ISBLANK(Q190)),"",IF(ISBLANK(P190),0,1))</f>
        <v/>
      </c>
      <c r="T190" s="251" t="s">
        <v>595</v>
      </c>
      <c r="U190" s="213"/>
      <c r="V190" s="213"/>
      <c r="W190" s="466"/>
      <c r="X190" s="474"/>
      <c r="Y190" s="474"/>
      <c r="Z190" s="474"/>
      <c r="AA190" s="431"/>
      <c r="AB190" s="431"/>
      <c r="AC190" s="431"/>
      <c r="AD190" s="471"/>
      <c r="AE190" s="127"/>
      <c r="AF190" s="127"/>
      <c r="AG190" s="127"/>
      <c r="AH190" s="127"/>
      <c r="AI190" s="127"/>
      <c r="AJ190" s="127"/>
      <c r="AK190" s="127"/>
      <c r="AL190" s="134"/>
      <c r="AM190" s="127"/>
      <c r="AN190" s="127"/>
      <c r="AO190" s="127"/>
      <c r="AP190" s="127"/>
      <c r="AQ190" s="127"/>
      <c r="AR190" s="127"/>
      <c r="AS190" s="127"/>
      <c r="AT190" s="127"/>
      <c r="AU190" s="127"/>
      <c r="AV190" s="127"/>
      <c r="AW190" s="127"/>
      <c r="AX190" s="127"/>
      <c r="AY190" s="127"/>
      <c r="AZ190" s="127"/>
    </row>
    <row r="191" spans="1:52" ht="26.25" customHeight="1" x14ac:dyDescent="0.2">
      <c r="A191" s="1207" t="s">
        <v>627</v>
      </c>
      <c r="B191" s="1208"/>
      <c r="C191" s="1208"/>
      <c r="D191" s="1208"/>
      <c r="E191" s="1208"/>
      <c r="F191" s="1208"/>
      <c r="G191" s="1208"/>
      <c r="H191" s="1208"/>
      <c r="I191" s="1208"/>
      <c r="J191" s="1208"/>
      <c r="K191" s="1208"/>
      <c r="L191" s="1208"/>
      <c r="M191" s="1208"/>
      <c r="N191" s="1208"/>
      <c r="O191" s="1208"/>
      <c r="P191" s="1208"/>
      <c r="Q191" s="1209"/>
      <c r="R191" s="454"/>
      <c r="S191" s="463"/>
      <c r="T191" s="454"/>
      <c r="U191" s="454"/>
      <c r="V191" s="454"/>
      <c r="W191" s="466"/>
      <c r="X191" s="464"/>
      <c r="Y191" s="464"/>
      <c r="Z191" s="464"/>
      <c r="AA191" s="466"/>
      <c r="AB191" s="466"/>
      <c r="AC191" s="466"/>
      <c r="AD191" s="210"/>
      <c r="AE191" s="127"/>
      <c r="AF191" s="127"/>
      <c r="AG191" s="127"/>
      <c r="AH191" s="127"/>
      <c r="AI191" s="127"/>
      <c r="AJ191" s="127"/>
      <c r="AK191" s="127"/>
      <c r="AL191" s="134"/>
      <c r="AM191" s="127"/>
      <c r="AN191" s="127"/>
      <c r="AO191" s="127"/>
      <c r="AP191" s="127"/>
      <c r="AQ191" s="127"/>
      <c r="AR191" s="127"/>
      <c r="AS191" s="127"/>
      <c r="AT191" s="127"/>
      <c r="AU191" s="127"/>
      <c r="AV191" s="127"/>
      <c r="AW191" s="127"/>
      <c r="AX191" s="127"/>
      <c r="AY191" s="127"/>
      <c r="AZ191" s="127"/>
    </row>
    <row r="192" spans="1:52" ht="26.25" customHeight="1" x14ac:dyDescent="0.25">
      <c r="A192" s="1210" t="s">
        <v>628</v>
      </c>
      <c r="B192" s="1211"/>
      <c r="C192" s="1211"/>
      <c r="D192" s="1211"/>
      <c r="E192" s="1211" t="s">
        <v>629</v>
      </c>
      <c r="F192" s="1211"/>
      <c r="G192" s="1211"/>
      <c r="H192" s="1211"/>
      <c r="I192" s="1211" t="s">
        <v>630</v>
      </c>
      <c r="J192" s="1211"/>
      <c r="K192" s="1211"/>
      <c r="L192" s="1211"/>
      <c r="M192" s="1212" t="s">
        <v>631</v>
      </c>
      <c r="N192" s="1211"/>
      <c r="O192" s="1211"/>
      <c r="P192" s="1211"/>
      <c r="Q192" s="1213"/>
      <c r="R192" s="459"/>
      <c r="S192" s="1195" t="s">
        <v>632</v>
      </c>
      <c r="T192" s="1195"/>
      <c r="U192" s="1195"/>
      <c r="V192" s="1195"/>
      <c r="W192" s="466"/>
      <c r="X192" s="466"/>
      <c r="Y192" s="466"/>
      <c r="Z192" s="466"/>
      <c r="AA192" s="466"/>
      <c r="AB192" s="466"/>
      <c r="AC192" s="466"/>
      <c r="AD192" s="471"/>
      <c r="AE192" s="127"/>
      <c r="AF192" s="127"/>
      <c r="AG192" s="127"/>
      <c r="AH192" s="127"/>
      <c r="AI192" s="127"/>
      <c r="AJ192" s="127"/>
      <c r="AK192" s="127"/>
      <c r="AL192" s="134"/>
      <c r="AM192" s="127"/>
      <c r="AN192" s="127"/>
      <c r="AO192" s="127"/>
      <c r="AP192" s="127"/>
      <c r="AQ192" s="127"/>
      <c r="AR192" s="127"/>
      <c r="AS192" s="127"/>
      <c r="AT192" s="127"/>
      <c r="AU192" s="127"/>
      <c r="AV192" s="127"/>
      <c r="AW192" s="127"/>
      <c r="AX192" s="127"/>
      <c r="AY192" s="127"/>
      <c r="AZ192" s="127"/>
    </row>
    <row r="193" spans="1:53" ht="26.25" customHeight="1" thickBot="1" x14ac:dyDescent="0.3">
      <c r="A193" s="1196"/>
      <c r="B193" s="815"/>
      <c r="C193" s="815"/>
      <c r="D193" s="815"/>
      <c r="E193" s="815"/>
      <c r="F193" s="815"/>
      <c r="G193" s="815"/>
      <c r="H193" s="815"/>
      <c r="I193" s="815"/>
      <c r="J193" s="815"/>
      <c r="K193" s="815"/>
      <c r="L193" s="815"/>
      <c r="M193" s="1197"/>
      <c r="N193" s="1197"/>
      <c r="O193" s="1197"/>
      <c r="P193" s="1197"/>
      <c r="Q193" s="1198"/>
      <c r="R193" s="454"/>
      <c r="S193" s="467" t="str">
        <f>IF(ISBLANK(A193),"",VLOOKUP(A193,VProjType,2,FALSE))</f>
        <v/>
      </c>
      <c r="T193" s="467" t="str">
        <f>IF(ISBLANK(E193),"",VLOOKUP(E193,VSubtype1,2,FALSE))</f>
        <v/>
      </c>
      <c r="U193" s="467" t="str">
        <f>IF(ISBLANK(I193),"",VLOOKUP(I193,VSubtype2,2,FALSE))</f>
        <v/>
      </c>
      <c r="V193" s="467" t="str">
        <f>IF(ISBLANK(M193),"",VLOOKUP(M193,VSubtype3,2,FALSE))</f>
        <v/>
      </c>
      <c r="W193" s="466"/>
      <c r="X193" s="466"/>
      <c r="Y193" s="466"/>
      <c r="Z193" s="466"/>
      <c r="AA193" s="466"/>
      <c r="AB193" s="466"/>
      <c r="AC193" s="466"/>
      <c r="AD193" s="471"/>
      <c r="AE193" s="127"/>
      <c r="AF193" s="127"/>
      <c r="AG193" s="127"/>
      <c r="AH193" s="127"/>
      <c r="AI193" s="127"/>
      <c r="AJ193" s="127"/>
      <c r="AK193" s="127"/>
      <c r="AL193" s="134"/>
      <c r="AM193" s="127"/>
      <c r="AN193" s="127"/>
      <c r="AO193" s="127"/>
      <c r="AP193" s="127"/>
      <c r="AQ193" s="127"/>
      <c r="AR193" s="127"/>
      <c r="AS193" s="127"/>
      <c r="AT193" s="127"/>
      <c r="AU193" s="127"/>
      <c r="AV193" s="127"/>
      <c r="AW193" s="127"/>
      <c r="AX193" s="127"/>
      <c r="AY193" s="127"/>
      <c r="AZ193" s="127"/>
    </row>
    <row r="194" spans="1:53" ht="26.25" customHeight="1" x14ac:dyDescent="0.25">
      <c r="A194" s="1199" t="s">
        <v>634</v>
      </c>
      <c r="B194" s="1200"/>
      <c r="C194" s="1200"/>
      <c r="D194" s="1200"/>
      <c r="E194" s="1200"/>
      <c r="F194" s="1200"/>
      <c r="G194" s="1200"/>
      <c r="H194" s="1200"/>
      <c r="I194" s="1200"/>
      <c r="J194" s="1200"/>
      <c r="K194" s="1200"/>
      <c r="L194" s="1200"/>
      <c r="M194" s="1200"/>
      <c r="N194" s="1200"/>
      <c r="O194" s="1200"/>
      <c r="P194" s="1200"/>
      <c r="Q194" s="1201"/>
      <c r="R194" s="464"/>
      <c r="S194" s="468" t="s">
        <v>635</v>
      </c>
      <c r="T194" s="464"/>
      <c r="U194" s="464"/>
      <c r="V194" s="464"/>
      <c r="W194" s="474"/>
      <c r="X194" s="466"/>
      <c r="Y194" s="466"/>
      <c r="Z194" s="466"/>
      <c r="AA194" s="466"/>
      <c r="AB194" s="466"/>
      <c r="AC194" s="466"/>
      <c r="AD194" s="471"/>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row>
    <row r="195" spans="1:53" ht="26.25" customHeight="1" x14ac:dyDescent="0.25">
      <c r="A195" s="1166" t="s">
        <v>636</v>
      </c>
      <c r="B195" s="1167"/>
      <c r="C195" s="1167"/>
      <c r="D195" s="1167"/>
      <c r="E195" s="1167"/>
      <c r="F195" s="1167"/>
      <c r="G195" s="1167"/>
      <c r="H195" s="1167"/>
      <c r="I195" s="1167"/>
      <c r="J195" s="1167"/>
      <c r="K195" s="1167"/>
      <c r="L195" s="1168"/>
      <c r="M195" s="1169"/>
      <c r="N195" s="1170"/>
      <c r="O195" s="1170"/>
      <c r="P195" s="1170"/>
      <c r="Q195" s="1171"/>
      <c r="R195" s="464"/>
      <c r="S195" s="469" t="str">
        <f>IF(ISBLANK(M195),"",VLOOKUP(M195,VRemote,2,FALSE))</f>
        <v/>
      </c>
      <c r="T195" s="470" t="s">
        <v>637</v>
      </c>
      <c r="U195" s="464"/>
      <c r="V195" s="464"/>
      <c r="W195" s="464"/>
      <c r="X195" s="466"/>
      <c r="Y195" s="466"/>
      <c r="Z195" s="466"/>
      <c r="AA195" s="466"/>
      <c r="AB195" s="466"/>
      <c r="AC195" s="466"/>
      <c r="AD195" s="471"/>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row>
    <row r="196" spans="1:53" ht="26.25" customHeight="1" x14ac:dyDescent="0.25">
      <c r="A196" s="1166" t="s">
        <v>638</v>
      </c>
      <c r="B196" s="1167"/>
      <c r="C196" s="1167"/>
      <c r="D196" s="1167"/>
      <c r="E196" s="1167"/>
      <c r="F196" s="1167"/>
      <c r="G196" s="1167"/>
      <c r="H196" s="1167"/>
      <c r="I196" s="1167"/>
      <c r="J196" s="1167"/>
      <c r="K196" s="1167"/>
      <c r="L196" s="1167"/>
      <c r="M196" s="1169"/>
      <c r="N196" s="1170"/>
      <c r="O196" s="1170"/>
      <c r="P196" s="1170"/>
      <c r="Q196" s="1171"/>
      <c r="R196" s="466"/>
      <c r="S196" s="469" t="str">
        <f>IF(ISBLANK(M196),"",VLOOKUP(M196,VCapacity,2,FALSE))</f>
        <v/>
      </c>
      <c r="T196" s="162" t="s">
        <v>639</v>
      </c>
      <c r="U196" s="466"/>
      <c r="V196" s="466"/>
      <c r="W196" s="466"/>
      <c r="X196" s="466"/>
      <c r="Y196" s="466"/>
      <c r="Z196" s="466"/>
      <c r="AA196" s="466"/>
      <c r="AB196" s="466"/>
      <c r="AC196" s="466"/>
      <c r="AD196" s="471"/>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row>
    <row r="197" spans="1:53" ht="26.25" customHeight="1" x14ac:dyDescent="0.25">
      <c r="A197" s="1166" t="s">
        <v>640</v>
      </c>
      <c r="B197" s="1167"/>
      <c r="C197" s="1167"/>
      <c r="D197" s="1167"/>
      <c r="E197" s="1167"/>
      <c r="F197" s="1167"/>
      <c r="G197" s="1167"/>
      <c r="H197" s="1167"/>
      <c r="I197" s="1167"/>
      <c r="J197" s="1167"/>
      <c r="K197" s="1167"/>
      <c r="L197" s="1167"/>
      <c r="M197" s="1169"/>
      <c r="N197" s="1170"/>
      <c r="O197" s="1170"/>
      <c r="P197" s="1170"/>
      <c r="Q197" s="1171"/>
      <c r="R197" s="466"/>
      <c r="S197" s="469" t="str">
        <f>IF(ISBLANK(M197),"",VLOOKUP(M197,VPriorCap,2,FALSE))</f>
        <v/>
      </c>
      <c r="T197" s="162" t="s">
        <v>641</v>
      </c>
      <c r="U197" s="466"/>
      <c r="V197" s="466"/>
      <c r="W197" s="466"/>
      <c r="X197" s="466"/>
      <c r="Y197" s="466"/>
      <c r="Z197" s="466"/>
      <c r="AA197" s="466"/>
      <c r="AB197" s="466"/>
      <c r="AC197" s="466"/>
      <c r="AD197" s="471"/>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row>
    <row r="198" spans="1:53" ht="25.9" customHeight="1" x14ac:dyDescent="0.25">
      <c r="A198" s="1183" t="s">
        <v>643</v>
      </c>
      <c r="B198" s="1184"/>
      <c r="C198" s="1184"/>
      <c r="D198" s="1184"/>
      <c r="E198" s="1184"/>
      <c r="F198" s="1184"/>
      <c r="G198" s="1184"/>
      <c r="H198" s="1184"/>
      <c r="I198" s="1184"/>
      <c r="J198" s="1184"/>
      <c r="K198" s="1184"/>
      <c r="L198" s="1184"/>
      <c r="M198" s="1184"/>
      <c r="N198" s="1184"/>
      <c r="O198" s="1184"/>
      <c r="P198" s="1184"/>
      <c r="Q198" s="1185"/>
      <c r="R198" s="466"/>
      <c r="S198" s="472" t="str">
        <f>IF(ISBLANK(A199),"",A199)</f>
        <v/>
      </c>
      <c r="T198" s="162" t="s">
        <v>589</v>
      </c>
      <c r="U198" s="466"/>
      <c r="V198" s="466"/>
      <c r="W198" s="466"/>
      <c r="X198" s="466"/>
      <c r="Y198" s="466"/>
      <c r="Z198" s="466"/>
      <c r="AA198" s="466"/>
      <c r="AB198" s="466"/>
      <c r="AC198" s="466"/>
      <c r="AD198" s="471"/>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row>
    <row r="199" spans="1:53" ht="26.25" customHeight="1" x14ac:dyDescent="0.25">
      <c r="A199" s="1175"/>
      <c r="B199" s="1152"/>
      <c r="C199" s="1152"/>
      <c r="D199" s="1152"/>
      <c r="E199" s="1152"/>
      <c r="F199" s="1152"/>
      <c r="G199" s="1152"/>
      <c r="H199" s="1152"/>
      <c r="I199" s="1152"/>
      <c r="J199" s="1152"/>
      <c r="K199" s="1152"/>
      <c r="L199" s="1152"/>
      <c r="M199" s="1152"/>
      <c r="N199" s="1152"/>
      <c r="O199" s="1152"/>
      <c r="P199" s="1152"/>
      <c r="Q199" s="1182"/>
      <c r="R199" s="466"/>
      <c r="S199" s="466"/>
      <c r="T199" s="466"/>
      <c r="U199" s="466"/>
      <c r="V199" s="466"/>
      <c r="W199" s="466"/>
      <c r="X199" s="466"/>
      <c r="Y199" s="466"/>
      <c r="Z199" s="466"/>
      <c r="AA199" s="466"/>
      <c r="AB199" s="466"/>
      <c r="AC199" s="466"/>
      <c r="AD199" s="471"/>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row>
    <row r="200" spans="1:53" ht="26.25" customHeight="1" x14ac:dyDescent="0.25">
      <c r="A200" s="1186"/>
      <c r="B200" s="1187"/>
      <c r="C200" s="1187"/>
      <c r="D200" s="1187"/>
      <c r="E200" s="1187"/>
      <c r="F200" s="1187"/>
      <c r="G200" s="1187"/>
      <c r="H200" s="1187"/>
      <c r="I200" s="1187"/>
      <c r="J200" s="1187"/>
      <c r="K200" s="1187"/>
      <c r="L200" s="1187"/>
      <c r="M200" s="1187"/>
      <c r="N200" s="1187"/>
      <c r="O200" s="1187"/>
      <c r="P200" s="1187"/>
      <c r="Q200" s="1188"/>
      <c r="R200" s="466"/>
      <c r="S200" s="466"/>
      <c r="T200" s="466"/>
      <c r="U200" s="466"/>
      <c r="V200" s="466"/>
      <c r="W200" s="466"/>
      <c r="X200" s="466"/>
      <c r="Y200" s="466"/>
      <c r="Z200" s="466"/>
      <c r="AA200" s="210"/>
      <c r="AB200" s="210"/>
      <c r="AC200" s="210"/>
      <c r="AD200" s="471"/>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row>
    <row r="201" spans="1:53" ht="26.25" customHeight="1" x14ac:dyDescent="0.25">
      <c r="A201" s="1189" t="s">
        <v>645</v>
      </c>
      <c r="B201" s="1190"/>
      <c r="C201" s="1190"/>
      <c r="D201" s="1190"/>
      <c r="E201" s="1190"/>
      <c r="F201" s="1190"/>
      <c r="G201" s="1190"/>
      <c r="H201" s="1190"/>
      <c r="I201" s="1190"/>
      <c r="J201" s="1190"/>
      <c r="K201" s="1190"/>
      <c r="L201" s="1190"/>
      <c r="M201" s="1190"/>
      <c r="N201" s="1190"/>
      <c r="O201" s="1190"/>
      <c r="P201" s="1190"/>
      <c r="Q201" s="1191"/>
      <c r="R201" s="468"/>
      <c r="S201" s="468"/>
      <c r="T201" s="468"/>
      <c r="U201" s="468"/>
      <c r="V201" s="468"/>
      <c r="W201" s="466"/>
      <c r="X201" s="210"/>
      <c r="Y201" s="210"/>
      <c r="Z201" s="210"/>
      <c r="AA201" s="464"/>
      <c r="AB201" s="464"/>
      <c r="AC201" s="464"/>
      <c r="AD201" s="471"/>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row>
    <row r="202" spans="1:53" ht="26.25" customHeight="1" x14ac:dyDescent="0.2">
      <c r="A202" s="1175"/>
      <c r="B202" s="1152"/>
      <c r="C202" s="1152"/>
      <c r="D202" s="1152"/>
      <c r="E202" s="1152"/>
      <c r="F202" s="1152"/>
      <c r="G202" s="1152"/>
      <c r="H202" s="1152"/>
      <c r="I202" s="1152"/>
      <c r="J202" s="1152"/>
      <c r="K202" s="1152"/>
      <c r="L202" s="1152"/>
      <c r="M202" s="1152"/>
      <c r="N202" s="1152"/>
      <c r="O202" s="1152"/>
      <c r="P202" s="1152"/>
      <c r="Q202" s="1153"/>
      <c r="R202" s="466"/>
      <c r="S202" s="472" t="str">
        <f>IF(ISBLANK(A202),"",A202)</f>
        <v/>
      </c>
      <c r="T202" s="438" t="s">
        <v>194</v>
      </c>
      <c r="U202" s="466"/>
      <c r="V202" s="466"/>
      <c r="W202" s="466"/>
      <c r="X202" s="468"/>
      <c r="Y202" s="468"/>
      <c r="Z202" s="468"/>
      <c r="AA202" s="466"/>
      <c r="AB202" s="466"/>
      <c r="AC202" s="466"/>
      <c r="AD202" s="210"/>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row>
    <row r="203" spans="1:53" ht="26.25" customHeight="1" thickBot="1" x14ac:dyDescent="0.3">
      <c r="A203" s="1163"/>
      <c r="B203" s="1164"/>
      <c r="C203" s="1164"/>
      <c r="D203" s="1164"/>
      <c r="E203" s="1164"/>
      <c r="F203" s="1164"/>
      <c r="G203" s="1164"/>
      <c r="H203" s="1164"/>
      <c r="I203" s="1164"/>
      <c r="J203" s="1164"/>
      <c r="K203" s="1164"/>
      <c r="L203" s="1164"/>
      <c r="M203" s="1164"/>
      <c r="N203" s="1164"/>
      <c r="O203" s="1164"/>
      <c r="P203" s="1164"/>
      <c r="Q203" s="1165"/>
      <c r="R203" s="466"/>
      <c r="S203" s="466"/>
      <c r="T203" s="438"/>
      <c r="U203" s="466"/>
      <c r="V203" s="466"/>
      <c r="W203" s="466"/>
      <c r="X203" s="466"/>
      <c r="Y203" s="466"/>
      <c r="Z203" s="466"/>
      <c r="AA203" s="466"/>
      <c r="AB203" s="466"/>
      <c r="AC203" s="466"/>
      <c r="AD203" s="471"/>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row>
    <row r="204" spans="1:53" ht="26.25" customHeight="1" x14ac:dyDescent="0.25">
      <c r="A204" s="1157" t="s">
        <v>647</v>
      </c>
      <c r="B204" s="1158"/>
      <c r="C204" s="1158"/>
      <c r="D204" s="1158"/>
      <c r="E204" s="1158"/>
      <c r="F204" s="1158"/>
      <c r="G204" s="1158"/>
      <c r="H204" s="1158"/>
      <c r="I204" s="1158"/>
      <c r="J204" s="1158"/>
      <c r="K204" s="1158"/>
      <c r="L204" s="1158"/>
      <c r="M204" s="1158"/>
      <c r="N204" s="1158"/>
      <c r="O204" s="1158"/>
      <c r="P204" s="1158"/>
      <c r="Q204" s="1159"/>
      <c r="R204" s="464"/>
      <c r="S204" s="468" t="s">
        <v>648</v>
      </c>
      <c r="T204" s="464"/>
      <c r="U204" s="464"/>
      <c r="V204" s="464"/>
      <c r="W204" s="466"/>
      <c r="X204" s="466"/>
      <c r="Y204" s="466"/>
      <c r="Z204" s="466"/>
      <c r="AA204" s="466"/>
      <c r="AB204" s="466"/>
      <c r="AC204" s="466"/>
      <c r="AD204" s="471"/>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row>
    <row r="205" spans="1:53" ht="26.25" customHeight="1" x14ac:dyDescent="0.25">
      <c r="A205" s="1192" t="s">
        <v>649</v>
      </c>
      <c r="B205" s="1193"/>
      <c r="C205" s="1193"/>
      <c r="D205" s="1193"/>
      <c r="E205" s="1193"/>
      <c r="F205" s="1193"/>
      <c r="G205" s="1193"/>
      <c r="H205" s="1193"/>
      <c r="I205" s="1193"/>
      <c r="J205" s="1193"/>
      <c r="K205" s="1193"/>
      <c r="L205" s="1194"/>
      <c r="M205" s="1169"/>
      <c r="N205" s="1170"/>
      <c r="O205" s="1170"/>
      <c r="P205" s="1170"/>
      <c r="Q205" s="1171"/>
      <c r="R205" s="466"/>
      <c r="S205" s="473" t="str">
        <f>IF(ISBLANK(M205),"",VLOOKUP(M205,VImpact,2,FALSE))</f>
        <v/>
      </c>
      <c r="T205" s="162" t="s">
        <v>650</v>
      </c>
      <c r="U205" s="466"/>
      <c r="V205" s="466"/>
      <c r="W205" s="210"/>
      <c r="X205" s="466"/>
      <c r="Y205" s="466"/>
      <c r="Z205" s="466"/>
      <c r="AA205" s="466"/>
      <c r="AB205" s="466"/>
      <c r="AC205" s="466"/>
      <c r="AD205" s="471"/>
      <c r="AE205" s="127"/>
      <c r="AF205" s="127"/>
      <c r="AG205" s="127"/>
      <c r="AH205" s="127"/>
      <c r="AI205" s="127"/>
      <c r="AJ205" s="127"/>
      <c r="AK205" s="127"/>
      <c r="AL205" s="127"/>
      <c r="AM205" s="127"/>
      <c r="AN205" s="127"/>
      <c r="AO205" s="127"/>
      <c r="AP205" s="127"/>
      <c r="AQ205" s="127"/>
      <c r="AR205" s="127"/>
      <c r="AS205" s="127"/>
      <c r="AT205" s="127"/>
      <c r="AU205" s="127"/>
      <c r="AV205" s="127"/>
      <c r="AW205" s="325"/>
      <c r="AX205" s="325"/>
      <c r="AY205" s="325"/>
      <c r="AZ205" s="325"/>
      <c r="BA205" s="436"/>
    </row>
    <row r="206" spans="1:53" ht="26.25" customHeight="1" x14ac:dyDescent="0.25">
      <c r="A206" s="1166" t="s">
        <v>651</v>
      </c>
      <c r="B206" s="1167"/>
      <c r="C206" s="1167"/>
      <c r="D206" s="1167"/>
      <c r="E206" s="1167"/>
      <c r="F206" s="1167"/>
      <c r="G206" s="1167"/>
      <c r="H206" s="1167"/>
      <c r="I206" s="1167"/>
      <c r="J206" s="1167"/>
      <c r="K206" s="1167"/>
      <c r="L206" s="1168"/>
      <c r="M206" s="1169"/>
      <c r="N206" s="1170"/>
      <c r="O206" s="1170"/>
      <c r="P206" s="1170"/>
      <c r="Q206" s="1171"/>
      <c r="R206" s="466"/>
      <c r="S206" s="473" t="str">
        <f>IF(ISBLANK(M206),"",VLOOKUP(M206,VEvidence,2,FALSE))</f>
        <v/>
      </c>
      <c r="T206" s="251" t="s">
        <v>652</v>
      </c>
      <c r="U206" s="466"/>
      <c r="V206" s="466"/>
      <c r="W206" s="468"/>
      <c r="X206" s="466"/>
      <c r="Y206" s="466"/>
      <c r="Z206" s="466"/>
      <c r="AA206" s="466"/>
      <c r="AB206" s="466"/>
      <c r="AC206" s="466"/>
      <c r="AD206" s="471"/>
      <c r="AE206" s="127"/>
      <c r="AF206" s="127"/>
      <c r="AG206" s="127"/>
      <c r="AH206" s="127"/>
      <c r="AI206" s="127"/>
      <c r="AJ206" s="127"/>
      <c r="AK206" s="127"/>
      <c r="AL206" s="127"/>
      <c r="AM206" s="127"/>
      <c r="AN206" s="127"/>
      <c r="AO206" s="127"/>
      <c r="AP206" s="127"/>
      <c r="AQ206" s="127"/>
      <c r="AR206" s="127"/>
      <c r="AS206" s="127"/>
      <c r="AT206" s="127"/>
      <c r="AU206" s="127"/>
      <c r="AV206" s="127"/>
      <c r="AW206" s="325"/>
      <c r="AX206" s="325"/>
      <c r="AY206" s="325"/>
      <c r="AZ206" s="325"/>
      <c r="BA206" s="436"/>
    </row>
    <row r="207" spans="1:53" ht="26.25" customHeight="1" x14ac:dyDescent="0.25">
      <c r="A207" s="1172" t="s">
        <v>653</v>
      </c>
      <c r="B207" s="1173"/>
      <c r="C207" s="1173"/>
      <c r="D207" s="1173"/>
      <c r="E207" s="1173"/>
      <c r="F207" s="1173"/>
      <c r="G207" s="1173"/>
      <c r="H207" s="1173"/>
      <c r="I207" s="1173"/>
      <c r="J207" s="1173"/>
      <c r="K207" s="1173"/>
      <c r="L207" s="1173"/>
      <c r="M207" s="1173"/>
      <c r="N207" s="1173"/>
      <c r="O207" s="1173"/>
      <c r="P207" s="1173"/>
      <c r="Q207" s="1174"/>
      <c r="R207" s="466"/>
      <c r="S207" s="472" t="str">
        <f>IF(ISBLANK(A208),"",A208)</f>
        <v/>
      </c>
      <c r="T207" s="438" t="s">
        <v>193</v>
      </c>
      <c r="U207" s="466"/>
      <c r="V207" s="466"/>
      <c r="W207" s="466"/>
      <c r="X207" s="466"/>
      <c r="Y207" s="466"/>
      <c r="Z207" s="466"/>
      <c r="AA207" s="466"/>
      <c r="AB207" s="466"/>
      <c r="AC207" s="466"/>
      <c r="AD207" s="471"/>
      <c r="AE207" s="127"/>
      <c r="AF207" s="127"/>
      <c r="AG207" s="127"/>
      <c r="AH207" s="127"/>
      <c r="AI207" s="127"/>
      <c r="AJ207" s="127"/>
      <c r="AK207" s="127"/>
      <c r="AL207" s="127"/>
      <c r="AM207" s="127"/>
      <c r="AN207" s="127"/>
      <c r="AO207" s="127"/>
      <c r="AP207" s="127"/>
      <c r="AQ207" s="127"/>
      <c r="AR207" s="127"/>
      <c r="AS207" s="127"/>
      <c r="AT207" s="127"/>
      <c r="AU207" s="127"/>
      <c r="AV207" s="127"/>
      <c r="AW207" s="325"/>
      <c r="AX207" s="325"/>
      <c r="AY207" s="325"/>
      <c r="AZ207" s="325"/>
      <c r="BA207" s="436"/>
    </row>
    <row r="208" spans="1:53" ht="26.25" customHeight="1" x14ac:dyDescent="0.25">
      <c r="A208" s="1175"/>
      <c r="B208" s="1152"/>
      <c r="C208" s="1152"/>
      <c r="D208" s="1152"/>
      <c r="E208" s="1152"/>
      <c r="F208" s="1152"/>
      <c r="G208" s="1152"/>
      <c r="H208" s="1152"/>
      <c r="I208" s="1152"/>
      <c r="J208" s="1152"/>
      <c r="K208" s="1152"/>
      <c r="L208" s="1152"/>
      <c r="M208" s="1152"/>
      <c r="N208" s="1152"/>
      <c r="O208" s="1152"/>
      <c r="P208" s="1152"/>
      <c r="Q208" s="1153"/>
      <c r="R208" s="466"/>
      <c r="S208" s="466"/>
      <c r="T208" s="475"/>
      <c r="U208" s="466"/>
      <c r="V208" s="466"/>
      <c r="W208" s="466"/>
      <c r="X208" s="466"/>
      <c r="Y208" s="466"/>
      <c r="Z208" s="466"/>
      <c r="AA208" s="466"/>
      <c r="AB208" s="466"/>
      <c r="AC208" s="466"/>
      <c r="AD208" s="471"/>
      <c r="AE208" s="127"/>
      <c r="AF208" s="127"/>
      <c r="AG208" s="127"/>
      <c r="AH208" s="127"/>
      <c r="AI208" s="127"/>
      <c r="AJ208" s="127"/>
      <c r="AK208" s="127"/>
      <c r="AL208" s="127"/>
      <c r="AM208" s="127"/>
      <c r="AN208" s="127"/>
      <c r="AO208" s="127"/>
      <c r="AP208" s="127"/>
      <c r="AQ208" s="127"/>
      <c r="AR208" s="127"/>
      <c r="AS208" s="127"/>
      <c r="AT208" s="127"/>
      <c r="AU208" s="127"/>
      <c r="AV208" s="127"/>
      <c r="AW208" s="325"/>
      <c r="AX208" s="325"/>
      <c r="AY208" s="325"/>
      <c r="AZ208" s="325"/>
      <c r="BA208" s="436"/>
    </row>
    <row r="209" spans="1:52" ht="26.25" customHeight="1" x14ac:dyDescent="0.25">
      <c r="A209" s="1176"/>
      <c r="B209" s="1177"/>
      <c r="C209" s="1177"/>
      <c r="D209" s="1177"/>
      <c r="E209" s="1177"/>
      <c r="F209" s="1177"/>
      <c r="G209" s="1177"/>
      <c r="H209" s="1177"/>
      <c r="I209" s="1177"/>
      <c r="J209" s="1177"/>
      <c r="K209" s="1177"/>
      <c r="L209" s="1177"/>
      <c r="M209" s="1177"/>
      <c r="N209" s="1177"/>
      <c r="O209" s="1177"/>
      <c r="P209" s="1177"/>
      <c r="Q209" s="1178"/>
      <c r="R209" s="466"/>
      <c r="S209" s="466"/>
      <c r="T209" s="475"/>
      <c r="U209" s="466"/>
      <c r="V209" s="466"/>
      <c r="W209" s="466"/>
      <c r="X209" s="466"/>
      <c r="Y209" s="466"/>
      <c r="Z209" s="466"/>
      <c r="AA209" s="466"/>
      <c r="AB209" s="466"/>
      <c r="AC209" s="466"/>
      <c r="AD209" s="471"/>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row>
    <row r="210" spans="1:52" ht="26.25" customHeight="1" x14ac:dyDescent="0.25">
      <c r="A210" s="1179" t="s">
        <v>654</v>
      </c>
      <c r="B210" s="1180"/>
      <c r="C210" s="1180"/>
      <c r="D210" s="1180"/>
      <c r="E210" s="1180"/>
      <c r="F210" s="1180"/>
      <c r="G210" s="1180"/>
      <c r="H210" s="1180"/>
      <c r="I210" s="1180"/>
      <c r="J210" s="1180"/>
      <c r="K210" s="1180"/>
      <c r="L210" s="1180"/>
      <c r="M210" s="1180"/>
      <c r="N210" s="1180"/>
      <c r="O210" s="1180"/>
      <c r="P210" s="1180"/>
      <c r="Q210" s="1181"/>
      <c r="R210" s="466"/>
      <c r="S210" s="472" t="str">
        <f>IF(ISBLANK(A211),"",A211)</f>
        <v/>
      </c>
      <c r="T210" s="475" t="s">
        <v>590</v>
      </c>
      <c r="U210" s="466"/>
      <c r="V210" s="466"/>
      <c r="W210" s="466"/>
      <c r="X210" s="466"/>
      <c r="Y210" s="466"/>
      <c r="Z210" s="466"/>
      <c r="AA210" s="466"/>
      <c r="AB210" s="466"/>
      <c r="AC210" s="466"/>
      <c r="AD210" s="471"/>
      <c r="AE210" s="325"/>
      <c r="AF210" s="325"/>
      <c r="AG210" s="325"/>
      <c r="AH210" s="325"/>
      <c r="AI210" s="325"/>
      <c r="AJ210" s="325"/>
      <c r="AK210" s="325"/>
      <c r="AL210" s="325"/>
      <c r="AM210" s="325"/>
      <c r="AN210" s="325"/>
      <c r="AO210" s="325"/>
      <c r="AP210" s="325"/>
      <c r="AQ210" s="325"/>
      <c r="AR210" s="325"/>
      <c r="AS210" s="325"/>
      <c r="AT210" s="325"/>
      <c r="AU210" s="325"/>
      <c r="AV210" s="325"/>
      <c r="AW210" s="127"/>
      <c r="AX210" s="127"/>
      <c r="AY210" s="127"/>
      <c r="AZ210" s="127"/>
    </row>
    <row r="211" spans="1:52" ht="26.25" customHeight="1" x14ac:dyDescent="0.25">
      <c r="A211" s="1175"/>
      <c r="B211" s="1152"/>
      <c r="C211" s="1152"/>
      <c r="D211" s="1152"/>
      <c r="E211" s="1152"/>
      <c r="F211" s="1152"/>
      <c r="G211" s="1152"/>
      <c r="H211" s="1152"/>
      <c r="I211" s="1152"/>
      <c r="J211" s="1152"/>
      <c r="K211" s="1152"/>
      <c r="L211" s="1152"/>
      <c r="M211" s="1152"/>
      <c r="N211" s="1152"/>
      <c r="O211" s="1152"/>
      <c r="P211" s="1152"/>
      <c r="Q211" s="1182"/>
      <c r="R211" s="466"/>
      <c r="U211" s="466"/>
      <c r="V211" s="466"/>
      <c r="W211" s="466"/>
      <c r="X211" s="466"/>
      <c r="Y211" s="466"/>
      <c r="Z211" s="466"/>
      <c r="AA211" s="474"/>
      <c r="AB211" s="474"/>
      <c r="AC211" s="474"/>
      <c r="AD211" s="471"/>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127"/>
      <c r="AZ211" s="127"/>
    </row>
    <row r="212" spans="1:52" ht="26.25" customHeight="1" thickBot="1" x14ac:dyDescent="0.3">
      <c r="A212" s="1154"/>
      <c r="B212" s="1155"/>
      <c r="C212" s="1155"/>
      <c r="D212" s="1155"/>
      <c r="E212" s="1155"/>
      <c r="F212" s="1155"/>
      <c r="G212" s="1155"/>
      <c r="H212" s="1155"/>
      <c r="I212" s="1155"/>
      <c r="J212" s="1155"/>
      <c r="K212" s="1155"/>
      <c r="L212" s="1155"/>
      <c r="M212" s="1155"/>
      <c r="N212" s="1155"/>
      <c r="O212" s="1155"/>
      <c r="P212" s="1155"/>
      <c r="Q212" s="1156"/>
      <c r="R212" s="466"/>
      <c r="S212" s="466"/>
      <c r="T212" s="466"/>
      <c r="U212" s="466"/>
      <c r="V212" s="466"/>
      <c r="W212" s="466"/>
      <c r="X212" s="210"/>
      <c r="Y212" s="210"/>
      <c r="Z212" s="210"/>
      <c r="AA212" s="464"/>
      <c r="AB212" s="464"/>
      <c r="AC212" s="464"/>
      <c r="AD212" s="471"/>
      <c r="AE212" s="325"/>
      <c r="AF212" s="325"/>
      <c r="AG212" s="325"/>
      <c r="AH212" s="325"/>
      <c r="AI212" s="325"/>
      <c r="AJ212" s="325"/>
      <c r="AK212" s="325"/>
      <c r="AL212" s="325"/>
      <c r="AM212" s="325"/>
      <c r="AN212" s="325"/>
      <c r="AO212" s="325"/>
      <c r="AP212" s="325"/>
      <c r="AQ212" s="325"/>
      <c r="AR212" s="325"/>
      <c r="AS212" s="325"/>
      <c r="AT212" s="325"/>
      <c r="AU212" s="325"/>
      <c r="AV212" s="325"/>
      <c r="AW212" s="127"/>
      <c r="AX212" s="127"/>
      <c r="AY212" s="127"/>
      <c r="AZ212" s="127"/>
    </row>
    <row r="213" spans="1:52" ht="26.25" customHeight="1" x14ac:dyDescent="0.2">
      <c r="A213" s="1148" t="s">
        <v>656</v>
      </c>
      <c r="B213" s="1149"/>
      <c r="C213" s="1149"/>
      <c r="D213" s="1149"/>
      <c r="E213" s="1149"/>
      <c r="F213" s="1149"/>
      <c r="G213" s="1149"/>
      <c r="H213" s="1149"/>
      <c r="I213" s="1149"/>
      <c r="J213" s="1149"/>
      <c r="K213" s="1149"/>
      <c r="L213" s="1149"/>
      <c r="M213" s="1149"/>
      <c r="N213" s="1149"/>
      <c r="O213" s="1149"/>
      <c r="P213" s="1149"/>
      <c r="Q213" s="1150"/>
      <c r="S213" s="478" t="str">
        <f>IF(ISBLANK(A214),"",A214)</f>
        <v/>
      </c>
      <c r="T213" s="479" t="s">
        <v>657</v>
      </c>
      <c r="W213" s="466"/>
      <c r="X213" s="464"/>
      <c r="Y213" s="464"/>
      <c r="Z213" s="464"/>
      <c r="AA213" s="466"/>
      <c r="AB213" s="466"/>
      <c r="AC213" s="466"/>
      <c r="AD213" s="210"/>
      <c r="AE213" s="325"/>
      <c r="AF213" s="325"/>
      <c r="AG213" s="325"/>
      <c r="AH213" s="325"/>
      <c r="AI213" s="325"/>
      <c r="AJ213" s="325"/>
      <c r="AK213" s="325"/>
      <c r="AL213" s="325"/>
      <c r="AM213" s="325"/>
      <c r="AN213" s="325"/>
      <c r="AO213" s="325"/>
      <c r="AP213" s="325"/>
      <c r="AQ213" s="325"/>
      <c r="AR213" s="325"/>
      <c r="AS213" s="325"/>
      <c r="AT213" s="325"/>
      <c r="AU213" s="325"/>
      <c r="AV213" s="325"/>
      <c r="AW213" s="127"/>
      <c r="AX213" s="127"/>
      <c r="AY213" s="127"/>
      <c r="AZ213" s="127"/>
    </row>
    <row r="214" spans="1:52" ht="26.25" customHeight="1" x14ac:dyDescent="0.25">
      <c r="A214" s="1175"/>
      <c r="B214" s="1152"/>
      <c r="C214" s="1152"/>
      <c r="D214" s="1152"/>
      <c r="E214" s="1152"/>
      <c r="F214" s="1152"/>
      <c r="G214" s="1152"/>
      <c r="H214" s="1152"/>
      <c r="I214" s="1152"/>
      <c r="J214" s="1152"/>
      <c r="K214" s="1152"/>
      <c r="L214" s="1152"/>
      <c r="M214" s="1152"/>
      <c r="N214" s="1152"/>
      <c r="O214" s="1152"/>
      <c r="P214" s="1152"/>
      <c r="Q214" s="1153"/>
      <c r="W214" s="466"/>
      <c r="X214" s="466"/>
      <c r="Y214" s="466"/>
      <c r="Z214" s="466"/>
      <c r="AA214" s="466"/>
      <c r="AB214" s="466"/>
      <c r="AC214" s="466"/>
      <c r="AD214" s="471"/>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row>
    <row r="215" spans="1:52" ht="26.25" customHeight="1" thickBot="1" x14ac:dyDescent="0.3">
      <c r="A215" s="1154"/>
      <c r="B215" s="1155"/>
      <c r="C215" s="1155"/>
      <c r="D215" s="1155"/>
      <c r="E215" s="1155"/>
      <c r="F215" s="1155"/>
      <c r="G215" s="1155"/>
      <c r="H215" s="1155"/>
      <c r="I215" s="1155"/>
      <c r="J215" s="1155"/>
      <c r="K215" s="1155"/>
      <c r="L215" s="1155"/>
      <c r="M215" s="1155"/>
      <c r="N215" s="1155"/>
      <c r="O215" s="1155"/>
      <c r="P215" s="1155"/>
      <c r="Q215" s="1156"/>
      <c r="R215" s="436"/>
      <c r="S215" s="436"/>
      <c r="T215" s="436"/>
      <c r="U215" s="436"/>
      <c r="V215" s="436"/>
      <c r="W215" s="466"/>
      <c r="X215" s="466"/>
      <c r="Y215" s="466"/>
      <c r="Z215" s="466"/>
      <c r="AA215" s="466"/>
      <c r="AB215" s="466"/>
      <c r="AC215" s="466"/>
      <c r="AD215" s="471"/>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row>
    <row r="216" spans="1:52" ht="26.25" customHeight="1" x14ac:dyDescent="0.2">
      <c r="A216" s="1157" t="s">
        <v>658</v>
      </c>
      <c r="B216" s="1158"/>
      <c r="C216" s="1158"/>
      <c r="D216" s="1158"/>
      <c r="E216" s="1158"/>
      <c r="F216" s="1158"/>
      <c r="G216" s="1158"/>
      <c r="H216" s="1158"/>
      <c r="I216" s="1158"/>
      <c r="J216" s="1158"/>
      <c r="K216" s="1158"/>
      <c r="L216" s="1158"/>
      <c r="M216" s="1158"/>
      <c r="N216" s="1158"/>
      <c r="O216" s="1158"/>
      <c r="P216" s="1158"/>
      <c r="Q216" s="1159"/>
      <c r="R216" s="476"/>
      <c r="S216" s="481"/>
      <c r="T216" s="482"/>
      <c r="U216" s="476"/>
      <c r="V216" s="476"/>
      <c r="W216" s="210"/>
      <c r="X216" s="466"/>
      <c r="Y216" s="466"/>
      <c r="Z216" s="466"/>
      <c r="AA216" s="466"/>
      <c r="AB216" s="466"/>
      <c r="AC216" s="466"/>
      <c r="AD216" s="210"/>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row>
    <row r="217" spans="1:52" ht="26.25" customHeight="1" x14ac:dyDescent="0.2">
      <c r="A217" s="1160"/>
      <c r="B217" s="1161"/>
      <c r="C217" s="1161"/>
      <c r="D217" s="1161"/>
      <c r="E217" s="1161"/>
      <c r="F217" s="1161"/>
      <c r="G217" s="1161"/>
      <c r="H217" s="1161"/>
      <c r="I217" s="1161"/>
      <c r="J217" s="1161"/>
      <c r="K217" s="1161"/>
      <c r="L217" s="1161"/>
      <c r="M217" s="1161"/>
      <c r="N217" s="1161"/>
      <c r="O217" s="1161"/>
      <c r="P217" s="1161"/>
      <c r="Q217" s="1162"/>
      <c r="R217" s="195"/>
      <c r="S217" s="483" t="str">
        <f>IF(ISBLANK(A217),"",CONCATENATE(S216,A217))</f>
        <v/>
      </c>
      <c r="T217" s="438" t="s">
        <v>195</v>
      </c>
      <c r="U217" s="195"/>
      <c r="V217" s="195"/>
      <c r="W217" s="464"/>
      <c r="X217" s="466"/>
      <c r="Y217" s="466"/>
      <c r="Z217" s="466"/>
      <c r="AA217" s="466"/>
      <c r="AB217" s="466"/>
      <c r="AC217" s="466"/>
      <c r="AD217" s="210"/>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row>
    <row r="218" spans="1:52" ht="26.25" customHeight="1" thickBot="1" x14ac:dyDescent="0.25">
      <c r="A218" s="1163"/>
      <c r="B218" s="1164"/>
      <c r="C218" s="1164"/>
      <c r="D218" s="1164"/>
      <c r="E218" s="1164"/>
      <c r="F218" s="1164"/>
      <c r="G218" s="1164"/>
      <c r="H218" s="1164"/>
      <c r="I218" s="1164"/>
      <c r="J218" s="1164"/>
      <c r="K218" s="1164"/>
      <c r="L218" s="1164"/>
      <c r="M218" s="1164"/>
      <c r="N218" s="1164"/>
      <c r="O218" s="1164"/>
      <c r="P218" s="1164"/>
      <c r="Q218" s="1165"/>
      <c r="R218" s="195"/>
      <c r="S218" s="210"/>
      <c r="T218" s="210"/>
      <c r="U218" s="210"/>
      <c r="V218" s="210"/>
      <c r="W218" s="466"/>
      <c r="X218" s="466"/>
      <c r="Y218" s="466"/>
      <c r="Z218" s="466"/>
      <c r="AA218" s="466"/>
      <c r="AB218" s="466"/>
      <c r="AC218" s="466"/>
      <c r="AD218" s="210"/>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row>
    <row r="219" spans="1:52" ht="26.25" customHeight="1" x14ac:dyDescent="0.2">
      <c r="A219" s="484" t="e">
        <f>$A$1</f>
        <v>#N/A</v>
      </c>
      <c r="B219" s="210"/>
      <c r="C219" s="210"/>
      <c r="D219" s="210"/>
      <c r="E219" s="210"/>
      <c r="F219" s="210"/>
      <c r="G219" s="210"/>
      <c r="H219" s="210"/>
      <c r="I219" s="210"/>
      <c r="J219" s="210"/>
      <c r="K219" s="210"/>
      <c r="L219" s="210"/>
      <c r="M219" s="210"/>
      <c r="N219" s="210"/>
      <c r="O219" s="210"/>
      <c r="P219" s="954"/>
      <c r="Q219" s="954"/>
      <c r="R219" s="474"/>
      <c r="S219" s="474"/>
      <c r="T219" s="474"/>
      <c r="U219" s="474"/>
      <c r="V219" s="474"/>
      <c r="W219" s="466"/>
      <c r="X219" s="466"/>
      <c r="Y219" s="466"/>
      <c r="Z219" s="466"/>
      <c r="AA219" s="466"/>
      <c r="AB219" s="466"/>
      <c r="AC219" s="466"/>
      <c r="AD219" s="210"/>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row>
    <row r="220" spans="1:52" ht="26.25" customHeight="1" thickBot="1" x14ac:dyDescent="0.25">
      <c r="A220" s="1259" t="s">
        <v>204</v>
      </c>
      <c r="B220" s="1260"/>
      <c r="C220" s="1260"/>
      <c r="D220" s="1260"/>
      <c r="E220" s="1260"/>
      <c r="F220" s="1260"/>
      <c r="G220" s="1260"/>
      <c r="H220" s="1260"/>
      <c r="I220" s="1260"/>
      <c r="J220" s="1260"/>
      <c r="K220" s="1260"/>
      <c r="L220" s="1260"/>
      <c r="M220" s="1260"/>
      <c r="N220" s="1261" t="str">
        <f>$N$5</f>
        <v>2019 Report Year</v>
      </c>
      <c r="O220" s="1262"/>
      <c r="P220" s="1262"/>
      <c r="Q220" s="1262"/>
      <c r="R220" s="480"/>
      <c r="S220" s="480"/>
      <c r="T220" s="480"/>
      <c r="U220" s="480"/>
      <c r="V220" s="480"/>
      <c r="W220" s="466"/>
      <c r="X220" s="466"/>
      <c r="Y220" s="466"/>
      <c r="Z220" s="466"/>
      <c r="AA220" s="466"/>
      <c r="AB220" s="466"/>
      <c r="AC220" s="466"/>
      <c r="AD220" s="210"/>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row>
    <row r="221" spans="1:52" ht="26.25" customHeight="1" x14ac:dyDescent="0.2">
      <c r="A221" s="1246" t="e">
        <f>IF(AND(OR(ISNA(cap_exp_contact),TRIM(cap_exp_contact)=""),NOT(ISBLANK(code_7594))),"The Capital Expenditure Contact information has NOT been provided.  Please complete this information now.","")</f>
        <v>#N/A</v>
      </c>
      <c r="B221" s="1247"/>
      <c r="C221" s="1247"/>
      <c r="D221" s="1247"/>
      <c r="E221" s="1247"/>
      <c r="F221" s="1247"/>
      <c r="G221" s="1247"/>
      <c r="H221" s="1247"/>
      <c r="I221" s="1247"/>
      <c r="J221" s="1247"/>
      <c r="K221" s="1247"/>
      <c r="L221" s="1247"/>
      <c r="M221" s="1247"/>
      <c r="N221" s="422" t="s">
        <v>609</v>
      </c>
      <c r="O221" s="423" t="e">
        <f>$O$6</f>
        <v>#N/A</v>
      </c>
      <c r="P221" s="424" t="s">
        <v>610</v>
      </c>
      <c r="Q221" s="425"/>
      <c r="R221" s="325"/>
      <c r="S221" s="210"/>
      <c r="T221" s="210"/>
      <c r="U221" s="210"/>
      <c r="V221" s="210"/>
      <c r="W221" s="466"/>
      <c r="X221" s="466"/>
      <c r="Y221" s="466"/>
      <c r="Z221" s="466"/>
      <c r="AA221" s="466"/>
      <c r="AB221" s="466"/>
      <c r="AC221" s="466"/>
      <c r="AD221" s="210"/>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row>
    <row r="222" spans="1:52" ht="26.25" customHeight="1" thickBot="1" x14ac:dyDescent="0.25">
      <c r="A222" s="1248" t="s">
        <v>197</v>
      </c>
      <c r="B222" s="1249"/>
      <c r="C222" s="1249"/>
      <c r="D222" s="1249"/>
      <c r="E222" s="1250"/>
      <c r="F222" s="1251"/>
      <c r="G222" s="1251"/>
      <c r="H222" s="1251"/>
      <c r="I222" s="1251"/>
      <c r="J222" s="1251"/>
      <c r="K222" s="1251"/>
      <c r="L222" s="1252"/>
      <c r="M222" s="427"/>
      <c r="N222" s="1253" t="s">
        <v>611</v>
      </c>
      <c r="O222" s="1254"/>
      <c r="P222" s="1254"/>
      <c r="Q222" s="1255"/>
      <c r="R222" s="325"/>
      <c r="S222" s="428" t="str">
        <f>IF(ISBLANK(E222),"",E222)</f>
        <v/>
      </c>
      <c r="T222" s="154" t="s">
        <v>501</v>
      </c>
      <c r="U222" s="325"/>
      <c r="V222" s="325"/>
      <c r="W222" s="466"/>
      <c r="X222" s="466"/>
      <c r="Y222" s="466"/>
      <c r="Z222" s="466"/>
      <c r="AA222" s="210"/>
      <c r="AB222" s="210"/>
      <c r="AC222" s="210"/>
      <c r="AD222" s="210"/>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row>
    <row r="223" spans="1:52" ht="26.25" customHeight="1" x14ac:dyDescent="0.2">
      <c r="A223" s="1256" t="s">
        <v>612</v>
      </c>
      <c r="B223" s="1257"/>
      <c r="C223" s="1257"/>
      <c r="D223" s="1258"/>
      <c r="E223" s="1234"/>
      <c r="F223" s="1235"/>
      <c r="G223" s="1235"/>
      <c r="H223" s="1235"/>
      <c r="I223" s="1235"/>
      <c r="J223" s="1235"/>
      <c r="K223" s="1235"/>
      <c r="L223" s="1236"/>
      <c r="M223" s="1237" t="str">
        <f>IF(AND(ISBLANK(E223),OR(NOT(ISBLANK(E224)),NOT(ISBLANK(E225)),NOT(ISBLANK(E226)),NOT(ISBLANK(I227)),NOT(ISBLANK(A229)))),"This information is required.","")</f>
        <v/>
      </c>
      <c r="N223" s="1238"/>
      <c r="O223" s="1238"/>
      <c r="P223" s="1238"/>
      <c r="Q223" s="429"/>
      <c r="R223" s="325"/>
      <c r="S223" s="428" t="str">
        <f>IF(ISBLANK(E223),"",E223)</f>
        <v/>
      </c>
      <c r="T223" s="154" t="s">
        <v>185</v>
      </c>
      <c r="U223" s="325"/>
      <c r="V223" s="325"/>
      <c r="W223" s="466"/>
      <c r="X223" s="474"/>
      <c r="Y223" s="474"/>
      <c r="Z223" s="474"/>
      <c r="AA223" s="468"/>
      <c r="AB223" s="468"/>
      <c r="AC223" s="468"/>
      <c r="AD223" s="210"/>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row>
    <row r="224" spans="1:52" ht="26.25" customHeight="1" x14ac:dyDescent="0.2">
      <c r="A224" s="1222" t="s">
        <v>613</v>
      </c>
      <c r="B224" s="1223"/>
      <c r="C224" s="1223"/>
      <c r="D224" s="1224"/>
      <c r="E224" s="1234"/>
      <c r="F224" s="1235"/>
      <c r="G224" s="1235"/>
      <c r="H224" s="1235"/>
      <c r="I224" s="1235"/>
      <c r="J224" s="1235"/>
      <c r="K224" s="1235"/>
      <c r="L224" s="1236"/>
      <c r="M224" s="1237" t="str">
        <f>IF(AND(ISBLANK(E224),OR(NOT(ISBLANK(E223)),NOT(ISBLANK(E225)),NOT(ISBLANK(E226)),NOT(ISBLANK(I227)),NOT(ISBLANK(A229)))),"This information is required.","")</f>
        <v/>
      </c>
      <c r="N224" s="1238"/>
      <c r="O224" s="1238"/>
      <c r="P224" s="1238"/>
      <c r="Q224" s="429"/>
      <c r="R224" s="325"/>
      <c r="S224" s="428" t="str">
        <f>IF(ISBLANK(E224),"",E224)</f>
        <v/>
      </c>
      <c r="T224" s="154" t="s">
        <v>186</v>
      </c>
      <c r="U224" s="325"/>
      <c r="V224" s="325"/>
      <c r="W224" s="466"/>
      <c r="X224" s="480"/>
      <c r="Y224" s="480"/>
      <c r="Z224" s="480"/>
      <c r="AA224" s="466"/>
      <c r="AB224" s="466"/>
      <c r="AC224" s="466"/>
      <c r="AD224" s="210"/>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row>
    <row r="225" spans="1:51" ht="26.25" customHeight="1" x14ac:dyDescent="0.2">
      <c r="A225" s="1239" t="s">
        <v>614</v>
      </c>
      <c r="B225" s="1240"/>
      <c r="C225" s="1240"/>
      <c r="D225" s="1241"/>
      <c r="E225" s="1242"/>
      <c r="F225" s="1243"/>
      <c r="G225" s="1244" t="s">
        <v>615</v>
      </c>
      <c r="H225" s="1244"/>
      <c r="I225" s="1244"/>
      <c r="J225" s="1244"/>
      <c r="K225" s="1244"/>
      <c r="L225" s="1244"/>
      <c r="M225" s="1245" t="str">
        <f>IF(AND(ISBLANK(E225),OR(NOT(ISBLANK(E223)),NOT(ISBLANK(E224)),NOT(ISBLANK(E226)),NOT(ISBLANK(I227)),NOT(ISBLANK(A229)))),"This information is required.","")</f>
        <v/>
      </c>
      <c r="N225" s="1089"/>
      <c r="O225" s="1089"/>
      <c r="P225" s="1089"/>
      <c r="Q225" s="430"/>
      <c r="R225" s="431"/>
      <c r="S225" s="432" t="str">
        <f>IF(ISBLANK(E225),"",E225)</f>
        <v/>
      </c>
      <c r="T225" s="433" t="s">
        <v>188</v>
      </c>
      <c r="U225" s="431"/>
      <c r="V225" s="431"/>
      <c r="W225" s="466"/>
      <c r="X225" s="210"/>
      <c r="Y225" s="210"/>
      <c r="Z225" s="210"/>
      <c r="AA225" s="466"/>
      <c r="AB225" s="466"/>
      <c r="AC225" s="466"/>
      <c r="AD225" s="210"/>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row>
    <row r="226" spans="1:51" ht="26.25" customHeight="1" x14ac:dyDescent="0.2">
      <c r="A226" s="1222" t="s">
        <v>616</v>
      </c>
      <c r="B226" s="1223"/>
      <c r="C226" s="1223"/>
      <c r="D226" s="1224"/>
      <c r="E226" s="1225"/>
      <c r="F226" s="1226"/>
      <c r="G226" s="434"/>
      <c r="H226" s="435"/>
      <c r="I226" s="436"/>
      <c r="J226" s="431"/>
      <c r="K226" s="431"/>
      <c r="L226" s="431"/>
      <c r="M226" s="1089" t="str">
        <f>IF(AND(ISBLANK(E226),OR(NOT(ISBLANK(E223)),NOT(ISBLANK(E224)),NOT(ISBLANK(E225)),NOT(ISBLANK(I227)),NOT(ISBLANK(A229)))),"This information is required.","")</f>
        <v/>
      </c>
      <c r="N226" s="1089"/>
      <c r="O226" s="1089"/>
      <c r="P226" s="1089"/>
      <c r="Q226" s="430"/>
      <c r="R226" s="392"/>
      <c r="S226" s="437" t="str">
        <f>IF(ISBLANK(E226),"",E226)</f>
        <v/>
      </c>
      <c r="T226" s="438" t="s">
        <v>189</v>
      </c>
      <c r="U226" s="392"/>
      <c r="V226" s="392"/>
      <c r="W226" s="466"/>
      <c r="X226" s="210"/>
      <c r="Y226" s="210"/>
      <c r="Z226" s="210"/>
      <c r="AA226" s="466"/>
      <c r="AB226" s="466"/>
      <c r="AC226" s="466"/>
      <c r="AD226" s="210"/>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row>
    <row r="227" spans="1:51" ht="26.25" customHeight="1" thickBot="1" x14ac:dyDescent="0.25">
      <c r="A227" s="1227" t="s">
        <v>617</v>
      </c>
      <c r="B227" s="1228"/>
      <c r="C227" s="1228"/>
      <c r="D227" s="1228"/>
      <c r="E227" s="1229"/>
      <c r="F227" s="1229"/>
      <c r="G227" s="1229"/>
      <c r="H227" s="1229"/>
      <c r="I227" s="1230"/>
      <c r="J227" s="1230"/>
      <c r="K227" s="1231" t="s">
        <v>618</v>
      </c>
      <c r="L227" s="1232"/>
      <c r="M227" s="1233" t="str">
        <f>IF(AND(ISBLANK(I227),OR(NOT(ISBLANK(E223)),NOT(ISBLANK(E224)),NOT(ISBLANK(E225)),NOT(ISBLANK(E226)),NOT(ISBLANK(A229)))),"This information is required!","")</f>
        <v/>
      </c>
      <c r="N227" s="1233"/>
      <c r="O227" s="1233"/>
      <c r="P227" s="1233"/>
      <c r="Q227" s="439"/>
      <c r="R227" s="392"/>
      <c r="S227" s="437" t="str">
        <f>IF(ISBLANK(I227),"",I227)</f>
        <v/>
      </c>
      <c r="T227" s="438" t="s">
        <v>190</v>
      </c>
      <c r="U227" s="440"/>
      <c r="V227" s="440"/>
      <c r="W227" s="474"/>
      <c r="X227" s="210"/>
      <c r="Y227" s="210"/>
      <c r="Z227" s="210"/>
      <c r="AA227" s="466"/>
      <c r="AB227" s="466"/>
      <c r="AC227" s="466"/>
      <c r="AD227" s="210"/>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row>
    <row r="228" spans="1:51" ht="26.25" customHeight="1" x14ac:dyDescent="0.2">
      <c r="A228" s="1148" t="s">
        <v>620</v>
      </c>
      <c r="B228" s="1149"/>
      <c r="C228" s="1149"/>
      <c r="D228" s="1149"/>
      <c r="E228" s="1149"/>
      <c r="F228" s="1149"/>
      <c r="G228" s="1149"/>
      <c r="H228" s="1149"/>
      <c r="I228" s="1149"/>
      <c r="J228" s="1214"/>
      <c r="K228" s="1215" t="s">
        <v>693</v>
      </c>
      <c r="L228" s="1215"/>
      <c r="M228" s="1215"/>
      <c r="N228" s="1215"/>
      <c r="O228" s="1217" t="s">
        <v>621</v>
      </c>
      <c r="P228" s="1217"/>
      <c r="Q228" s="1218"/>
      <c r="R228" s="431"/>
      <c r="S228" s="437" t="str">
        <f>IF(ISBLANK(A229),"",A229)</f>
        <v/>
      </c>
      <c r="T228" s="438" t="s">
        <v>191</v>
      </c>
      <c r="U228" s="442"/>
      <c r="V228" s="442"/>
      <c r="W228" s="480"/>
      <c r="X228" s="210"/>
      <c r="Y228" s="210"/>
      <c r="Z228" s="210"/>
      <c r="AA228" s="466"/>
      <c r="AB228" s="466"/>
      <c r="AC228" s="466"/>
      <c r="AD228" s="210"/>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row>
    <row r="229" spans="1:51" ht="26.25" customHeight="1" x14ac:dyDescent="0.2">
      <c r="A229" s="1160"/>
      <c r="B229" s="1161"/>
      <c r="C229" s="1161"/>
      <c r="D229" s="1161"/>
      <c r="E229" s="1161"/>
      <c r="F229" s="1161"/>
      <c r="G229" s="1161"/>
      <c r="H229" s="1161"/>
      <c r="I229" s="1161"/>
      <c r="J229" s="1202"/>
      <c r="K229" s="1216"/>
      <c r="L229" s="1216"/>
      <c r="M229" s="1216"/>
      <c r="N229" s="1216"/>
      <c r="O229" s="443"/>
      <c r="P229" s="229" t="s">
        <v>269</v>
      </c>
      <c r="Q229" s="444" t="s">
        <v>270</v>
      </c>
      <c r="R229" s="431"/>
      <c r="S229" s="437" t="str">
        <f>IF(ISBLANK(A232),"",A232)</f>
        <v/>
      </c>
      <c r="T229" s="445" t="s">
        <v>192</v>
      </c>
      <c r="U229" s="442"/>
      <c r="V229" s="442"/>
      <c r="W229" s="210"/>
      <c r="X229" s="210"/>
      <c r="Y229" s="210"/>
      <c r="Z229" s="210"/>
      <c r="AA229" s="466"/>
      <c r="AB229" s="466"/>
      <c r="AC229" s="466"/>
      <c r="AD229" s="210"/>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row>
    <row r="230" spans="1:51" ht="26.25" customHeight="1" x14ac:dyDescent="0.2">
      <c r="A230" s="1176"/>
      <c r="B230" s="1177"/>
      <c r="C230" s="1177"/>
      <c r="D230" s="1177"/>
      <c r="E230" s="1177"/>
      <c r="F230" s="1177"/>
      <c r="G230" s="1177"/>
      <c r="H230" s="1177"/>
      <c r="I230" s="1177"/>
      <c r="J230" s="1203"/>
      <c r="K230" s="1204" t="s">
        <v>622</v>
      </c>
      <c r="L230" s="1205"/>
      <c r="M230" s="1205"/>
      <c r="N230" s="1205"/>
      <c r="O230" s="1206"/>
      <c r="P230" s="451"/>
      <c r="Q230" s="487"/>
      <c r="R230" s="440" t="str">
        <f>IF(COUNTBLANK(P230:Q230)=2,"Please enter response.",IF(COUNTBLANK(P230:Q230)&lt;&gt;1,"Please VERIFY response.",""))</f>
        <v>Please enter response.</v>
      </c>
      <c r="S230" s="452" t="str">
        <f>IF(AND(ISBLANK(P230),ISBLANK(Q230)),"",IF(ISBLANK(P230),0,1))</f>
        <v/>
      </c>
      <c r="T230" s="251" t="s">
        <v>592</v>
      </c>
      <c r="U230" s="213"/>
      <c r="V230" s="213"/>
      <c r="W230" s="210"/>
      <c r="X230" s="431"/>
      <c r="Y230" s="431"/>
      <c r="Z230" s="431"/>
      <c r="AA230" s="466"/>
      <c r="AB230" s="466"/>
      <c r="AC230" s="466"/>
      <c r="AD230" s="210"/>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row>
    <row r="231" spans="1:51" ht="26.25" customHeight="1" x14ac:dyDescent="0.2">
      <c r="A231" s="1219" t="s">
        <v>623</v>
      </c>
      <c r="B231" s="1220"/>
      <c r="C231" s="1220"/>
      <c r="D231" s="1220"/>
      <c r="E231" s="1220"/>
      <c r="F231" s="1220"/>
      <c r="G231" s="1220"/>
      <c r="H231" s="1220"/>
      <c r="I231" s="1220"/>
      <c r="J231" s="1221"/>
      <c r="K231" s="1204" t="s">
        <v>624</v>
      </c>
      <c r="L231" s="1205"/>
      <c r="M231" s="1205"/>
      <c r="N231" s="1205"/>
      <c r="O231" s="1206"/>
      <c r="P231" s="451"/>
      <c r="Q231" s="487"/>
      <c r="R231" s="440" t="str">
        <f>IF(COUNTBLANK(P231:Q231)=2,"Please enter response.",IF(COUNTBLANK(P231:Q231)&lt;&gt;1,"Please VERIFY response.",""))</f>
        <v>Please enter response.</v>
      </c>
      <c r="S231" s="452" t="str">
        <f>IF(AND(ISBLANK(P231),ISBLANK(Q231)),"",IF(ISBLANK(P231),0,1))</f>
        <v/>
      </c>
      <c r="T231" s="251" t="s">
        <v>593</v>
      </c>
      <c r="U231" s="213"/>
      <c r="V231" s="213"/>
      <c r="W231" s="210"/>
      <c r="X231" s="210"/>
      <c r="Y231" s="210"/>
      <c r="Z231" s="210"/>
      <c r="AA231" s="466"/>
      <c r="AB231" s="466"/>
      <c r="AC231" s="466"/>
      <c r="AD231" s="210"/>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row>
    <row r="232" spans="1:51" ht="26.25" customHeight="1" x14ac:dyDescent="0.2">
      <c r="A232" s="1160"/>
      <c r="B232" s="1161"/>
      <c r="C232" s="1161"/>
      <c r="D232" s="1161"/>
      <c r="E232" s="1161"/>
      <c r="F232" s="1161"/>
      <c r="G232" s="1161"/>
      <c r="H232" s="1161"/>
      <c r="I232" s="1161"/>
      <c r="J232" s="1202"/>
      <c r="K232" s="1204" t="s">
        <v>625</v>
      </c>
      <c r="L232" s="1205"/>
      <c r="M232" s="1205"/>
      <c r="N232" s="1205"/>
      <c r="O232" s="1206"/>
      <c r="P232" s="451"/>
      <c r="Q232" s="487"/>
      <c r="R232" s="440" t="str">
        <f>IF(COUNTBLANK(P232:Q232)=2,"Please enter response.",IF(COUNTBLANK(P232:Q232)&lt;&gt;1,"Please VERIFY response.",""))</f>
        <v>Please enter response.</v>
      </c>
      <c r="S232" s="452" t="str">
        <f>IF(AND(ISBLANK(P232),ISBLANK(Q232)),"",IF(ISBLANK(P232),0,1))</f>
        <v/>
      </c>
      <c r="T232" s="251" t="s">
        <v>594</v>
      </c>
      <c r="U232" s="213"/>
      <c r="V232" s="213"/>
      <c r="W232" s="210"/>
      <c r="X232" s="210"/>
      <c r="Y232" s="210"/>
      <c r="Z232" s="210"/>
      <c r="AA232" s="466"/>
      <c r="AB232" s="466"/>
      <c r="AC232" s="466"/>
      <c r="AD232" s="210"/>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row>
    <row r="233" spans="1:51" ht="26.25" customHeight="1" x14ac:dyDescent="0.2">
      <c r="A233" s="1176"/>
      <c r="B233" s="1177"/>
      <c r="C233" s="1177"/>
      <c r="D233" s="1177"/>
      <c r="E233" s="1177"/>
      <c r="F233" s="1177"/>
      <c r="G233" s="1177"/>
      <c r="H233" s="1177"/>
      <c r="I233" s="1177"/>
      <c r="J233" s="1203"/>
      <c r="K233" s="1204" t="s">
        <v>626</v>
      </c>
      <c r="L233" s="1205"/>
      <c r="M233" s="1205"/>
      <c r="N233" s="1205"/>
      <c r="O233" s="1206"/>
      <c r="P233" s="451"/>
      <c r="Q233" s="487"/>
      <c r="R233" s="440" t="str">
        <f>IF(COUNTBLANK(P233:Q233)=2,"Please enter response.",IF(COUNTBLANK(P233:Q233)&lt;&gt;1,"Please VERIFY response.",""))</f>
        <v>Please enter response.</v>
      </c>
      <c r="S233" s="452" t="str">
        <f>IF(AND(ISBLANK(P233),ISBLANK(Q233)),"",IF(ISBLANK(P233),0,1))</f>
        <v/>
      </c>
      <c r="T233" s="251" t="s">
        <v>595</v>
      </c>
      <c r="U233" s="213"/>
      <c r="V233" s="213"/>
      <c r="W233" s="210"/>
      <c r="X233" s="210"/>
      <c r="Y233" s="210"/>
      <c r="Z233" s="210"/>
      <c r="AA233" s="210"/>
      <c r="AB233" s="210"/>
      <c r="AC233" s="210"/>
      <c r="AD233" s="210"/>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row>
    <row r="234" spans="1:51" ht="26.25" customHeight="1" x14ac:dyDescent="0.2">
      <c r="A234" s="1207" t="s">
        <v>627</v>
      </c>
      <c r="B234" s="1208"/>
      <c r="C234" s="1208"/>
      <c r="D234" s="1208"/>
      <c r="E234" s="1208"/>
      <c r="F234" s="1208"/>
      <c r="G234" s="1208"/>
      <c r="H234" s="1208"/>
      <c r="I234" s="1208"/>
      <c r="J234" s="1208"/>
      <c r="K234" s="1208"/>
      <c r="L234" s="1208"/>
      <c r="M234" s="1208"/>
      <c r="N234" s="1208"/>
      <c r="O234" s="1208"/>
      <c r="P234" s="1208"/>
      <c r="Q234" s="1209"/>
      <c r="R234" s="454"/>
      <c r="S234" s="463"/>
      <c r="T234" s="454"/>
      <c r="U234" s="454"/>
      <c r="V234" s="454"/>
      <c r="W234" s="431"/>
      <c r="X234" s="431"/>
      <c r="Y234" s="431"/>
      <c r="Z234" s="431"/>
      <c r="AA234" s="464"/>
      <c r="AB234" s="464"/>
      <c r="AC234" s="464"/>
      <c r="AD234" s="210"/>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row>
    <row r="235" spans="1:51" ht="26.25" customHeight="1" x14ac:dyDescent="0.2">
      <c r="A235" s="1210" t="s">
        <v>628</v>
      </c>
      <c r="B235" s="1211"/>
      <c r="C235" s="1211"/>
      <c r="D235" s="1211"/>
      <c r="E235" s="1211" t="s">
        <v>629</v>
      </c>
      <c r="F235" s="1211"/>
      <c r="G235" s="1211"/>
      <c r="H235" s="1211"/>
      <c r="I235" s="1211" t="s">
        <v>630</v>
      </c>
      <c r="J235" s="1211"/>
      <c r="K235" s="1211"/>
      <c r="L235" s="1211"/>
      <c r="M235" s="1212" t="s">
        <v>631</v>
      </c>
      <c r="N235" s="1211"/>
      <c r="O235" s="1211"/>
      <c r="P235" s="1211"/>
      <c r="Q235" s="1213"/>
      <c r="R235" s="459"/>
      <c r="S235" s="1195" t="s">
        <v>632</v>
      </c>
      <c r="T235" s="1195"/>
      <c r="U235" s="1195"/>
      <c r="V235" s="1195"/>
      <c r="W235" s="210"/>
      <c r="X235" s="466"/>
      <c r="Y235" s="466"/>
      <c r="Z235" s="466"/>
      <c r="AA235" s="466"/>
      <c r="AB235" s="466"/>
      <c r="AC235" s="466"/>
      <c r="AD235" s="210"/>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row>
    <row r="236" spans="1:51" ht="26.25" customHeight="1" thickBot="1" x14ac:dyDescent="0.25">
      <c r="A236" s="1196"/>
      <c r="B236" s="815"/>
      <c r="C236" s="815"/>
      <c r="D236" s="815"/>
      <c r="E236" s="815"/>
      <c r="F236" s="815"/>
      <c r="G236" s="815"/>
      <c r="H236" s="815"/>
      <c r="I236" s="815"/>
      <c r="J236" s="815"/>
      <c r="K236" s="815"/>
      <c r="L236" s="815"/>
      <c r="M236" s="1197"/>
      <c r="N236" s="1197"/>
      <c r="O236" s="1197"/>
      <c r="P236" s="1197"/>
      <c r="Q236" s="1198"/>
      <c r="R236" s="454"/>
      <c r="S236" s="467" t="str">
        <f>IF(ISBLANK(A236),"",VLOOKUP(A236,VProjType,2,FALSE))</f>
        <v/>
      </c>
      <c r="T236" s="467" t="str">
        <f>IF(ISBLANK(E236),"",VLOOKUP(E236,VSubtype1,2,FALSE))</f>
        <v/>
      </c>
      <c r="U236" s="467" t="str">
        <f>IF(ISBLANK(I236),"",VLOOKUP(I236,VSubtype2,2,FALSE))</f>
        <v/>
      </c>
      <c r="V236" s="467" t="str">
        <f>IF(ISBLANK(M236),"",VLOOKUP(M236,VSubtype3,2,FALSE))</f>
        <v/>
      </c>
      <c r="W236" s="210"/>
      <c r="X236" s="466"/>
      <c r="Y236" s="466"/>
      <c r="Z236" s="466"/>
      <c r="AA236" s="466"/>
      <c r="AB236" s="466"/>
      <c r="AC236" s="466"/>
      <c r="AD236" s="210"/>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row>
    <row r="237" spans="1:51" ht="26.25" customHeight="1" x14ac:dyDescent="0.2">
      <c r="A237" s="1199" t="s">
        <v>634</v>
      </c>
      <c r="B237" s="1200"/>
      <c r="C237" s="1200"/>
      <c r="D237" s="1200"/>
      <c r="E237" s="1200"/>
      <c r="F237" s="1200"/>
      <c r="G237" s="1200"/>
      <c r="H237" s="1200"/>
      <c r="I237" s="1200"/>
      <c r="J237" s="1200"/>
      <c r="K237" s="1200"/>
      <c r="L237" s="1200"/>
      <c r="M237" s="1200"/>
      <c r="N237" s="1200"/>
      <c r="O237" s="1200"/>
      <c r="P237" s="1200"/>
      <c r="Q237" s="1201"/>
      <c r="R237" s="464"/>
      <c r="S237" s="468" t="s">
        <v>635</v>
      </c>
      <c r="T237" s="464"/>
      <c r="U237" s="464"/>
      <c r="V237" s="464"/>
      <c r="W237" s="210"/>
      <c r="X237" s="466"/>
      <c r="Y237" s="466"/>
      <c r="Z237" s="466"/>
      <c r="AA237" s="466"/>
      <c r="AB237" s="466"/>
      <c r="AC237" s="466"/>
      <c r="AD237" s="210"/>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row>
    <row r="238" spans="1:51" ht="26.25" customHeight="1" x14ac:dyDescent="0.2">
      <c r="A238" s="1166" t="s">
        <v>636</v>
      </c>
      <c r="B238" s="1167"/>
      <c r="C238" s="1167"/>
      <c r="D238" s="1167"/>
      <c r="E238" s="1167"/>
      <c r="F238" s="1167"/>
      <c r="G238" s="1167"/>
      <c r="H238" s="1167"/>
      <c r="I238" s="1167"/>
      <c r="J238" s="1167"/>
      <c r="K238" s="1167"/>
      <c r="L238" s="1168"/>
      <c r="M238" s="1169"/>
      <c r="N238" s="1170"/>
      <c r="O238" s="1170"/>
      <c r="P238" s="1170"/>
      <c r="Q238" s="1171"/>
      <c r="R238" s="464"/>
      <c r="S238" s="469" t="str">
        <f>IF(ISBLANK(M238),"",VLOOKUP(M238,VRemote,2,FALSE))</f>
        <v/>
      </c>
      <c r="T238" s="470" t="s">
        <v>637</v>
      </c>
      <c r="U238" s="464"/>
      <c r="V238" s="464"/>
      <c r="W238" s="431"/>
      <c r="X238" s="466"/>
      <c r="Y238" s="466"/>
      <c r="Z238" s="466"/>
      <c r="AA238" s="466"/>
      <c r="AB238" s="466"/>
      <c r="AC238" s="466"/>
      <c r="AD238" s="210"/>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row>
    <row r="239" spans="1:51" ht="26.25" customHeight="1" x14ac:dyDescent="0.2">
      <c r="A239" s="1166" t="s">
        <v>638</v>
      </c>
      <c r="B239" s="1167"/>
      <c r="C239" s="1167"/>
      <c r="D239" s="1167"/>
      <c r="E239" s="1167"/>
      <c r="F239" s="1167"/>
      <c r="G239" s="1167"/>
      <c r="H239" s="1167"/>
      <c r="I239" s="1167"/>
      <c r="J239" s="1167"/>
      <c r="K239" s="1167"/>
      <c r="L239" s="1167"/>
      <c r="M239" s="1169"/>
      <c r="N239" s="1170"/>
      <c r="O239" s="1170"/>
      <c r="P239" s="1170"/>
      <c r="Q239" s="1171"/>
      <c r="R239" s="466"/>
      <c r="S239" s="469" t="str">
        <f>IF(ISBLANK(M239),"",VLOOKUP(M239,VCapacity,2,FALSE))</f>
        <v/>
      </c>
      <c r="T239" s="162" t="s">
        <v>639</v>
      </c>
      <c r="U239" s="466"/>
      <c r="V239" s="466"/>
      <c r="W239" s="466"/>
      <c r="X239" s="466"/>
      <c r="Y239" s="466"/>
      <c r="Z239" s="466"/>
      <c r="AA239" s="466"/>
      <c r="AB239" s="466"/>
      <c r="AC239" s="466"/>
      <c r="AD239" s="210"/>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row>
    <row r="240" spans="1:51" ht="26.25" customHeight="1" x14ac:dyDescent="0.2">
      <c r="A240" s="1166" t="s">
        <v>640</v>
      </c>
      <c r="B240" s="1167"/>
      <c r="C240" s="1167"/>
      <c r="D240" s="1167"/>
      <c r="E240" s="1167"/>
      <c r="F240" s="1167"/>
      <c r="G240" s="1167"/>
      <c r="H240" s="1167"/>
      <c r="I240" s="1167"/>
      <c r="J240" s="1167"/>
      <c r="K240" s="1167"/>
      <c r="L240" s="1167"/>
      <c r="M240" s="1169"/>
      <c r="N240" s="1170"/>
      <c r="O240" s="1170"/>
      <c r="P240" s="1170"/>
      <c r="Q240" s="1171"/>
      <c r="R240" s="466"/>
      <c r="S240" s="469" t="str">
        <f>IF(ISBLANK(M240),"",VLOOKUP(M240,VPriorCap,2,FALSE))</f>
        <v/>
      </c>
      <c r="T240" s="162" t="s">
        <v>641</v>
      </c>
      <c r="U240" s="466"/>
      <c r="V240" s="466"/>
      <c r="W240" s="466"/>
      <c r="X240" s="466"/>
      <c r="Y240" s="466"/>
      <c r="Z240" s="466"/>
      <c r="AA240" s="466"/>
      <c r="AB240" s="466"/>
      <c r="AC240" s="466"/>
      <c r="AD240" s="210"/>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row>
    <row r="241" spans="1:51" ht="26.25" customHeight="1" x14ac:dyDescent="0.2">
      <c r="A241" s="1183" t="s">
        <v>643</v>
      </c>
      <c r="B241" s="1184"/>
      <c r="C241" s="1184"/>
      <c r="D241" s="1184"/>
      <c r="E241" s="1184"/>
      <c r="F241" s="1184"/>
      <c r="G241" s="1184"/>
      <c r="H241" s="1184"/>
      <c r="I241" s="1184"/>
      <c r="J241" s="1184"/>
      <c r="K241" s="1184"/>
      <c r="L241" s="1184"/>
      <c r="M241" s="1184"/>
      <c r="N241" s="1184"/>
      <c r="O241" s="1184"/>
      <c r="P241" s="1184"/>
      <c r="Q241" s="1185"/>
      <c r="R241" s="466"/>
      <c r="S241" s="472" t="str">
        <f>IF(ISBLANK(A242),"",A242)</f>
        <v/>
      </c>
      <c r="T241" s="162" t="s">
        <v>589</v>
      </c>
      <c r="U241" s="466"/>
      <c r="V241" s="466"/>
      <c r="W241" s="466"/>
      <c r="X241" s="466"/>
      <c r="Y241" s="466"/>
      <c r="Z241" s="466"/>
      <c r="AA241" s="466"/>
      <c r="AB241" s="466"/>
      <c r="AC241" s="466"/>
      <c r="AD241" s="210"/>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row>
    <row r="242" spans="1:51" ht="26.25" customHeight="1" x14ac:dyDescent="0.2">
      <c r="A242" s="1175"/>
      <c r="B242" s="1152"/>
      <c r="C242" s="1152"/>
      <c r="D242" s="1152"/>
      <c r="E242" s="1152"/>
      <c r="F242" s="1152"/>
      <c r="G242" s="1152"/>
      <c r="H242" s="1152"/>
      <c r="I242" s="1152"/>
      <c r="J242" s="1152"/>
      <c r="K242" s="1152"/>
      <c r="L242" s="1152"/>
      <c r="M242" s="1152"/>
      <c r="N242" s="1152"/>
      <c r="O242" s="1152"/>
      <c r="P242" s="1152"/>
      <c r="Q242" s="1182"/>
      <c r="R242" s="466"/>
      <c r="S242" s="466"/>
      <c r="T242" s="466"/>
      <c r="U242" s="466"/>
      <c r="V242" s="466"/>
      <c r="W242" s="466"/>
      <c r="X242" s="466"/>
      <c r="Y242" s="466"/>
      <c r="Z242" s="466"/>
      <c r="AA242" s="466"/>
      <c r="AB242" s="466"/>
      <c r="AC242" s="466"/>
      <c r="AD242" s="210"/>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row>
    <row r="243" spans="1:51" ht="26.25" customHeight="1" x14ac:dyDescent="0.2">
      <c r="A243" s="1186"/>
      <c r="B243" s="1187"/>
      <c r="C243" s="1187"/>
      <c r="D243" s="1187"/>
      <c r="E243" s="1187"/>
      <c r="F243" s="1187"/>
      <c r="G243" s="1187"/>
      <c r="H243" s="1187"/>
      <c r="I243" s="1187"/>
      <c r="J243" s="1187"/>
      <c r="K243" s="1187"/>
      <c r="L243" s="1187"/>
      <c r="M243" s="1187"/>
      <c r="N243" s="1187"/>
      <c r="O243" s="1187"/>
      <c r="P243" s="1187"/>
      <c r="Q243" s="1188"/>
      <c r="R243" s="466"/>
      <c r="S243" s="466"/>
      <c r="T243" s="466"/>
      <c r="U243" s="466"/>
      <c r="V243" s="466"/>
      <c r="W243" s="466"/>
      <c r="X243" s="466"/>
      <c r="Y243" s="466"/>
      <c r="Z243" s="466"/>
      <c r="AA243" s="466"/>
      <c r="AB243" s="466"/>
      <c r="AC243" s="466"/>
      <c r="AD243" s="210"/>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row>
    <row r="244" spans="1:51" ht="26.25" customHeight="1" x14ac:dyDescent="0.2">
      <c r="A244" s="1189" t="s">
        <v>645</v>
      </c>
      <c r="B244" s="1190"/>
      <c r="C244" s="1190"/>
      <c r="D244" s="1190"/>
      <c r="E244" s="1190"/>
      <c r="F244" s="1190"/>
      <c r="G244" s="1190"/>
      <c r="H244" s="1190"/>
      <c r="I244" s="1190"/>
      <c r="J244" s="1190"/>
      <c r="K244" s="1190"/>
      <c r="L244" s="1190"/>
      <c r="M244" s="1190"/>
      <c r="N244" s="1190"/>
      <c r="O244" s="1190"/>
      <c r="P244" s="1190"/>
      <c r="Q244" s="1191"/>
      <c r="R244" s="468"/>
      <c r="S244" s="468"/>
      <c r="T244" s="468"/>
      <c r="U244" s="468"/>
      <c r="V244" s="468"/>
      <c r="W244" s="466"/>
      <c r="X244" s="210"/>
      <c r="Y244" s="210"/>
      <c r="Z244" s="210"/>
      <c r="AA244" s="474"/>
      <c r="AB244" s="474"/>
      <c r="AC244" s="474"/>
      <c r="AD244" s="210"/>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row>
    <row r="245" spans="1:51" ht="26.25" customHeight="1" x14ac:dyDescent="0.2">
      <c r="A245" s="1175"/>
      <c r="B245" s="1152"/>
      <c r="C245" s="1152"/>
      <c r="D245" s="1152"/>
      <c r="E245" s="1152"/>
      <c r="F245" s="1152"/>
      <c r="G245" s="1152"/>
      <c r="H245" s="1152"/>
      <c r="I245" s="1152"/>
      <c r="J245" s="1152"/>
      <c r="K245" s="1152"/>
      <c r="L245" s="1152"/>
      <c r="M245" s="1152"/>
      <c r="N245" s="1152"/>
      <c r="O245" s="1152"/>
      <c r="P245" s="1152"/>
      <c r="Q245" s="1153"/>
      <c r="R245" s="466"/>
      <c r="S245" s="472" t="str">
        <f>IF(ISBLANK(A245),"",A245)</f>
        <v/>
      </c>
      <c r="T245" s="438" t="s">
        <v>194</v>
      </c>
      <c r="U245" s="466"/>
      <c r="V245" s="466"/>
      <c r="W245" s="466"/>
      <c r="X245" s="464"/>
      <c r="Y245" s="464"/>
      <c r="Z245" s="464"/>
      <c r="AA245" s="480"/>
      <c r="AB245" s="480"/>
      <c r="AC245" s="480"/>
      <c r="AD245" s="436"/>
    </row>
    <row r="246" spans="1:51" ht="26.25" customHeight="1" thickBot="1" x14ac:dyDescent="0.25">
      <c r="A246" s="1163"/>
      <c r="B246" s="1164"/>
      <c r="C246" s="1164"/>
      <c r="D246" s="1164"/>
      <c r="E246" s="1164"/>
      <c r="F246" s="1164"/>
      <c r="G246" s="1164"/>
      <c r="H246" s="1164"/>
      <c r="I246" s="1164"/>
      <c r="J246" s="1164"/>
      <c r="K246" s="1164"/>
      <c r="L246" s="1164"/>
      <c r="M246" s="1164"/>
      <c r="N246" s="1164"/>
      <c r="O246" s="1164"/>
      <c r="P246" s="1164"/>
      <c r="Q246" s="1165"/>
      <c r="R246" s="466"/>
      <c r="S246" s="466"/>
      <c r="T246" s="438"/>
      <c r="U246" s="466"/>
      <c r="V246" s="466"/>
      <c r="W246" s="466"/>
      <c r="X246" s="466"/>
      <c r="Y246" s="466"/>
      <c r="Z246" s="466"/>
      <c r="AA246" s="210"/>
      <c r="AB246" s="210"/>
      <c r="AC246" s="210"/>
      <c r="AD246" s="436"/>
      <c r="AL246" s="213"/>
    </row>
    <row r="247" spans="1:51" ht="26.25" customHeight="1" x14ac:dyDescent="0.2">
      <c r="A247" s="1157" t="s">
        <v>647</v>
      </c>
      <c r="B247" s="1158"/>
      <c r="C247" s="1158"/>
      <c r="D247" s="1158"/>
      <c r="E247" s="1158"/>
      <c r="F247" s="1158"/>
      <c r="G247" s="1158"/>
      <c r="H247" s="1158"/>
      <c r="I247" s="1158"/>
      <c r="J247" s="1158"/>
      <c r="K247" s="1158"/>
      <c r="L247" s="1158"/>
      <c r="M247" s="1158"/>
      <c r="N247" s="1158"/>
      <c r="O247" s="1158"/>
      <c r="P247" s="1158"/>
      <c r="Q247" s="1159"/>
      <c r="R247" s="464"/>
      <c r="S247" s="468" t="s">
        <v>648</v>
      </c>
      <c r="T247" s="464"/>
      <c r="U247" s="464"/>
      <c r="V247" s="464"/>
      <c r="W247" s="466"/>
      <c r="X247" s="466"/>
      <c r="Y247" s="466"/>
      <c r="Z247" s="466"/>
      <c r="AA247" s="210"/>
      <c r="AB247" s="210"/>
      <c r="AC247" s="210"/>
      <c r="AD247" s="436"/>
      <c r="AL247" s="213"/>
    </row>
    <row r="248" spans="1:51" ht="26.25" customHeight="1" x14ac:dyDescent="0.2">
      <c r="A248" s="1192" t="s">
        <v>649</v>
      </c>
      <c r="B248" s="1193"/>
      <c r="C248" s="1193"/>
      <c r="D248" s="1193"/>
      <c r="E248" s="1193"/>
      <c r="F248" s="1193"/>
      <c r="G248" s="1193"/>
      <c r="H248" s="1193"/>
      <c r="I248" s="1193"/>
      <c r="J248" s="1193"/>
      <c r="K248" s="1193"/>
      <c r="L248" s="1194"/>
      <c r="M248" s="1169"/>
      <c r="N248" s="1170"/>
      <c r="O248" s="1170"/>
      <c r="P248" s="1170"/>
      <c r="Q248" s="1171"/>
      <c r="R248" s="466"/>
      <c r="S248" s="473" t="str">
        <f>IF(ISBLANK(M248),"",VLOOKUP(M248,VImpact,2,FALSE))</f>
        <v/>
      </c>
      <c r="T248" s="162" t="s">
        <v>650</v>
      </c>
      <c r="U248" s="466"/>
      <c r="V248" s="466"/>
      <c r="W248" s="210"/>
      <c r="X248" s="466"/>
      <c r="Y248" s="466"/>
      <c r="Z248" s="466"/>
      <c r="AA248" s="210"/>
      <c r="AB248" s="210"/>
      <c r="AC248" s="210"/>
      <c r="AD248" s="210"/>
      <c r="AL248" s="134" t="str">
        <f>IF(AND(ISBLANK(D234),OR(NOT(ISBLANK(D235)),NOT(ISBLANK(D237)),NOT(ISBLANK(D238)),NOT(ISBLANK(F239)),NOT(ISBLANK(A242)))),1,"")</f>
        <v/>
      </c>
    </row>
    <row r="249" spans="1:51" ht="26.25" customHeight="1" x14ac:dyDescent="0.2">
      <c r="A249" s="1166" t="s">
        <v>651</v>
      </c>
      <c r="B249" s="1167"/>
      <c r="C249" s="1167"/>
      <c r="D249" s="1167"/>
      <c r="E249" s="1167"/>
      <c r="F249" s="1167"/>
      <c r="G249" s="1167"/>
      <c r="H249" s="1167"/>
      <c r="I249" s="1167"/>
      <c r="J249" s="1167"/>
      <c r="K249" s="1167"/>
      <c r="L249" s="1168"/>
      <c r="M249" s="1169"/>
      <c r="N249" s="1170"/>
      <c r="O249" s="1170"/>
      <c r="P249" s="1170"/>
      <c r="Q249" s="1171"/>
      <c r="R249" s="466"/>
      <c r="S249" s="473" t="str">
        <f>IF(ISBLANK(M249),"",VLOOKUP(M249,VEvidence,2,FALSE))</f>
        <v/>
      </c>
      <c r="T249" s="251" t="s">
        <v>652</v>
      </c>
      <c r="U249" s="466"/>
      <c r="V249" s="466"/>
      <c r="W249" s="464"/>
      <c r="X249" s="466"/>
      <c r="Y249" s="466"/>
      <c r="Z249" s="466"/>
      <c r="AA249" s="210"/>
      <c r="AB249" s="210"/>
      <c r="AC249" s="210"/>
      <c r="AD249" s="210"/>
      <c r="AL249" s="134" t="str">
        <f>IF(AND(ISBLANK(D235),OR(NOT(ISBLANK(D234)),NOT(ISBLANK(D237)),NOT(ISBLANK(D238)),NOT(ISBLANK(F239)),NOT(ISBLANK(A242)))),1,"")</f>
        <v/>
      </c>
    </row>
    <row r="250" spans="1:51" ht="26.25" customHeight="1" x14ac:dyDescent="0.2">
      <c r="A250" s="1172" t="s">
        <v>653</v>
      </c>
      <c r="B250" s="1173"/>
      <c r="C250" s="1173"/>
      <c r="D250" s="1173"/>
      <c r="E250" s="1173"/>
      <c r="F250" s="1173"/>
      <c r="G250" s="1173"/>
      <c r="H250" s="1173"/>
      <c r="I250" s="1173"/>
      <c r="J250" s="1173"/>
      <c r="K250" s="1173"/>
      <c r="L250" s="1173"/>
      <c r="M250" s="1173"/>
      <c r="N250" s="1173"/>
      <c r="O250" s="1173"/>
      <c r="P250" s="1173"/>
      <c r="Q250" s="1174"/>
      <c r="R250" s="466"/>
      <c r="S250" s="472" t="str">
        <f>IF(ISBLANK(A251),"",A251)</f>
        <v/>
      </c>
      <c r="T250" s="438" t="s">
        <v>193</v>
      </c>
      <c r="U250" s="466"/>
      <c r="V250" s="466"/>
      <c r="W250" s="466"/>
      <c r="X250" s="466"/>
      <c r="Y250" s="466"/>
      <c r="Z250" s="466"/>
      <c r="AA250" s="210"/>
      <c r="AB250" s="210"/>
      <c r="AC250" s="210"/>
      <c r="AD250" s="210"/>
      <c r="AL250" s="134"/>
    </row>
    <row r="251" spans="1:51" ht="26.25" customHeight="1" x14ac:dyDescent="0.2">
      <c r="A251" s="1175"/>
      <c r="B251" s="1152"/>
      <c r="C251" s="1152"/>
      <c r="D251" s="1152"/>
      <c r="E251" s="1152"/>
      <c r="F251" s="1152"/>
      <c r="G251" s="1152"/>
      <c r="H251" s="1152"/>
      <c r="I251" s="1152"/>
      <c r="J251" s="1152"/>
      <c r="K251" s="1152"/>
      <c r="L251" s="1152"/>
      <c r="M251" s="1152"/>
      <c r="N251" s="1152"/>
      <c r="O251" s="1152"/>
      <c r="P251" s="1152"/>
      <c r="Q251" s="1153"/>
      <c r="R251" s="466"/>
      <c r="S251" s="466"/>
      <c r="T251" s="475"/>
      <c r="U251" s="466"/>
      <c r="V251" s="466"/>
      <c r="W251" s="466"/>
      <c r="X251" s="466"/>
      <c r="Y251" s="466"/>
      <c r="Z251" s="466"/>
      <c r="AA251" s="431"/>
      <c r="AB251" s="431"/>
      <c r="AC251" s="431"/>
      <c r="AD251" s="486"/>
      <c r="AL251" s="134" t="str">
        <f>IF(AND(ISBLANK(D237),OR(NOT(ISBLANK(D234)),NOT(ISBLANK(D235)),NOT(ISBLANK(D238)),NOT(ISBLANK(F239)),NOT(ISBLANK(A242)))),1,"")</f>
        <v/>
      </c>
    </row>
    <row r="252" spans="1:51" ht="26.25" customHeight="1" x14ac:dyDescent="0.2">
      <c r="A252" s="1176"/>
      <c r="B252" s="1177"/>
      <c r="C252" s="1177"/>
      <c r="D252" s="1177"/>
      <c r="E252" s="1177"/>
      <c r="F252" s="1177"/>
      <c r="G252" s="1177"/>
      <c r="H252" s="1177"/>
      <c r="I252" s="1177"/>
      <c r="J252" s="1177"/>
      <c r="K252" s="1177"/>
      <c r="L252" s="1177"/>
      <c r="M252" s="1177"/>
      <c r="N252" s="1177"/>
      <c r="O252" s="1177"/>
      <c r="P252" s="1177"/>
      <c r="Q252" s="1178"/>
      <c r="R252" s="466"/>
      <c r="S252" s="466"/>
      <c r="T252" s="475"/>
      <c r="U252" s="466"/>
      <c r="V252" s="466"/>
      <c r="W252" s="466"/>
      <c r="X252" s="466"/>
      <c r="Y252" s="466"/>
      <c r="Z252" s="466"/>
      <c r="AA252" s="210"/>
      <c r="AB252" s="210"/>
      <c r="AC252" s="210"/>
      <c r="AD252" s="210"/>
      <c r="AL252" s="134" t="str">
        <f>IF(AND(ISBLANK(D238),OR(NOT(ISBLANK(D234)),NOT(ISBLANK(D235)),NOT(ISBLANK(D237)),NOT(ISBLANK(F239)),NOT(ISBLANK(A242)))),1,"")</f>
        <v/>
      </c>
    </row>
    <row r="253" spans="1:51" ht="26.25" customHeight="1" x14ac:dyDescent="0.2">
      <c r="A253" s="1179" t="s">
        <v>654</v>
      </c>
      <c r="B253" s="1180"/>
      <c r="C253" s="1180"/>
      <c r="D253" s="1180"/>
      <c r="E253" s="1180"/>
      <c r="F253" s="1180"/>
      <c r="G253" s="1180"/>
      <c r="H253" s="1180"/>
      <c r="I253" s="1180"/>
      <c r="J253" s="1180"/>
      <c r="K253" s="1180"/>
      <c r="L253" s="1180"/>
      <c r="M253" s="1180"/>
      <c r="N253" s="1180"/>
      <c r="O253" s="1180"/>
      <c r="P253" s="1180"/>
      <c r="Q253" s="1181"/>
      <c r="R253" s="466"/>
      <c r="S253" s="472" t="str">
        <f>IF(ISBLANK(A254),"",A254)</f>
        <v/>
      </c>
      <c r="T253" s="475" t="s">
        <v>590</v>
      </c>
      <c r="U253" s="466"/>
      <c r="V253" s="466"/>
      <c r="W253" s="466"/>
      <c r="X253" s="466"/>
      <c r="Y253" s="466"/>
      <c r="Z253" s="466"/>
      <c r="AA253" s="210"/>
      <c r="AB253" s="210"/>
      <c r="AC253" s="210"/>
      <c r="AD253" s="210"/>
      <c r="AL253" s="134" t="str">
        <f>IF(AND(ISBLANK(F239),OR(NOT(ISBLANK(D234)),NOT(ISBLANK(D235)),NOT(ISBLANK(D237)),NOT(ISBLANK(D238)),NOT(ISBLANK(A242)))),1,"")</f>
        <v/>
      </c>
    </row>
    <row r="254" spans="1:51" ht="26.25" customHeight="1" x14ac:dyDescent="0.2">
      <c r="A254" s="1175"/>
      <c r="B254" s="1152"/>
      <c r="C254" s="1152"/>
      <c r="D254" s="1152"/>
      <c r="E254" s="1152"/>
      <c r="F254" s="1152"/>
      <c r="G254" s="1152"/>
      <c r="H254" s="1152"/>
      <c r="I254" s="1152"/>
      <c r="J254" s="1152"/>
      <c r="K254" s="1152"/>
      <c r="L254" s="1152"/>
      <c r="M254" s="1152"/>
      <c r="N254" s="1152"/>
      <c r="O254" s="1152"/>
      <c r="P254" s="1152"/>
      <c r="Q254" s="1182"/>
      <c r="R254" s="466"/>
      <c r="U254" s="466"/>
      <c r="V254" s="466"/>
      <c r="W254" s="466"/>
      <c r="X254" s="466"/>
      <c r="Y254" s="466"/>
      <c r="Z254" s="466"/>
      <c r="AA254" s="210"/>
      <c r="AB254" s="210"/>
      <c r="AC254" s="210"/>
      <c r="AD254" s="436"/>
      <c r="AL254" s="134"/>
    </row>
    <row r="255" spans="1:51" ht="26.25" customHeight="1" thickBot="1" x14ac:dyDescent="0.3">
      <c r="A255" s="1154"/>
      <c r="B255" s="1155"/>
      <c r="C255" s="1155"/>
      <c r="D255" s="1155"/>
      <c r="E255" s="1155"/>
      <c r="F255" s="1155"/>
      <c r="G255" s="1155"/>
      <c r="H255" s="1155"/>
      <c r="I255" s="1155"/>
      <c r="J255" s="1155"/>
      <c r="K255" s="1155"/>
      <c r="L255" s="1155"/>
      <c r="M255" s="1155"/>
      <c r="N255" s="1155"/>
      <c r="O255" s="1155"/>
      <c r="P255" s="1155"/>
      <c r="Q255" s="1156"/>
      <c r="R255" s="466"/>
      <c r="S255" s="466"/>
      <c r="T255" s="466"/>
      <c r="U255" s="466"/>
      <c r="V255" s="466"/>
      <c r="W255" s="466"/>
      <c r="X255" s="474"/>
      <c r="Y255" s="474"/>
      <c r="Z255" s="474"/>
      <c r="AA255" s="431"/>
      <c r="AB255" s="431"/>
      <c r="AC255" s="431"/>
      <c r="AD255" s="471"/>
      <c r="AL255" s="134"/>
    </row>
    <row r="256" spans="1:51" ht="26.25" customHeight="1" x14ac:dyDescent="0.2">
      <c r="A256" s="1148" t="s">
        <v>656</v>
      </c>
      <c r="B256" s="1149"/>
      <c r="C256" s="1149"/>
      <c r="D256" s="1149"/>
      <c r="E256" s="1149"/>
      <c r="F256" s="1149"/>
      <c r="G256" s="1149"/>
      <c r="H256" s="1149"/>
      <c r="I256" s="1149"/>
      <c r="J256" s="1149"/>
      <c r="K256" s="1149"/>
      <c r="L256" s="1149"/>
      <c r="M256" s="1149"/>
      <c r="N256" s="1149"/>
      <c r="O256" s="1149"/>
      <c r="P256" s="1149"/>
      <c r="Q256" s="1150"/>
      <c r="S256" s="478" t="str">
        <f>IF(ISBLANK(A257),"",A257)</f>
        <v/>
      </c>
      <c r="T256" s="479" t="s">
        <v>657</v>
      </c>
      <c r="W256" s="466"/>
      <c r="X256" s="464"/>
      <c r="Y256" s="464"/>
      <c r="Z256" s="464"/>
      <c r="AA256" s="466"/>
      <c r="AB256" s="466"/>
      <c r="AC256" s="466"/>
      <c r="AD256" s="210"/>
      <c r="AL256" s="134" t="str">
        <f>IF(AND(ISBLANK(A242),OR(NOT(ISBLANK(D234)),NOT(ISBLANK(D235)),NOT(ISBLANK(D237)),NOT(ISBLANK(D238)),NOT(ISBLANK(F239)))),1,"")</f>
        <v/>
      </c>
    </row>
    <row r="257" spans="1:38" ht="26.25" customHeight="1" x14ac:dyDescent="0.25">
      <c r="A257" s="1175"/>
      <c r="B257" s="1152"/>
      <c r="C257" s="1152"/>
      <c r="D257" s="1152"/>
      <c r="E257" s="1152"/>
      <c r="F257" s="1152"/>
      <c r="G257" s="1152"/>
      <c r="H257" s="1152"/>
      <c r="I257" s="1152"/>
      <c r="J257" s="1152"/>
      <c r="K257" s="1152"/>
      <c r="L257" s="1152"/>
      <c r="M257" s="1152"/>
      <c r="N257" s="1152"/>
      <c r="O257" s="1152"/>
      <c r="P257" s="1152"/>
      <c r="Q257" s="1153"/>
      <c r="W257" s="466"/>
      <c r="X257" s="466"/>
      <c r="Y257" s="466"/>
      <c r="Z257" s="466"/>
      <c r="AA257" s="466"/>
      <c r="AB257" s="466"/>
      <c r="AC257" s="466"/>
      <c r="AD257" s="471"/>
      <c r="AL257" s="213"/>
    </row>
    <row r="258" spans="1:38" ht="26.25" customHeight="1" thickBot="1" x14ac:dyDescent="0.3">
      <c r="A258" s="1154"/>
      <c r="B258" s="1155"/>
      <c r="C258" s="1155"/>
      <c r="D258" s="1155"/>
      <c r="E258" s="1155"/>
      <c r="F258" s="1155"/>
      <c r="G258" s="1155"/>
      <c r="H258" s="1155"/>
      <c r="I258" s="1155"/>
      <c r="J258" s="1155"/>
      <c r="K258" s="1155"/>
      <c r="L258" s="1155"/>
      <c r="M258" s="1155"/>
      <c r="N258" s="1155"/>
      <c r="O258" s="1155"/>
      <c r="P258" s="1155"/>
      <c r="Q258" s="1156"/>
      <c r="R258" s="436"/>
      <c r="S258" s="436"/>
      <c r="T258" s="436"/>
      <c r="U258" s="436"/>
      <c r="V258" s="436"/>
      <c r="W258" s="466"/>
      <c r="X258" s="466"/>
      <c r="Y258" s="466"/>
      <c r="Z258" s="466"/>
      <c r="AA258" s="466"/>
      <c r="AB258" s="466"/>
      <c r="AC258" s="466"/>
      <c r="AD258" s="471"/>
      <c r="AL258" s="213"/>
    </row>
    <row r="259" spans="1:38" ht="26.25" customHeight="1" x14ac:dyDescent="0.25">
      <c r="A259" s="1157" t="s">
        <v>658</v>
      </c>
      <c r="B259" s="1158"/>
      <c r="C259" s="1158"/>
      <c r="D259" s="1158"/>
      <c r="E259" s="1158"/>
      <c r="F259" s="1158"/>
      <c r="G259" s="1158"/>
      <c r="H259" s="1158"/>
      <c r="I259" s="1158"/>
      <c r="J259" s="1158"/>
      <c r="K259" s="1158"/>
      <c r="L259" s="1158"/>
      <c r="M259" s="1158"/>
      <c r="N259" s="1158"/>
      <c r="O259" s="1158"/>
      <c r="P259" s="1158"/>
      <c r="Q259" s="1159"/>
      <c r="R259" s="476"/>
      <c r="S259" s="481"/>
      <c r="T259" s="482"/>
      <c r="U259" s="476"/>
      <c r="V259" s="476"/>
      <c r="W259" s="474"/>
      <c r="X259" s="466"/>
      <c r="Y259" s="466"/>
      <c r="Z259" s="466"/>
      <c r="AA259" s="466"/>
      <c r="AB259" s="466"/>
      <c r="AC259" s="466"/>
      <c r="AD259" s="471"/>
    </row>
    <row r="260" spans="1:38" ht="26.25" customHeight="1" x14ac:dyDescent="0.25">
      <c r="A260" s="1160"/>
      <c r="B260" s="1161"/>
      <c r="C260" s="1161"/>
      <c r="D260" s="1161"/>
      <c r="E260" s="1161"/>
      <c r="F260" s="1161"/>
      <c r="G260" s="1161"/>
      <c r="H260" s="1161"/>
      <c r="I260" s="1161"/>
      <c r="J260" s="1161"/>
      <c r="K260" s="1161"/>
      <c r="L260" s="1161"/>
      <c r="M260" s="1161"/>
      <c r="N260" s="1161"/>
      <c r="O260" s="1161"/>
      <c r="P260" s="1161"/>
      <c r="Q260" s="1162"/>
      <c r="R260" s="195"/>
      <c r="S260" s="483" t="str">
        <f>IF(ISBLANK(A260),"",CONCATENATE(S259,A260))</f>
        <v/>
      </c>
      <c r="T260" s="438" t="s">
        <v>195</v>
      </c>
      <c r="U260" s="195"/>
      <c r="V260" s="195"/>
      <c r="W260" s="464"/>
      <c r="X260" s="466"/>
      <c r="Y260" s="466"/>
      <c r="Z260" s="466"/>
      <c r="AA260" s="466"/>
      <c r="AB260" s="466"/>
      <c r="AC260" s="466"/>
      <c r="AD260" s="471"/>
    </row>
    <row r="261" spans="1:38" ht="26.25" customHeight="1" thickBot="1" x14ac:dyDescent="0.3">
      <c r="A261" s="1163"/>
      <c r="B261" s="1164"/>
      <c r="C261" s="1164"/>
      <c r="D261" s="1164"/>
      <c r="E261" s="1164"/>
      <c r="F261" s="1164"/>
      <c r="G261" s="1164"/>
      <c r="H261" s="1164"/>
      <c r="I261" s="1164"/>
      <c r="J261" s="1164"/>
      <c r="K261" s="1164"/>
      <c r="L261" s="1164"/>
      <c r="M261" s="1164"/>
      <c r="N261" s="1164"/>
      <c r="O261" s="1164"/>
      <c r="P261" s="1164"/>
      <c r="Q261" s="1165"/>
      <c r="R261" s="195"/>
      <c r="S261" s="210"/>
      <c r="T261" s="210"/>
      <c r="U261" s="210"/>
      <c r="V261" s="210"/>
      <c r="W261" s="466"/>
      <c r="X261" s="466"/>
      <c r="Y261" s="466"/>
      <c r="Z261" s="466"/>
      <c r="AA261" s="466"/>
      <c r="AB261" s="466"/>
      <c r="AC261" s="466"/>
      <c r="AD261" s="471"/>
    </row>
    <row r="262" spans="1:38" ht="26.25" customHeight="1" x14ac:dyDescent="0.25">
      <c r="A262" s="484" t="e">
        <f>$A$1</f>
        <v>#N/A</v>
      </c>
      <c r="B262" s="210"/>
      <c r="C262" s="210"/>
      <c r="D262" s="210"/>
      <c r="E262" s="210"/>
      <c r="F262" s="210"/>
      <c r="G262" s="210"/>
      <c r="H262" s="210"/>
      <c r="I262" s="210"/>
      <c r="J262" s="210"/>
      <c r="K262" s="210"/>
      <c r="L262" s="210"/>
      <c r="M262" s="210"/>
      <c r="N262" s="210"/>
      <c r="O262" s="210"/>
      <c r="P262" s="954"/>
      <c r="Q262" s="954"/>
      <c r="R262" s="474"/>
      <c r="S262" s="474"/>
      <c r="T262" s="474"/>
      <c r="U262" s="474"/>
      <c r="V262" s="474"/>
      <c r="W262" s="466"/>
      <c r="X262" s="466"/>
      <c r="Y262" s="466"/>
      <c r="Z262" s="466"/>
      <c r="AA262" s="466"/>
      <c r="AB262" s="466"/>
      <c r="AC262" s="466"/>
      <c r="AD262" s="471"/>
    </row>
    <row r="263" spans="1:38" ht="23.45" customHeight="1" thickBot="1" x14ac:dyDescent="0.3">
      <c r="A263" s="1259" t="s">
        <v>208</v>
      </c>
      <c r="B263" s="1260"/>
      <c r="C263" s="1260"/>
      <c r="D263" s="1260"/>
      <c r="E263" s="1260"/>
      <c r="F263" s="1260"/>
      <c r="G263" s="1260"/>
      <c r="H263" s="1260"/>
      <c r="I263" s="1260"/>
      <c r="J263" s="1260"/>
      <c r="K263" s="1260"/>
      <c r="L263" s="1260"/>
      <c r="M263" s="1260"/>
      <c r="N263" s="1261" t="str">
        <f>$N$5</f>
        <v>2019 Report Year</v>
      </c>
      <c r="O263" s="1262"/>
      <c r="P263" s="1262"/>
      <c r="Q263" s="1262"/>
      <c r="R263" s="480"/>
      <c r="S263" s="480"/>
      <c r="T263" s="480"/>
      <c r="U263" s="480"/>
      <c r="V263" s="480"/>
      <c r="W263" s="466"/>
      <c r="X263" s="466"/>
      <c r="Y263" s="466"/>
      <c r="Z263" s="466"/>
      <c r="AA263" s="466"/>
      <c r="AB263" s="466"/>
      <c r="AC263" s="466"/>
      <c r="AD263" s="471"/>
    </row>
    <row r="264" spans="1:38" ht="26.25" customHeight="1" x14ac:dyDescent="0.25">
      <c r="A264" s="1246" t="e">
        <f>IF(AND(OR(ISNA(cap_exp_contact),TRIM(cap_exp_contact)=""),NOT(ISBLANK(code_7594))),"The Capital Expenditure Contact information has NOT been provided.  Please complete this information now.","")</f>
        <v>#N/A</v>
      </c>
      <c r="B264" s="1247"/>
      <c r="C264" s="1247"/>
      <c r="D264" s="1247"/>
      <c r="E264" s="1247"/>
      <c r="F264" s="1247"/>
      <c r="G264" s="1247"/>
      <c r="H264" s="1247"/>
      <c r="I264" s="1247"/>
      <c r="J264" s="1247"/>
      <c r="K264" s="1247"/>
      <c r="L264" s="1247"/>
      <c r="M264" s="1247"/>
      <c r="N264" s="422" t="s">
        <v>609</v>
      </c>
      <c r="O264" s="423" t="e">
        <f>$O$6</f>
        <v>#N/A</v>
      </c>
      <c r="P264" s="424" t="s">
        <v>610</v>
      </c>
      <c r="Q264" s="425"/>
      <c r="R264" s="325"/>
      <c r="S264" s="210"/>
      <c r="T264" s="210"/>
      <c r="U264" s="210"/>
      <c r="V264" s="210"/>
      <c r="W264" s="466"/>
      <c r="X264" s="466"/>
      <c r="Y264" s="466"/>
      <c r="Z264" s="466"/>
      <c r="AA264" s="466"/>
      <c r="AB264" s="466"/>
      <c r="AC264" s="466"/>
      <c r="AD264" s="471"/>
    </row>
    <row r="265" spans="1:38" ht="26.25" customHeight="1" thickBot="1" x14ac:dyDescent="0.3">
      <c r="A265" s="1248" t="s">
        <v>197</v>
      </c>
      <c r="B265" s="1249"/>
      <c r="C265" s="1249"/>
      <c r="D265" s="1249"/>
      <c r="E265" s="1250"/>
      <c r="F265" s="1251"/>
      <c r="G265" s="1251"/>
      <c r="H265" s="1251"/>
      <c r="I265" s="1251"/>
      <c r="J265" s="1251"/>
      <c r="K265" s="1251"/>
      <c r="L265" s="1252"/>
      <c r="M265" s="427"/>
      <c r="N265" s="1253" t="s">
        <v>611</v>
      </c>
      <c r="O265" s="1254"/>
      <c r="P265" s="1254"/>
      <c r="Q265" s="1255"/>
      <c r="R265" s="325"/>
      <c r="S265" s="428" t="str">
        <f>IF(ISBLANK(E265),"",E265)</f>
        <v/>
      </c>
      <c r="T265" s="154" t="s">
        <v>501</v>
      </c>
      <c r="U265" s="325"/>
      <c r="V265" s="325"/>
      <c r="W265" s="466"/>
      <c r="X265" s="466"/>
      <c r="Y265" s="466"/>
      <c r="Z265" s="466"/>
      <c r="AA265" s="210"/>
      <c r="AB265" s="210"/>
      <c r="AC265" s="210"/>
      <c r="AD265" s="471"/>
    </row>
    <row r="266" spans="1:38" ht="26.25" customHeight="1" x14ac:dyDescent="0.25">
      <c r="A266" s="1256" t="s">
        <v>612</v>
      </c>
      <c r="B266" s="1257"/>
      <c r="C266" s="1257"/>
      <c r="D266" s="1258"/>
      <c r="E266" s="1234"/>
      <c r="F266" s="1235"/>
      <c r="G266" s="1235"/>
      <c r="H266" s="1235"/>
      <c r="I266" s="1235"/>
      <c r="J266" s="1235"/>
      <c r="K266" s="1235"/>
      <c r="L266" s="1236"/>
      <c r="M266" s="1237" t="str">
        <f>IF(AND(ISBLANK(E266),OR(NOT(ISBLANK(E267)),NOT(ISBLANK(E268)),NOT(ISBLANK(E269)),NOT(ISBLANK(I270)),NOT(ISBLANK(A272)))),"This information is required.","")</f>
        <v/>
      </c>
      <c r="N266" s="1238"/>
      <c r="O266" s="1238"/>
      <c r="P266" s="1238"/>
      <c r="Q266" s="429"/>
      <c r="R266" s="325"/>
      <c r="S266" s="428" t="str">
        <f>IF(ISBLANK(E266),"",E266)</f>
        <v/>
      </c>
      <c r="T266" s="154" t="s">
        <v>185</v>
      </c>
      <c r="U266" s="325"/>
      <c r="V266" s="325"/>
      <c r="W266" s="466"/>
      <c r="X266" s="210"/>
      <c r="Y266" s="210"/>
      <c r="Z266" s="210"/>
      <c r="AA266" s="464"/>
      <c r="AB266" s="464"/>
      <c r="AC266" s="464"/>
      <c r="AD266" s="471"/>
    </row>
    <row r="267" spans="1:38" ht="26.25" customHeight="1" x14ac:dyDescent="0.2">
      <c r="A267" s="1222" t="s">
        <v>613</v>
      </c>
      <c r="B267" s="1223"/>
      <c r="C267" s="1223"/>
      <c r="D267" s="1224"/>
      <c r="E267" s="1234"/>
      <c r="F267" s="1235"/>
      <c r="G267" s="1235"/>
      <c r="H267" s="1235"/>
      <c r="I267" s="1235"/>
      <c r="J267" s="1235"/>
      <c r="K267" s="1235"/>
      <c r="L267" s="1236"/>
      <c r="M267" s="1237" t="str">
        <f>IF(AND(ISBLANK(E267),OR(NOT(ISBLANK(E266)),NOT(ISBLANK(E268)),NOT(ISBLANK(E269)),NOT(ISBLANK(I270)),NOT(ISBLANK(A272)))),"This information is required.","")</f>
        <v/>
      </c>
      <c r="N267" s="1238"/>
      <c r="O267" s="1238"/>
      <c r="P267" s="1238"/>
      <c r="Q267" s="429"/>
      <c r="R267" s="325"/>
      <c r="S267" s="428" t="str">
        <f>IF(ISBLANK(E267),"",E267)</f>
        <v/>
      </c>
      <c r="T267" s="154" t="s">
        <v>186</v>
      </c>
      <c r="U267" s="325"/>
      <c r="V267" s="325"/>
      <c r="W267" s="466"/>
      <c r="X267" s="468"/>
      <c r="Y267" s="468"/>
      <c r="Z267" s="468"/>
      <c r="AA267" s="466"/>
      <c r="AB267" s="466"/>
      <c r="AC267" s="466"/>
      <c r="AD267" s="210"/>
    </row>
    <row r="268" spans="1:38" ht="26.25" customHeight="1" x14ac:dyDescent="0.25">
      <c r="A268" s="1239" t="s">
        <v>614</v>
      </c>
      <c r="B268" s="1240"/>
      <c r="C268" s="1240"/>
      <c r="D268" s="1241"/>
      <c r="E268" s="1242"/>
      <c r="F268" s="1243"/>
      <c r="G268" s="1244" t="s">
        <v>615</v>
      </c>
      <c r="H268" s="1244"/>
      <c r="I268" s="1244"/>
      <c r="J268" s="1244"/>
      <c r="K268" s="1244"/>
      <c r="L268" s="1244"/>
      <c r="M268" s="1245" t="str">
        <f>IF(AND(ISBLANK(E268),OR(NOT(ISBLANK(E266)),NOT(ISBLANK(E267)),NOT(ISBLANK(E269)),NOT(ISBLANK(I270)),NOT(ISBLANK(A272)))),"This information is required.","")</f>
        <v/>
      </c>
      <c r="N268" s="1089"/>
      <c r="O268" s="1089"/>
      <c r="P268" s="1089"/>
      <c r="Q268" s="430"/>
      <c r="R268" s="431"/>
      <c r="S268" s="432" t="str">
        <f>IF(ISBLANK(E268),"",E268)</f>
        <v/>
      </c>
      <c r="T268" s="433" t="s">
        <v>188</v>
      </c>
      <c r="U268" s="431"/>
      <c r="V268" s="431"/>
      <c r="W268" s="466"/>
      <c r="X268" s="466"/>
      <c r="Y268" s="466"/>
      <c r="Z268" s="466"/>
      <c r="AA268" s="466"/>
      <c r="AB268" s="466"/>
      <c r="AC268" s="466"/>
      <c r="AD268" s="471"/>
    </row>
    <row r="269" spans="1:38" ht="26.25" customHeight="1" x14ac:dyDescent="0.25">
      <c r="A269" s="1222" t="s">
        <v>616</v>
      </c>
      <c r="B269" s="1223"/>
      <c r="C269" s="1223"/>
      <c r="D269" s="1224"/>
      <c r="E269" s="1225"/>
      <c r="F269" s="1226"/>
      <c r="G269" s="434"/>
      <c r="H269" s="435"/>
      <c r="I269" s="436"/>
      <c r="J269" s="431"/>
      <c r="K269" s="431"/>
      <c r="L269" s="431"/>
      <c r="M269" s="1089" t="str">
        <f>IF(AND(ISBLANK(E269),OR(NOT(ISBLANK(E266)),NOT(ISBLANK(E267)),NOT(ISBLANK(E268)),NOT(ISBLANK(I270)),NOT(ISBLANK(A272)))),"This information is required.","")</f>
        <v/>
      </c>
      <c r="N269" s="1089"/>
      <c r="O269" s="1089"/>
      <c r="P269" s="1089"/>
      <c r="Q269" s="430"/>
      <c r="R269" s="392"/>
      <c r="S269" s="437" t="str">
        <f>IF(ISBLANK(E269),"",E269)</f>
        <v/>
      </c>
      <c r="T269" s="438" t="s">
        <v>189</v>
      </c>
      <c r="U269" s="392"/>
      <c r="V269" s="392"/>
      <c r="W269" s="466"/>
      <c r="X269" s="466"/>
      <c r="Y269" s="466"/>
      <c r="Z269" s="466"/>
      <c r="AA269" s="466"/>
      <c r="AB269" s="466"/>
      <c r="AC269" s="466"/>
      <c r="AD269" s="471"/>
    </row>
    <row r="270" spans="1:38" ht="26.25" customHeight="1" thickBot="1" x14ac:dyDescent="0.3">
      <c r="A270" s="1227" t="s">
        <v>617</v>
      </c>
      <c r="B270" s="1228"/>
      <c r="C270" s="1228"/>
      <c r="D270" s="1228"/>
      <c r="E270" s="1229"/>
      <c r="F270" s="1229"/>
      <c r="G270" s="1229"/>
      <c r="H270" s="1229"/>
      <c r="I270" s="1230"/>
      <c r="J270" s="1230"/>
      <c r="K270" s="1231" t="s">
        <v>618</v>
      </c>
      <c r="L270" s="1232"/>
      <c r="M270" s="1233" t="str">
        <f>IF(AND(ISBLANK(I270),OR(NOT(ISBLANK(E266)),NOT(ISBLANK(E267)),NOT(ISBLANK(E268)),NOT(ISBLANK(E269)),NOT(ISBLANK(A272)))),"This information is required!","")</f>
        <v/>
      </c>
      <c r="N270" s="1233"/>
      <c r="O270" s="1233"/>
      <c r="P270" s="1233"/>
      <c r="Q270" s="439"/>
      <c r="R270" s="392"/>
      <c r="S270" s="437" t="str">
        <f>IF(ISBLANK(I270),"",I270)</f>
        <v/>
      </c>
      <c r="T270" s="438" t="s">
        <v>190</v>
      </c>
      <c r="U270" s="440"/>
      <c r="V270" s="440"/>
      <c r="W270" s="210"/>
      <c r="X270" s="466"/>
      <c r="Y270" s="466"/>
      <c r="Z270" s="466"/>
      <c r="AA270" s="466"/>
      <c r="AB270" s="466"/>
      <c r="AC270" s="466"/>
      <c r="AD270" s="471"/>
    </row>
    <row r="271" spans="1:38" ht="26.25" customHeight="1" x14ac:dyDescent="0.25">
      <c r="A271" s="1148" t="s">
        <v>620</v>
      </c>
      <c r="B271" s="1149"/>
      <c r="C271" s="1149"/>
      <c r="D271" s="1149"/>
      <c r="E271" s="1149"/>
      <c r="F271" s="1149"/>
      <c r="G271" s="1149"/>
      <c r="H271" s="1149"/>
      <c r="I271" s="1149"/>
      <c r="J271" s="1214"/>
      <c r="K271" s="1215" t="s">
        <v>693</v>
      </c>
      <c r="L271" s="1215"/>
      <c r="M271" s="1215"/>
      <c r="N271" s="1215"/>
      <c r="O271" s="1217" t="s">
        <v>621</v>
      </c>
      <c r="P271" s="1217"/>
      <c r="Q271" s="1218"/>
      <c r="R271" s="431"/>
      <c r="S271" s="437" t="str">
        <f>IF(ISBLANK(A272),"",A272)</f>
        <v/>
      </c>
      <c r="T271" s="438" t="s">
        <v>191</v>
      </c>
      <c r="U271" s="442"/>
      <c r="V271" s="442"/>
      <c r="W271" s="468"/>
      <c r="X271" s="466"/>
      <c r="Y271" s="466"/>
      <c r="Z271" s="466"/>
      <c r="AA271" s="466"/>
      <c r="AB271" s="466"/>
      <c r="AC271" s="466"/>
      <c r="AD271" s="471"/>
    </row>
    <row r="272" spans="1:38" ht="26.25" customHeight="1" x14ac:dyDescent="0.25">
      <c r="A272" s="1160"/>
      <c r="B272" s="1161"/>
      <c r="C272" s="1161"/>
      <c r="D272" s="1161"/>
      <c r="E272" s="1161"/>
      <c r="F272" s="1161"/>
      <c r="G272" s="1161"/>
      <c r="H272" s="1161"/>
      <c r="I272" s="1161"/>
      <c r="J272" s="1202"/>
      <c r="K272" s="1216"/>
      <c r="L272" s="1216"/>
      <c r="M272" s="1216"/>
      <c r="N272" s="1216"/>
      <c r="O272" s="443"/>
      <c r="P272" s="229" t="s">
        <v>269</v>
      </c>
      <c r="Q272" s="444" t="s">
        <v>270</v>
      </c>
      <c r="R272" s="431"/>
      <c r="S272" s="437" t="str">
        <f>IF(ISBLANK(A275),"",A275)</f>
        <v/>
      </c>
      <c r="T272" s="445" t="s">
        <v>192</v>
      </c>
      <c r="U272" s="442"/>
      <c r="V272" s="442"/>
      <c r="W272" s="466"/>
      <c r="X272" s="466"/>
      <c r="Y272" s="466"/>
      <c r="Z272" s="466"/>
      <c r="AA272" s="466"/>
      <c r="AB272" s="466"/>
      <c r="AC272" s="466"/>
      <c r="AD272" s="471"/>
    </row>
    <row r="273" spans="1:30" ht="26.25" customHeight="1" x14ac:dyDescent="0.25">
      <c r="A273" s="1176"/>
      <c r="B273" s="1177"/>
      <c r="C273" s="1177"/>
      <c r="D273" s="1177"/>
      <c r="E273" s="1177"/>
      <c r="F273" s="1177"/>
      <c r="G273" s="1177"/>
      <c r="H273" s="1177"/>
      <c r="I273" s="1177"/>
      <c r="J273" s="1203"/>
      <c r="K273" s="1204" t="s">
        <v>622</v>
      </c>
      <c r="L273" s="1205"/>
      <c r="M273" s="1205"/>
      <c r="N273" s="1205"/>
      <c r="O273" s="1206"/>
      <c r="P273" s="451"/>
      <c r="Q273" s="487"/>
      <c r="R273" s="440" t="str">
        <f>IF(COUNTBLANK(P273:Q273)=2,"Please enter response.",IF(COUNTBLANK(P273:Q273)&lt;&gt;1,"Please VERIFY response.",""))</f>
        <v>Please enter response.</v>
      </c>
      <c r="S273" s="452" t="str">
        <f>IF(AND(ISBLANK(P273),ISBLANK(Q273)),"",IF(ISBLANK(P273),0,1))</f>
        <v/>
      </c>
      <c r="T273" s="251" t="s">
        <v>592</v>
      </c>
      <c r="U273" s="213"/>
      <c r="V273" s="213"/>
      <c r="W273" s="466"/>
      <c r="X273" s="466"/>
      <c r="Y273" s="466"/>
      <c r="Z273" s="466"/>
      <c r="AA273" s="466"/>
      <c r="AB273" s="466"/>
      <c r="AC273" s="466"/>
      <c r="AD273" s="471"/>
    </row>
    <row r="274" spans="1:30" ht="26.25" customHeight="1" x14ac:dyDescent="0.25">
      <c r="A274" s="1219" t="s">
        <v>623</v>
      </c>
      <c r="B274" s="1220"/>
      <c r="C274" s="1220"/>
      <c r="D274" s="1220"/>
      <c r="E274" s="1220"/>
      <c r="F274" s="1220"/>
      <c r="G274" s="1220"/>
      <c r="H274" s="1220"/>
      <c r="I274" s="1220"/>
      <c r="J274" s="1221"/>
      <c r="K274" s="1204" t="s">
        <v>624</v>
      </c>
      <c r="L274" s="1205"/>
      <c r="M274" s="1205"/>
      <c r="N274" s="1205"/>
      <c r="O274" s="1206"/>
      <c r="P274" s="451"/>
      <c r="Q274" s="487"/>
      <c r="R274" s="440" t="str">
        <f>IF(COUNTBLANK(P274:Q274)=2,"Please enter response.",IF(COUNTBLANK(P274:Q274)&lt;&gt;1,"Please VERIFY response.",""))</f>
        <v>Please enter response.</v>
      </c>
      <c r="S274" s="452" t="str">
        <f>IF(AND(ISBLANK(P274),ISBLANK(Q274)),"",IF(ISBLANK(P274),0,1))</f>
        <v/>
      </c>
      <c r="T274" s="251" t="s">
        <v>593</v>
      </c>
      <c r="U274" s="213"/>
      <c r="V274" s="213"/>
      <c r="W274" s="466"/>
      <c r="X274" s="466"/>
      <c r="Y274" s="466"/>
      <c r="Z274" s="466"/>
      <c r="AA274" s="466"/>
      <c r="AB274" s="466"/>
      <c r="AC274" s="466"/>
      <c r="AD274" s="471"/>
    </row>
    <row r="275" spans="1:30" ht="26.25" customHeight="1" x14ac:dyDescent="0.25">
      <c r="A275" s="1160"/>
      <c r="B275" s="1161"/>
      <c r="C275" s="1161"/>
      <c r="D275" s="1161"/>
      <c r="E275" s="1161"/>
      <c r="F275" s="1161"/>
      <c r="G275" s="1161"/>
      <c r="H275" s="1161"/>
      <c r="I275" s="1161"/>
      <c r="J275" s="1202"/>
      <c r="K275" s="1204" t="s">
        <v>625</v>
      </c>
      <c r="L275" s="1205"/>
      <c r="M275" s="1205"/>
      <c r="N275" s="1205"/>
      <c r="O275" s="1206"/>
      <c r="P275" s="451"/>
      <c r="Q275" s="487"/>
      <c r="R275" s="440" t="str">
        <f>IF(COUNTBLANK(P275:Q275)=2,"Please enter response.",IF(COUNTBLANK(P275:Q275)&lt;&gt;1,"Please VERIFY response.",""))</f>
        <v>Please enter response.</v>
      </c>
      <c r="S275" s="452" t="str">
        <f>IF(AND(ISBLANK(P275),ISBLANK(Q275)),"",IF(ISBLANK(P275),0,1))</f>
        <v/>
      </c>
      <c r="T275" s="251" t="s">
        <v>594</v>
      </c>
      <c r="U275" s="213"/>
      <c r="V275" s="213"/>
      <c r="W275" s="466"/>
      <c r="X275" s="466"/>
      <c r="Y275" s="466"/>
      <c r="Z275" s="466"/>
      <c r="AA275" s="466"/>
      <c r="AB275" s="466"/>
      <c r="AC275" s="466"/>
      <c r="AD275" s="471"/>
    </row>
    <row r="276" spans="1:30" ht="26.25" customHeight="1" x14ac:dyDescent="0.25">
      <c r="A276" s="1176"/>
      <c r="B276" s="1177"/>
      <c r="C276" s="1177"/>
      <c r="D276" s="1177"/>
      <c r="E276" s="1177"/>
      <c r="F276" s="1177"/>
      <c r="G276" s="1177"/>
      <c r="H276" s="1177"/>
      <c r="I276" s="1177"/>
      <c r="J276" s="1203"/>
      <c r="K276" s="1204" t="s">
        <v>626</v>
      </c>
      <c r="L276" s="1205"/>
      <c r="M276" s="1205"/>
      <c r="N276" s="1205"/>
      <c r="O276" s="1206"/>
      <c r="P276" s="451"/>
      <c r="Q276" s="487"/>
      <c r="R276" s="440" t="str">
        <f>IF(COUNTBLANK(P276:Q276)=2,"Please enter response.",IF(COUNTBLANK(P276:Q276)&lt;&gt;1,"Please VERIFY response.",""))</f>
        <v>Please enter response.</v>
      </c>
      <c r="S276" s="452" t="str">
        <f>IF(AND(ISBLANK(P276),ISBLANK(Q276)),"",IF(ISBLANK(P276),0,1))</f>
        <v/>
      </c>
      <c r="T276" s="251" t="s">
        <v>595</v>
      </c>
      <c r="U276" s="213"/>
      <c r="V276" s="213"/>
      <c r="W276" s="466"/>
      <c r="X276" s="466"/>
      <c r="Y276" s="466"/>
      <c r="Z276" s="466"/>
      <c r="AA276" s="474"/>
      <c r="AB276" s="474"/>
      <c r="AC276" s="474"/>
      <c r="AD276" s="471"/>
    </row>
    <row r="277" spans="1:30" ht="26.25" customHeight="1" x14ac:dyDescent="0.25">
      <c r="A277" s="1207" t="s">
        <v>627</v>
      </c>
      <c r="B277" s="1208"/>
      <c r="C277" s="1208"/>
      <c r="D277" s="1208"/>
      <c r="E277" s="1208"/>
      <c r="F277" s="1208"/>
      <c r="G277" s="1208"/>
      <c r="H277" s="1208"/>
      <c r="I277" s="1208"/>
      <c r="J277" s="1208"/>
      <c r="K277" s="1208"/>
      <c r="L277" s="1208"/>
      <c r="M277" s="1208"/>
      <c r="N277" s="1208"/>
      <c r="O277" s="1208"/>
      <c r="P277" s="1208"/>
      <c r="Q277" s="1209"/>
      <c r="R277" s="454"/>
      <c r="S277" s="463"/>
      <c r="T277" s="454"/>
      <c r="U277" s="454"/>
      <c r="V277" s="454"/>
      <c r="W277" s="466"/>
      <c r="X277" s="210"/>
      <c r="Y277" s="210"/>
      <c r="Z277" s="210"/>
      <c r="AA277" s="464"/>
      <c r="AB277" s="464"/>
      <c r="AC277" s="464"/>
      <c r="AD277" s="471"/>
    </row>
    <row r="278" spans="1:30" ht="26.25" customHeight="1" x14ac:dyDescent="0.2">
      <c r="A278" s="1210" t="s">
        <v>628</v>
      </c>
      <c r="B278" s="1211"/>
      <c r="C278" s="1211"/>
      <c r="D278" s="1211"/>
      <c r="E278" s="1211" t="s">
        <v>629</v>
      </c>
      <c r="F278" s="1211"/>
      <c r="G278" s="1211"/>
      <c r="H278" s="1211"/>
      <c r="I278" s="1211" t="s">
        <v>630</v>
      </c>
      <c r="J278" s="1211"/>
      <c r="K278" s="1211"/>
      <c r="L278" s="1211"/>
      <c r="M278" s="1212" t="s">
        <v>631</v>
      </c>
      <c r="N278" s="1211"/>
      <c r="O278" s="1211"/>
      <c r="P278" s="1211"/>
      <c r="Q278" s="1213"/>
      <c r="R278" s="459"/>
      <c r="S278" s="1195" t="s">
        <v>632</v>
      </c>
      <c r="T278" s="1195"/>
      <c r="U278" s="1195"/>
      <c r="V278" s="1195"/>
      <c r="W278" s="466"/>
      <c r="X278" s="464"/>
      <c r="Y278" s="464"/>
      <c r="Z278" s="464"/>
      <c r="AA278" s="466"/>
      <c r="AB278" s="466"/>
      <c r="AC278" s="466"/>
      <c r="AD278" s="210"/>
    </row>
    <row r="279" spans="1:30" ht="26.25" customHeight="1" thickBot="1" x14ac:dyDescent="0.3">
      <c r="A279" s="1196"/>
      <c r="B279" s="815"/>
      <c r="C279" s="815"/>
      <c r="D279" s="815"/>
      <c r="E279" s="815"/>
      <c r="F279" s="815"/>
      <c r="G279" s="815"/>
      <c r="H279" s="815"/>
      <c r="I279" s="815"/>
      <c r="J279" s="815"/>
      <c r="K279" s="815"/>
      <c r="L279" s="815"/>
      <c r="M279" s="1197"/>
      <c r="N279" s="1197"/>
      <c r="O279" s="1197"/>
      <c r="P279" s="1197"/>
      <c r="Q279" s="1198"/>
      <c r="R279" s="454"/>
      <c r="S279" s="467" t="str">
        <f>IF(ISBLANK(A279),"",VLOOKUP(A279,VProjType,2,FALSE))</f>
        <v/>
      </c>
      <c r="T279" s="467" t="str">
        <f>IF(ISBLANK(E279),"",VLOOKUP(E279,VSubtype1,2,FALSE))</f>
        <v/>
      </c>
      <c r="U279" s="467" t="str">
        <f>IF(ISBLANK(I279),"",VLOOKUP(I279,VSubtype2,2,FALSE))</f>
        <v/>
      </c>
      <c r="V279" s="467" t="str">
        <f>IF(ISBLANK(M279),"",VLOOKUP(M279,VSubtype3,2,FALSE))</f>
        <v/>
      </c>
      <c r="W279" s="466"/>
      <c r="X279" s="466"/>
      <c r="Y279" s="466"/>
      <c r="Z279" s="466"/>
      <c r="AA279" s="466"/>
      <c r="AB279" s="466"/>
      <c r="AC279" s="466"/>
      <c r="AD279" s="471"/>
    </row>
    <row r="280" spans="1:30" ht="26.25" customHeight="1" x14ac:dyDescent="0.25">
      <c r="A280" s="1199" t="s">
        <v>634</v>
      </c>
      <c r="B280" s="1200"/>
      <c r="C280" s="1200"/>
      <c r="D280" s="1200"/>
      <c r="E280" s="1200"/>
      <c r="F280" s="1200"/>
      <c r="G280" s="1200"/>
      <c r="H280" s="1200"/>
      <c r="I280" s="1200"/>
      <c r="J280" s="1200"/>
      <c r="K280" s="1200"/>
      <c r="L280" s="1200"/>
      <c r="M280" s="1200"/>
      <c r="N280" s="1200"/>
      <c r="O280" s="1200"/>
      <c r="P280" s="1200"/>
      <c r="Q280" s="1201"/>
      <c r="R280" s="464"/>
      <c r="S280" s="468" t="s">
        <v>635</v>
      </c>
      <c r="T280" s="464"/>
      <c r="U280" s="464"/>
      <c r="V280" s="464"/>
      <c r="W280" s="466"/>
      <c r="X280" s="466"/>
      <c r="Y280" s="466"/>
      <c r="Z280" s="466"/>
      <c r="AA280" s="466"/>
      <c r="AB280" s="466"/>
      <c r="AC280" s="466"/>
      <c r="AD280" s="471"/>
    </row>
    <row r="281" spans="1:30" ht="26.25" customHeight="1" x14ac:dyDescent="0.2">
      <c r="A281" s="1166" t="s">
        <v>636</v>
      </c>
      <c r="B281" s="1167"/>
      <c r="C281" s="1167"/>
      <c r="D281" s="1167"/>
      <c r="E281" s="1167"/>
      <c r="F281" s="1167"/>
      <c r="G281" s="1167"/>
      <c r="H281" s="1167"/>
      <c r="I281" s="1167"/>
      <c r="J281" s="1167"/>
      <c r="K281" s="1167"/>
      <c r="L281" s="1168"/>
      <c r="M281" s="1169"/>
      <c r="N281" s="1170"/>
      <c r="O281" s="1170"/>
      <c r="P281" s="1170"/>
      <c r="Q281" s="1171"/>
      <c r="R281" s="464"/>
      <c r="S281" s="469" t="str">
        <f>IF(ISBLANK(M281),"",VLOOKUP(M281,VRemote,2,FALSE))</f>
        <v/>
      </c>
      <c r="T281" s="470" t="s">
        <v>637</v>
      </c>
      <c r="U281" s="464"/>
      <c r="V281" s="464"/>
      <c r="W281" s="210"/>
      <c r="X281" s="466"/>
      <c r="Y281" s="466"/>
      <c r="Z281" s="466"/>
      <c r="AA281" s="466"/>
      <c r="AB281" s="466"/>
      <c r="AC281" s="466"/>
      <c r="AD281" s="210"/>
    </row>
    <row r="282" spans="1:30" ht="26.25" customHeight="1" x14ac:dyDescent="0.2">
      <c r="A282" s="1166" t="s">
        <v>638</v>
      </c>
      <c r="B282" s="1167"/>
      <c r="C282" s="1167"/>
      <c r="D282" s="1167"/>
      <c r="E282" s="1167"/>
      <c r="F282" s="1167"/>
      <c r="G282" s="1167"/>
      <c r="H282" s="1167"/>
      <c r="I282" s="1167"/>
      <c r="J282" s="1167"/>
      <c r="K282" s="1167"/>
      <c r="L282" s="1167"/>
      <c r="M282" s="1169"/>
      <c r="N282" s="1170"/>
      <c r="O282" s="1170"/>
      <c r="P282" s="1170"/>
      <c r="Q282" s="1171"/>
      <c r="R282" s="466"/>
      <c r="S282" s="469" t="str">
        <f>IF(ISBLANK(M282),"",VLOOKUP(M282,VCapacity,2,FALSE))</f>
        <v/>
      </c>
      <c r="T282" s="162" t="s">
        <v>639</v>
      </c>
      <c r="U282" s="466"/>
      <c r="V282" s="466"/>
      <c r="W282" s="464"/>
      <c r="X282" s="466"/>
      <c r="Y282" s="466"/>
      <c r="Z282" s="466"/>
      <c r="AA282" s="466"/>
      <c r="AB282" s="466"/>
      <c r="AC282" s="466"/>
      <c r="AD282" s="210"/>
    </row>
    <row r="283" spans="1:30" ht="26.25" customHeight="1" x14ac:dyDescent="0.2">
      <c r="A283" s="1166" t="s">
        <v>640</v>
      </c>
      <c r="B283" s="1167"/>
      <c r="C283" s="1167"/>
      <c r="D283" s="1167"/>
      <c r="E283" s="1167"/>
      <c r="F283" s="1167"/>
      <c r="G283" s="1167"/>
      <c r="H283" s="1167"/>
      <c r="I283" s="1167"/>
      <c r="J283" s="1167"/>
      <c r="K283" s="1167"/>
      <c r="L283" s="1167"/>
      <c r="M283" s="1169"/>
      <c r="N283" s="1170"/>
      <c r="O283" s="1170"/>
      <c r="P283" s="1170"/>
      <c r="Q283" s="1171"/>
      <c r="R283" s="466"/>
      <c r="S283" s="469" t="str">
        <f>IF(ISBLANK(M283),"",VLOOKUP(M283,VPriorCap,2,FALSE))</f>
        <v/>
      </c>
      <c r="T283" s="162" t="s">
        <v>641</v>
      </c>
      <c r="U283" s="466"/>
      <c r="V283" s="466"/>
      <c r="W283" s="466"/>
      <c r="X283" s="466"/>
      <c r="Y283" s="466"/>
      <c r="Z283" s="466"/>
      <c r="AA283" s="466"/>
      <c r="AB283" s="466"/>
      <c r="AC283" s="466"/>
      <c r="AD283" s="210"/>
    </row>
    <row r="284" spans="1:30" ht="26.25" customHeight="1" x14ac:dyDescent="0.2">
      <c r="A284" s="1183" t="s">
        <v>643</v>
      </c>
      <c r="B284" s="1184"/>
      <c r="C284" s="1184"/>
      <c r="D284" s="1184"/>
      <c r="E284" s="1184"/>
      <c r="F284" s="1184"/>
      <c r="G284" s="1184"/>
      <c r="H284" s="1184"/>
      <c r="I284" s="1184"/>
      <c r="J284" s="1184"/>
      <c r="K284" s="1184"/>
      <c r="L284" s="1184"/>
      <c r="M284" s="1184"/>
      <c r="N284" s="1184"/>
      <c r="O284" s="1184"/>
      <c r="P284" s="1184"/>
      <c r="Q284" s="1185"/>
      <c r="R284" s="466"/>
      <c r="S284" s="472" t="str">
        <f>IF(ISBLANK(A285),"",A285)</f>
        <v/>
      </c>
      <c r="T284" s="162" t="s">
        <v>589</v>
      </c>
      <c r="U284" s="466"/>
      <c r="V284" s="466"/>
      <c r="W284" s="466"/>
      <c r="X284" s="466"/>
      <c r="Y284" s="466"/>
      <c r="Z284" s="466"/>
      <c r="AA284" s="466"/>
      <c r="AB284" s="466"/>
      <c r="AC284" s="466"/>
      <c r="AD284" s="210"/>
    </row>
    <row r="285" spans="1:30" ht="26.25" customHeight="1" x14ac:dyDescent="0.2">
      <c r="A285" s="1175"/>
      <c r="B285" s="1152"/>
      <c r="C285" s="1152"/>
      <c r="D285" s="1152"/>
      <c r="E285" s="1152"/>
      <c r="F285" s="1152"/>
      <c r="G285" s="1152"/>
      <c r="H285" s="1152"/>
      <c r="I285" s="1152"/>
      <c r="J285" s="1152"/>
      <c r="K285" s="1152"/>
      <c r="L285" s="1152"/>
      <c r="M285" s="1152"/>
      <c r="N285" s="1152"/>
      <c r="O285" s="1152"/>
      <c r="P285" s="1152"/>
      <c r="Q285" s="1182"/>
      <c r="R285" s="466"/>
      <c r="S285" s="466"/>
      <c r="T285" s="466"/>
      <c r="U285" s="466"/>
      <c r="V285" s="466"/>
      <c r="W285" s="466"/>
      <c r="X285" s="466"/>
      <c r="Y285" s="466"/>
      <c r="Z285" s="466"/>
      <c r="AA285" s="466"/>
      <c r="AB285" s="466"/>
      <c r="AC285" s="466"/>
      <c r="AD285" s="210"/>
    </row>
    <row r="286" spans="1:30" ht="26.25" customHeight="1" x14ac:dyDescent="0.2">
      <c r="A286" s="1186"/>
      <c r="B286" s="1187"/>
      <c r="C286" s="1187"/>
      <c r="D286" s="1187"/>
      <c r="E286" s="1187"/>
      <c r="F286" s="1187"/>
      <c r="G286" s="1187"/>
      <c r="H286" s="1187"/>
      <c r="I286" s="1187"/>
      <c r="J286" s="1187"/>
      <c r="K286" s="1187"/>
      <c r="L286" s="1187"/>
      <c r="M286" s="1187"/>
      <c r="N286" s="1187"/>
      <c r="O286" s="1187"/>
      <c r="P286" s="1187"/>
      <c r="Q286" s="1188"/>
      <c r="R286" s="466"/>
      <c r="S286" s="466"/>
      <c r="T286" s="466"/>
      <c r="U286" s="466"/>
      <c r="V286" s="466"/>
      <c r="W286" s="466"/>
      <c r="X286" s="466"/>
      <c r="Y286" s="466"/>
      <c r="Z286" s="466"/>
      <c r="AA286" s="466"/>
      <c r="AB286" s="466"/>
      <c r="AC286" s="466"/>
      <c r="AD286" s="210"/>
    </row>
    <row r="287" spans="1:30" ht="26.25" customHeight="1" x14ac:dyDescent="0.2">
      <c r="A287" s="1189" t="s">
        <v>645</v>
      </c>
      <c r="B287" s="1190"/>
      <c r="C287" s="1190"/>
      <c r="D287" s="1190"/>
      <c r="E287" s="1190"/>
      <c r="F287" s="1190"/>
      <c r="G287" s="1190"/>
      <c r="H287" s="1190"/>
      <c r="I287" s="1190"/>
      <c r="J287" s="1190"/>
      <c r="K287" s="1190"/>
      <c r="L287" s="1190"/>
      <c r="M287" s="1190"/>
      <c r="N287" s="1190"/>
      <c r="O287" s="1190"/>
      <c r="P287" s="1190"/>
      <c r="Q287" s="1191"/>
      <c r="R287" s="468"/>
      <c r="S287" s="468"/>
      <c r="T287" s="468"/>
      <c r="U287" s="468"/>
      <c r="V287" s="468"/>
      <c r="W287" s="466"/>
      <c r="X287" s="466"/>
      <c r="Y287" s="466"/>
      <c r="Z287" s="466"/>
      <c r="AA287" s="210"/>
      <c r="AB287" s="210"/>
      <c r="AC287" s="210"/>
      <c r="AD287" s="210"/>
    </row>
    <row r="288" spans="1:30" ht="26.25" customHeight="1" x14ac:dyDescent="0.2">
      <c r="A288" s="1175"/>
      <c r="B288" s="1152"/>
      <c r="C288" s="1152"/>
      <c r="D288" s="1152"/>
      <c r="E288" s="1152"/>
      <c r="F288" s="1152"/>
      <c r="G288" s="1152"/>
      <c r="H288" s="1152"/>
      <c r="I288" s="1152"/>
      <c r="J288" s="1152"/>
      <c r="K288" s="1152"/>
      <c r="L288" s="1152"/>
      <c r="M288" s="1152"/>
      <c r="N288" s="1152"/>
      <c r="O288" s="1152"/>
      <c r="P288" s="1152"/>
      <c r="Q288" s="1153"/>
      <c r="R288" s="466"/>
      <c r="S288" s="472" t="str">
        <f>IF(ISBLANK(A288),"",A288)</f>
        <v/>
      </c>
      <c r="T288" s="438" t="s">
        <v>194</v>
      </c>
      <c r="U288" s="466"/>
      <c r="V288" s="466"/>
      <c r="W288" s="466"/>
      <c r="X288" s="474"/>
      <c r="Y288" s="474"/>
      <c r="Z288" s="474"/>
      <c r="AA288" s="468"/>
      <c r="AB288" s="468"/>
      <c r="AC288" s="468"/>
      <c r="AD288" s="210"/>
    </row>
    <row r="289" spans="1:30" ht="26.25" customHeight="1" thickBot="1" x14ac:dyDescent="0.25">
      <c r="A289" s="1163"/>
      <c r="B289" s="1164"/>
      <c r="C289" s="1164"/>
      <c r="D289" s="1164"/>
      <c r="E289" s="1164"/>
      <c r="F289" s="1164"/>
      <c r="G289" s="1164"/>
      <c r="H289" s="1164"/>
      <c r="I289" s="1164"/>
      <c r="J289" s="1164"/>
      <c r="K289" s="1164"/>
      <c r="L289" s="1164"/>
      <c r="M289" s="1164"/>
      <c r="N289" s="1164"/>
      <c r="O289" s="1164"/>
      <c r="P289" s="1164"/>
      <c r="Q289" s="1165"/>
      <c r="R289" s="466"/>
      <c r="S289" s="466"/>
      <c r="T289" s="438"/>
      <c r="U289" s="466"/>
      <c r="V289" s="466"/>
      <c r="W289" s="466"/>
      <c r="X289" s="480"/>
      <c r="Y289" s="480"/>
      <c r="Z289" s="480"/>
      <c r="AA289" s="466"/>
      <c r="AB289" s="466"/>
      <c r="AC289" s="466"/>
      <c r="AD289" s="210"/>
    </row>
    <row r="290" spans="1:30" ht="26.25" customHeight="1" x14ac:dyDescent="0.2">
      <c r="A290" s="1157" t="s">
        <v>647</v>
      </c>
      <c r="B290" s="1158"/>
      <c r="C290" s="1158"/>
      <c r="D290" s="1158"/>
      <c r="E290" s="1158"/>
      <c r="F290" s="1158"/>
      <c r="G290" s="1158"/>
      <c r="H290" s="1158"/>
      <c r="I290" s="1158"/>
      <c r="J290" s="1158"/>
      <c r="K290" s="1158"/>
      <c r="L290" s="1158"/>
      <c r="M290" s="1158"/>
      <c r="N290" s="1158"/>
      <c r="O290" s="1158"/>
      <c r="P290" s="1158"/>
      <c r="Q290" s="1159"/>
      <c r="R290" s="464"/>
      <c r="S290" s="468" t="s">
        <v>648</v>
      </c>
      <c r="T290" s="464"/>
      <c r="U290" s="464"/>
      <c r="V290" s="464"/>
      <c r="W290" s="466"/>
      <c r="X290" s="210"/>
      <c r="Y290" s="210"/>
      <c r="Z290" s="210"/>
      <c r="AA290" s="466"/>
      <c r="AB290" s="466"/>
      <c r="AC290" s="466"/>
      <c r="AD290" s="210"/>
    </row>
    <row r="291" spans="1:30" ht="26.25" customHeight="1" x14ac:dyDescent="0.2">
      <c r="A291" s="1192" t="s">
        <v>649</v>
      </c>
      <c r="B291" s="1193"/>
      <c r="C291" s="1193"/>
      <c r="D291" s="1193"/>
      <c r="E291" s="1193"/>
      <c r="F291" s="1193"/>
      <c r="G291" s="1193"/>
      <c r="H291" s="1193"/>
      <c r="I291" s="1193"/>
      <c r="J291" s="1193"/>
      <c r="K291" s="1193"/>
      <c r="L291" s="1194"/>
      <c r="M291" s="1169"/>
      <c r="N291" s="1170"/>
      <c r="O291" s="1170"/>
      <c r="P291" s="1170"/>
      <c r="Q291" s="1171"/>
      <c r="R291" s="466"/>
      <c r="S291" s="473" t="str">
        <f>IF(ISBLANK(M291),"",VLOOKUP(M291,VImpact,2,FALSE))</f>
        <v/>
      </c>
      <c r="T291" s="162" t="s">
        <v>650</v>
      </c>
      <c r="U291" s="466"/>
      <c r="V291" s="466"/>
      <c r="W291" s="466"/>
      <c r="X291" s="210"/>
      <c r="Y291" s="210"/>
      <c r="Z291" s="210"/>
      <c r="AA291" s="466"/>
      <c r="AB291" s="466"/>
      <c r="AC291" s="466"/>
      <c r="AD291" s="210"/>
    </row>
    <row r="292" spans="1:30" ht="26.25" customHeight="1" x14ac:dyDescent="0.2">
      <c r="A292" s="1166" t="s">
        <v>651</v>
      </c>
      <c r="B292" s="1167"/>
      <c r="C292" s="1167"/>
      <c r="D292" s="1167"/>
      <c r="E292" s="1167"/>
      <c r="F292" s="1167"/>
      <c r="G292" s="1167"/>
      <c r="H292" s="1167"/>
      <c r="I292" s="1167"/>
      <c r="J292" s="1167"/>
      <c r="K292" s="1167"/>
      <c r="L292" s="1168"/>
      <c r="M292" s="1169"/>
      <c r="N292" s="1170"/>
      <c r="O292" s="1170"/>
      <c r="P292" s="1170"/>
      <c r="Q292" s="1171"/>
      <c r="R292" s="466"/>
      <c r="S292" s="473" t="str">
        <f>IF(ISBLANK(M292),"",VLOOKUP(M292,VEvidence,2,FALSE))</f>
        <v/>
      </c>
      <c r="T292" s="251" t="s">
        <v>652</v>
      </c>
      <c r="U292" s="466"/>
      <c r="V292" s="466"/>
      <c r="W292" s="474"/>
      <c r="X292" s="210"/>
      <c r="Y292" s="210"/>
      <c r="Z292" s="210"/>
      <c r="AA292" s="466"/>
      <c r="AB292" s="466"/>
      <c r="AC292" s="466"/>
      <c r="AD292" s="210"/>
    </row>
    <row r="293" spans="1:30" ht="26.25" customHeight="1" x14ac:dyDescent="0.2">
      <c r="A293" s="1172" t="s">
        <v>653</v>
      </c>
      <c r="B293" s="1173"/>
      <c r="C293" s="1173"/>
      <c r="D293" s="1173"/>
      <c r="E293" s="1173"/>
      <c r="F293" s="1173"/>
      <c r="G293" s="1173"/>
      <c r="H293" s="1173"/>
      <c r="I293" s="1173"/>
      <c r="J293" s="1173"/>
      <c r="K293" s="1173"/>
      <c r="L293" s="1173"/>
      <c r="M293" s="1173"/>
      <c r="N293" s="1173"/>
      <c r="O293" s="1173"/>
      <c r="P293" s="1173"/>
      <c r="Q293" s="1174"/>
      <c r="R293" s="466"/>
      <c r="S293" s="472" t="str">
        <f>IF(ISBLANK(A294),"",A294)</f>
        <v/>
      </c>
      <c r="T293" s="438" t="s">
        <v>193</v>
      </c>
      <c r="U293" s="466"/>
      <c r="V293" s="466"/>
      <c r="W293" s="480"/>
      <c r="X293" s="210"/>
      <c r="Y293" s="210"/>
      <c r="Z293" s="210"/>
      <c r="AA293" s="466"/>
      <c r="AB293" s="466"/>
      <c r="AC293" s="466"/>
      <c r="AD293" s="210"/>
    </row>
    <row r="294" spans="1:30" ht="26.25" customHeight="1" x14ac:dyDescent="0.2">
      <c r="A294" s="1175"/>
      <c r="B294" s="1152"/>
      <c r="C294" s="1152"/>
      <c r="D294" s="1152"/>
      <c r="E294" s="1152"/>
      <c r="F294" s="1152"/>
      <c r="G294" s="1152"/>
      <c r="H294" s="1152"/>
      <c r="I294" s="1152"/>
      <c r="J294" s="1152"/>
      <c r="K294" s="1152"/>
      <c r="L294" s="1152"/>
      <c r="M294" s="1152"/>
      <c r="N294" s="1152"/>
      <c r="O294" s="1152"/>
      <c r="P294" s="1152"/>
      <c r="Q294" s="1153"/>
      <c r="R294" s="466"/>
      <c r="S294" s="466"/>
      <c r="T294" s="475"/>
      <c r="U294" s="466"/>
      <c r="V294" s="466"/>
      <c r="W294" s="210"/>
      <c r="X294" s="210"/>
      <c r="Y294" s="210"/>
      <c r="Z294" s="210"/>
      <c r="AA294" s="466"/>
      <c r="AB294" s="466"/>
      <c r="AC294" s="466"/>
      <c r="AD294" s="210"/>
    </row>
    <row r="295" spans="1:30" ht="26.25" customHeight="1" x14ac:dyDescent="0.2">
      <c r="A295" s="1176"/>
      <c r="B295" s="1177"/>
      <c r="C295" s="1177"/>
      <c r="D295" s="1177"/>
      <c r="E295" s="1177"/>
      <c r="F295" s="1177"/>
      <c r="G295" s="1177"/>
      <c r="H295" s="1177"/>
      <c r="I295" s="1177"/>
      <c r="J295" s="1177"/>
      <c r="K295" s="1177"/>
      <c r="L295" s="1177"/>
      <c r="M295" s="1177"/>
      <c r="N295" s="1177"/>
      <c r="O295" s="1177"/>
      <c r="P295" s="1177"/>
      <c r="Q295" s="1178"/>
      <c r="R295" s="466"/>
      <c r="S295" s="466"/>
      <c r="T295" s="475"/>
      <c r="U295" s="466"/>
      <c r="V295" s="466"/>
      <c r="W295" s="210"/>
      <c r="X295" s="431"/>
      <c r="Y295" s="431"/>
      <c r="Z295" s="431"/>
      <c r="AA295" s="466"/>
      <c r="AB295" s="466"/>
      <c r="AC295" s="466"/>
      <c r="AD295" s="210"/>
    </row>
    <row r="296" spans="1:30" ht="26.25" customHeight="1" x14ac:dyDescent="0.2">
      <c r="A296" s="1179" t="s">
        <v>654</v>
      </c>
      <c r="B296" s="1180"/>
      <c r="C296" s="1180"/>
      <c r="D296" s="1180"/>
      <c r="E296" s="1180"/>
      <c r="F296" s="1180"/>
      <c r="G296" s="1180"/>
      <c r="H296" s="1180"/>
      <c r="I296" s="1180"/>
      <c r="J296" s="1180"/>
      <c r="K296" s="1180"/>
      <c r="L296" s="1180"/>
      <c r="M296" s="1180"/>
      <c r="N296" s="1180"/>
      <c r="O296" s="1180"/>
      <c r="P296" s="1180"/>
      <c r="Q296" s="1181"/>
      <c r="R296" s="466"/>
      <c r="S296" s="472" t="str">
        <f>IF(ISBLANK(A297),"",A297)</f>
        <v/>
      </c>
      <c r="T296" s="475" t="s">
        <v>590</v>
      </c>
      <c r="U296" s="466"/>
      <c r="V296" s="466"/>
      <c r="W296" s="210"/>
      <c r="X296" s="210"/>
      <c r="Y296" s="210"/>
      <c r="Z296" s="210"/>
      <c r="AA296" s="466"/>
      <c r="AB296" s="466"/>
      <c r="AC296" s="466"/>
      <c r="AD296" s="210"/>
    </row>
    <row r="297" spans="1:30" ht="26.25" customHeight="1" x14ac:dyDescent="0.2">
      <c r="A297" s="1175"/>
      <c r="B297" s="1152"/>
      <c r="C297" s="1152"/>
      <c r="D297" s="1152"/>
      <c r="E297" s="1152"/>
      <c r="F297" s="1152"/>
      <c r="G297" s="1152"/>
      <c r="H297" s="1152"/>
      <c r="I297" s="1152"/>
      <c r="J297" s="1152"/>
      <c r="K297" s="1152"/>
      <c r="L297" s="1152"/>
      <c r="M297" s="1152"/>
      <c r="N297" s="1152"/>
      <c r="O297" s="1152"/>
      <c r="P297" s="1152"/>
      <c r="Q297" s="1182"/>
      <c r="R297" s="466"/>
      <c r="U297" s="466"/>
      <c r="V297" s="466"/>
      <c r="W297" s="210"/>
      <c r="X297" s="210"/>
      <c r="Y297" s="210"/>
      <c r="Z297" s="210"/>
      <c r="AA297" s="466"/>
      <c r="AB297" s="466"/>
      <c r="AC297" s="466"/>
      <c r="AD297" s="210"/>
    </row>
    <row r="298" spans="1:30" ht="26.25" customHeight="1" thickBot="1" x14ac:dyDescent="0.25">
      <c r="A298" s="1154"/>
      <c r="B298" s="1155"/>
      <c r="C298" s="1155"/>
      <c r="D298" s="1155"/>
      <c r="E298" s="1155"/>
      <c r="F298" s="1155"/>
      <c r="G298" s="1155"/>
      <c r="H298" s="1155"/>
      <c r="I298" s="1155"/>
      <c r="J298" s="1155"/>
      <c r="K298" s="1155"/>
      <c r="L298" s="1155"/>
      <c r="M298" s="1155"/>
      <c r="N298" s="1155"/>
      <c r="O298" s="1155"/>
      <c r="P298" s="1155"/>
      <c r="Q298" s="1156"/>
      <c r="R298" s="466"/>
      <c r="S298" s="466"/>
      <c r="T298" s="466"/>
      <c r="U298" s="466"/>
      <c r="V298" s="466"/>
      <c r="W298" s="210"/>
      <c r="X298" s="210"/>
      <c r="Y298" s="210"/>
      <c r="Z298" s="210"/>
      <c r="AA298" s="210"/>
      <c r="AB298" s="210"/>
      <c r="AC298" s="210"/>
      <c r="AD298" s="210"/>
    </row>
    <row r="299" spans="1:30" ht="26.25" customHeight="1" x14ac:dyDescent="0.2">
      <c r="A299" s="1148" t="s">
        <v>656</v>
      </c>
      <c r="B299" s="1149"/>
      <c r="C299" s="1149"/>
      <c r="D299" s="1149"/>
      <c r="E299" s="1149"/>
      <c r="F299" s="1149"/>
      <c r="G299" s="1149"/>
      <c r="H299" s="1149"/>
      <c r="I299" s="1149"/>
      <c r="J299" s="1149"/>
      <c r="K299" s="1149"/>
      <c r="L299" s="1149"/>
      <c r="M299" s="1149"/>
      <c r="N299" s="1149"/>
      <c r="O299" s="1149"/>
      <c r="P299" s="1149"/>
      <c r="Q299" s="1150"/>
      <c r="S299" s="478" t="str">
        <f>IF(ISBLANK(A300),"",A300)</f>
        <v/>
      </c>
      <c r="T299" s="479" t="s">
        <v>657</v>
      </c>
      <c r="W299" s="431"/>
      <c r="X299" s="431"/>
      <c r="Y299" s="431"/>
      <c r="Z299" s="431"/>
      <c r="AA299" s="464"/>
      <c r="AB299" s="464"/>
      <c r="AC299" s="464"/>
      <c r="AD299" s="210"/>
    </row>
    <row r="300" spans="1:30" ht="26.25" customHeight="1" x14ac:dyDescent="0.2">
      <c r="A300" s="1175"/>
      <c r="B300" s="1152"/>
      <c r="C300" s="1152"/>
      <c r="D300" s="1152"/>
      <c r="E300" s="1152"/>
      <c r="F300" s="1152"/>
      <c r="G300" s="1152"/>
      <c r="H300" s="1152"/>
      <c r="I300" s="1152"/>
      <c r="J300" s="1152"/>
      <c r="K300" s="1152"/>
      <c r="L300" s="1152"/>
      <c r="M300" s="1152"/>
      <c r="N300" s="1152"/>
      <c r="O300" s="1152"/>
      <c r="P300" s="1152"/>
      <c r="Q300" s="1153"/>
      <c r="W300" s="210"/>
      <c r="X300" s="466"/>
      <c r="Y300" s="466"/>
      <c r="Z300" s="466"/>
      <c r="AA300" s="466"/>
      <c r="AB300" s="466"/>
      <c r="AC300" s="466"/>
      <c r="AD300" s="210"/>
    </row>
    <row r="301" spans="1:30" ht="26.25" customHeight="1" thickBot="1" x14ac:dyDescent="0.25">
      <c r="A301" s="1154"/>
      <c r="B301" s="1155"/>
      <c r="C301" s="1155"/>
      <c r="D301" s="1155"/>
      <c r="E301" s="1155"/>
      <c r="F301" s="1155"/>
      <c r="G301" s="1155"/>
      <c r="H301" s="1155"/>
      <c r="I301" s="1155"/>
      <c r="J301" s="1155"/>
      <c r="K301" s="1155"/>
      <c r="L301" s="1155"/>
      <c r="M301" s="1155"/>
      <c r="N301" s="1155"/>
      <c r="O301" s="1155"/>
      <c r="P301" s="1155"/>
      <c r="Q301" s="1156"/>
      <c r="R301" s="436"/>
      <c r="S301" s="436"/>
      <c r="T301" s="436"/>
      <c r="U301" s="436"/>
      <c r="V301" s="436"/>
      <c r="W301" s="210"/>
      <c r="X301" s="466"/>
      <c r="Y301" s="466"/>
      <c r="Z301" s="466"/>
      <c r="AA301" s="466"/>
      <c r="AB301" s="466"/>
      <c r="AC301" s="466"/>
      <c r="AD301" s="210"/>
    </row>
    <row r="302" spans="1:30" ht="26.25" customHeight="1" x14ac:dyDescent="0.2">
      <c r="A302" s="1157" t="s">
        <v>658</v>
      </c>
      <c r="B302" s="1158"/>
      <c r="C302" s="1158"/>
      <c r="D302" s="1158"/>
      <c r="E302" s="1158"/>
      <c r="F302" s="1158"/>
      <c r="G302" s="1158"/>
      <c r="H302" s="1158"/>
      <c r="I302" s="1158"/>
      <c r="J302" s="1158"/>
      <c r="K302" s="1158"/>
      <c r="L302" s="1158"/>
      <c r="M302" s="1158"/>
      <c r="N302" s="1158"/>
      <c r="O302" s="1158"/>
      <c r="P302" s="1158"/>
      <c r="Q302" s="1159"/>
      <c r="R302" s="476"/>
      <c r="S302" s="481"/>
      <c r="T302" s="482"/>
      <c r="U302" s="476"/>
      <c r="V302" s="476"/>
      <c r="W302" s="210"/>
      <c r="X302" s="466"/>
      <c r="Y302" s="466"/>
      <c r="Z302" s="466"/>
      <c r="AA302" s="466"/>
      <c r="AB302" s="466"/>
      <c r="AC302" s="466"/>
      <c r="AD302" s="210"/>
    </row>
    <row r="303" spans="1:30" ht="26.25" customHeight="1" x14ac:dyDescent="0.2">
      <c r="A303" s="1160"/>
      <c r="B303" s="1161"/>
      <c r="C303" s="1161"/>
      <c r="D303" s="1161"/>
      <c r="E303" s="1161"/>
      <c r="F303" s="1161"/>
      <c r="G303" s="1161"/>
      <c r="H303" s="1161"/>
      <c r="I303" s="1161"/>
      <c r="J303" s="1161"/>
      <c r="K303" s="1161"/>
      <c r="L303" s="1161"/>
      <c r="M303" s="1161"/>
      <c r="N303" s="1161"/>
      <c r="O303" s="1161"/>
      <c r="P303" s="1161"/>
      <c r="Q303" s="1162"/>
      <c r="R303" s="195"/>
      <c r="S303" s="483" t="str">
        <f>IF(ISBLANK(A303),"",CONCATENATE(S302,A303))</f>
        <v/>
      </c>
      <c r="T303" s="438" t="s">
        <v>195</v>
      </c>
      <c r="U303" s="195"/>
      <c r="V303" s="195"/>
      <c r="W303" s="431"/>
      <c r="X303" s="466"/>
      <c r="Y303" s="466"/>
      <c r="Z303" s="466"/>
      <c r="AA303" s="466"/>
      <c r="AB303" s="466"/>
      <c r="AC303" s="466"/>
      <c r="AD303" s="210"/>
    </row>
    <row r="304" spans="1:30" ht="26.25" customHeight="1" thickBot="1" x14ac:dyDescent="0.25">
      <c r="A304" s="1163"/>
      <c r="B304" s="1164"/>
      <c r="C304" s="1164"/>
      <c r="D304" s="1164"/>
      <c r="E304" s="1164"/>
      <c r="F304" s="1164"/>
      <c r="G304" s="1164"/>
      <c r="H304" s="1164"/>
      <c r="I304" s="1164"/>
      <c r="J304" s="1164"/>
      <c r="K304" s="1164"/>
      <c r="L304" s="1164"/>
      <c r="M304" s="1164"/>
      <c r="N304" s="1164"/>
      <c r="O304" s="1164"/>
      <c r="P304" s="1164"/>
      <c r="Q304" s="1165"/>
      <c r="R304" s="195"/>
      <c r="S304" s="210"/>
      <c r="T304" s="210"/>
      <c r="U304" s="210"/>
      <c r="V304" s="210"/>
      <c r="W304" s="466"/>
      <c r="X304" s="466"/>
      <c r="Y304" s="466"/>
      <c r="Z304" s="466"/>
      <c r="AA304" s="466"/>
      <c r="AB304" s="466"/>
      <c r="AC304" s="466"/>
      <c r="AD304" s="210"/>
    </row>
    <row r="305" spans="1:38" ht="26.25" customHeight="1" x14ac:dyDescent="0.2">
      <c r="A305" s="484" t="e">
        <f>$A$1</f>
        <v>#N/A</v>
      </c>
      <c r="B305" s="210"/>
      <c r="C305" s="210"/>
      <c r="D305" s="210"/>
      <c r="E305" s="210"/>
      <c r="F305" s="210"/>
      <c r="G305" s="210"/>
      <c r="H305" s="210"/>
      <c r="I305" s="210"/>
      <c r="J305" s="210"/>
      <c r="K305" s="210"/>
      <c r="L305" s="210"/>
      <c r="M305" s="210"/>
      <c r="N305" s="210"/>
      <c r="O305" s="210"/>
      <c r="P305" s="954"/>
      <c r="Q305" s="954"/>
      <c r="R305" s="474"/>
      <c r="S305" s="474"/>
      <c r="T305" s="474"/>
      <c r="U305" s="474"/>
      <c r="V305" s="474"/>
      <c r="W305" s="466"/>
      <c r="X305" s="466"/>
      <c r="Y305" s="466"/>
      <c r="Z305" s="466"/>
      <c r="AA305" s="466"/>
      <c r="AB305" s="466"/>
      <c r="AC305" s="466"/>
      <c r="AD305" s="210"/>
    </row>
    <row r="306" spans="1:38" ht="26.25" customHeight="1" thickBot="1" x14ac:dyDescent="0.25">
      <c r="A306" s="1259" t="s">
        <v>207</v>
      </c>
      <c r="B306" s="1260"/>
      <c r="C306" s="1260"/>
      <c r="D306" s="1260"/>
      <c r="E306" s="1260"/>
      <c r="F306" s="1260"/>
      <c r="G306" s="1260"/>
      <c r="H306" s="1260"/>
      <c r="I306" s="1260"/>
      <c r="J306" s="1260"/>
      <c r="K306" s="1260"/>
      <c r="L306" s="1260"/>
      <c r="M306" s="1260"/>
      <c r="N306" s="1261" t="str">
        <f>$N$5</f>
        <v>2019 Report Year</v>
      </c>
      <c r="O306" s="1262"/>
      <c r="P306" s="1262"/>
      <c r="Q306" s="1262"/>
      <c r="R306" s="480"/>
      <c r="S306" s="480"/>
      <c r="T306" s="480"/>
      <c r="U306" s="480"/>
      <c r="V306" s="480"/>
      <c r="W306" s="466"/>
      <c r="X306" s="466"/>
      <c r="Y306" s="466"/>
      <c r="Z306" s="466"/>
      <c r="AA306" s="466"/>
      <c r="AB306" s="466"/>
      <c r="AC306" s="466"/>
      <c r="AD306" s="210"/>
    </row>
    <row r="307" spans="1:38" ht="26.25" customHeight="1" x14ac:dyDescent="0.2">
      <c r="A307" s="1246" t="e">
        <f>IF(AND(OR(ISNA(cap_exp_contact),TRIM(cap_exp_contact)=""),NOT(ISBLANK(code_7594))),"The Capital Expenditure Contact information has NOT been provided.  Please complete this information now.","")</f>
        <v>#N/A</v>
      </c>
      <c r="B307" s="1247"/>
      <c r="C307" s="1247"/>
      <c r="D307" s="1247"/>
      <c r="E307" s="1247"/>
      <c r="F307" s="1247"/>
      <c r="G307" s="1247"/>
      <c r="H307" s="1247"/>
      <c r="I307" s="1247"/>
      <c r="J307" s="1247"/>
      <c r="K307" s="1247"/>
      <c r="L307" s="1247"/>
      <c r="M307" s="1247"/>
      <c r="N307" s="422" t="s">
        <v>609</v>
      </c>
      <c r="O307" s="423" t="e">
        <f>$O$6</f>
        <v>#N/A</v>
      </c>
      <c r="P307" s="424" t="s">
        <v>610</v>
      </c>
      <c r="Q307" s="425"/>
      <c r="R307" s="325"/>
      <c r="S307" s="210"/>
      <c r="T307" s="210"/>
      <c r="U307" s="210"/>
      <c r="V307" s="210"/>
      <c r="W307" s="466"/>
      <c r="X307" s="466"/>
      <c r="Y307" s="466"/>
      <c r="Z307" s="466"/>
      <c r="AA307" s="466"/>
      <c r="AB307" s="466"/>
      <c r="AC307" s="466"/>
      <c r="AD307" s="210"/>
    </row>
    <row r="308" spans="1:38" ht="26.25" customHeight="1" thickBot="1" x14ac:dyDescent="0.25">
      <c r="A308" s="1248" t="s">
        <v>197</v>
      </c>
      <c r="B308" s="1249"/>
      <c r="C308" s="1249"/>
      <c r="D308" s="1249"/>
      <c r="E308" s="1250"/>
      <c r="F308" s="1251"/>
      <c r="G308" s="1251"/>
      <c r="H308" s="1251"/>
      <c r="I308" s="1251"/>
      <c r="J308" s="1251"/>
      <c r="K308" s="1251"/>
      <c r="L308" s="1252"/>
      <c r="M308" s="427"/>
      <c r="N308" s="1253" t="s">
        <v>611</v>
      </c>
      <c r="O308" s="1254"/>
      <c r="P308" s="1254"/>
      <c r="Q308" s="1255"/>
      <c r="R308" s="325"/>
      <c r="S308" s="428" t="str">
        <f>IF(ISBLANK(E308),"",E308)</f>
        <v/>
      </c>
      <c r="T308" s="154" t="s">
        <v>501</v>
      </c>
      <c r="U308" s="325"/>
      <c r="V308" s="325"/>
      <c r="W308" s="466"/>
      <c r="X308" s="466"/>
      <c r="Y308" s="466"/>
      <c r="Z308" s="466"/>
      <c r="AA308" s="466"/>
      <c r="AB308" s="466"/>
      <c r="AC308" s="466"/>
      <c r="AD308" s="210"/>
    </row>
    <row r="309" spans="1:38" ht="26.25" customHeight="1" x14ac:dyDescent="0.2">
      <c r="A309" s="1256" t="s">
        <v>612</v>
      </c>
      <c r="B309" s="1257"/>
      <c r="C309" s="1257"/>
      <c r="D309" s="1258"/>
      <c r="E309" s="1234"/>
      <c r="F309" s="1235"/>
      <c r="G309" s="1235"/>
      <c r="H309" s="1235"/>
      <c r="I309" s="1235"/>
      <c r="J309" s="1235"/>
      <c r="K309" s="1235"/>
      <c r="L309" s="1236"/>
      <c r="M309" s="1237" t="str">
        <f>IF(AND(ISBLANK(E309),OR(NOT(ISBLANK(E310)),NOT(ISBLANK(E311)),NOT(ISBLANK(E312)),NOT(ISBLANK(I313)),NOT(ISBLANK(A315)))),"This information is required.","")</f>
        <v/>
      </c>
      <c r="N309" s="1238"/>
      <c r="O309" s="1238"/>
      <c r="P309" s="1238"/>
      <c r="Q309" s="429"/>
      <c r="R309" s="325"/>
      <c r="S309" s="428" t="str">
        <f>IF(ISBLANK(E309),"",E309)</f>
        <v/>
      </c>
      <c r="T309" s="154" t="s">
        <v>185</v>
      </c>
      <c r="U309" s="325"/>
      <c r="V309" s="325"/>
      <c r="W309" s="466"/>
      <c r="X309" s="210"/>
      <c r="Y309" s="210"/>
      <c r="Z309" s="210"/>
      <c r="AA309" s="474"/>
      <c r="AB309" s="474"/>
      <c r="AC309" s="474"/>
      <c r="AD309" s="436"/>
    </row>
    <row r="310" spans="1:38" ht="26.25" customHeight="1" x14ac:dyDescent="0.2">
      <c r="A310" s="1222" t="s">
        <v>613</v>
      </c>
      <c r="B310" s="1223"/>
      <c r="C310" s="1223"/>
      <c r="D310" s="1224"/>
      <c r="E310" s="1234"/>
      <c r="F310" s="1235"/>
      <c r="G310" s="1235"/>
      <c r="H310" s="1235"/>
      <c r="I310" s="1235"/>
      <c r="J310" s="1235"/>
      <c r="K310" s="1235"/>
      <c r="L310" s="1236"/>
      <c r="M310" s="1237" t="str">
        <f>IF(AND(ISBLANK(E310),OR(NOT(ISBLANK(E309)),NOT(ISBLANK(E311)),NOT(ISBLANK(E312)),NOT(ISBLANK(I313)),NOT(ISBLANK(A315)))),"This information is required.","")</f>
        <v/>
      </c>
      <c r="N310" s="1238"/>
      <c r="O310" s="1238"/>
      <c r="P310" s="1238"/>
      <c r="Q310" s="429"/>
      <c r="R310" s="325"/>
      <c r="S310" s="428" t="str">
        <f>IF(ISBLANK(E310),"",E310)</f>
        <v/>
      </c>
      <c r="T310" s="154" t="s">
        <v>186</v>
      </c>
      <c r="U310" s="325"/>
      <c r="V310" s="325"/>
      <c r="W310" s="466"/>
      <c r="X310" s="464"/>
      <c r="Y310" s="464"/>
      <c r="Z310" s="464"/>
      <c r="AA310" s="480"/>
      <c r="AB310" s="480"/>
      <c r="AC310" s="480"/>
      <c r="AD310" s="436"/>
    </row>
    <row r="311" spans="1:38" ht="26.25" customHeight="1" x14ac:dyDescent="0.2">
      <c r="A311" s="1239" t="s">
        <v>614</v>
      </c>
      <c r="B311" s="1240"/>
      <c r="C311" s="1240"/>
      <c r="D311" s="1241"/>
      <c r="E311" s="1242"/>
      <c r="F311" s="1243"/>
      <c r="G311" s="1244" t="s">
        <v>615</v>
      </c>
      <c r="H311" s="1244"/>
      <c r="I311" s="1244"/>
      <c r="J311" s="1244"/>
      <c r="K311" s="1244"/>
      <c r="L311" s="1244"/>
      <c r="M311" s="1245" t="str">
        <f>IF(AND(ISBLANK(E311),OR(NOT(ISBLANK(E309)),NOT(ISBLANK(E310)),NOT(ISBLANK(E312)),NOT(ISBLANK(I313)),NOT(ISBLANK(A315)))),"This information is required.","")</f>
        <v/>
      </c>
      <c r="N311" s="1089"/>
      <c r="O311" s="1089"/>
      <c r="P311" s="1089"/>
      <c r="Q311" s="430"/>
      <c r="R311" s="431"/>
      <c r="S311" s="432" t="str">
        <f>IF(ISBLANK(E311),"",E311)</f>
        <v/>
      </c>
      <c r="T311" s="433" t="s">
        <v>188</v>
      </c>
      <c r="U311" s="431"/>
      <c r="V311" s="431"/>
      <c r="W311" s="466"/>
      <c r="X311" s="466"/>
      <c r="Y311" s="466"/>
      <c r="Z311" s="466"/>
      <c r="AA311" s="210"/>
      <c r="AB311" s="210"/>
      <c r="AC311" s="210"/>
      <c r="AD311" s="436"/>
      <c r="AL311" s="213"/>
    </row>
    <row r="312" spans="1:38" ht="26.25" customHeight="1" x14ac:dyDescent="0.2">
      <c r="A312" s="1222" t="s">
        <v>616</v>
      </c>
      <c r="B312" s="1223"/>
      <c r="C312" s="1223"/>
      <c r="D312" s="1224"/>
      <c r="E312" s="1225"/>
      <c r="F312" s="1226"/>
      <c r="G312" s="434"/>
      <c r="H312" s="435"/>
      <c r="I312" s="436"/>
      <c r="J312" s="431"/>
      <c r="K312" s="431"/>
      <c r="L312" s="431"/>
      <c r="M312" s="1089" t="str">
        <f>IF(AND(ISBLANK(E312),OR(NOT(ISBLANK(E309)),NOT(ISBLANK(E310)),NOT(ISBLANK(E311)),NOT(ISBLANK(I313)),NOT(ISBLANK(A315)))),"This information is required.","")</f>
        <v/>
      </c>
      <c r="N312" s="1089"/>
      <c r="O312" s="1089"/>
      <c r="P312" s="1089"/>
      <c r="Q312" s="430"/>
      <c r="R312" s="392"/>
      <c r="S312" s="437" t="str">
        <f>IF(ISBLANK(E312),"",E312)</f>
        <v/>
      </c>
      <c r="T312" s="438" t="s">
        <v>189</v>
      </c>
      <c r="U312" s="392"/>
      <c r="V312" s="392"/>
      <c r="W312" s="466"/>
      <c r="X312" s="466"/>
      <c r="Y312" s="466"/>
      <c r="Z312" s="466"/>
      <c r="AA312" s="210"/>
      <c r="AB312" s="210"/>
      <c r="AC312" s="210"/>
      <c r="AD312" s="436"/>
      <c r="AL312" s="213"/>
    </row>
    <row r="313" spans="1:38" ht="26.25" customHeight="1" thickBot="1" x14ac:dyDescent="0.25">
      <c r="A313" s="1227" t="s">
        <v>617</v>
      </c>
      <c r="B313" s="1228"/>
      <c r="C313" s="1228"/>
      <c r="D313" s="1228"/>
      <c r="E313" s="1229"/>
      <c r="F313" s="1229"/>
      <c r="G313" s="1229"/>
      <c r="H313" s="1229"/>
      <c r="I313" s="1230"/>
      <c r="J313" s="1230"/>
      <c r="K313" s="1231" t="s">
        <v>618</v>
      </c>
      <c r="L313" s="1232"/>
      <c r="M313" s="1233" t="str">
        <f>IF(AND(ISBLANK(I313),OR(NOT(ISBLANK(E309)),NOT(ISBLANK(E310)),NOT(ISBLANK(E311)),NOT(ISBLANK(E312)),NOT(ISBLANK(A315)))),"This information is required!","")</f>
        <v/>
      </c>
      <c r="N313" s="1233"/>
      <c r="O313" s="1233"/>
      <c r="P313" s="1233"/>
      <c r="Q313" s="439"/>
      <c r="R313" s="392"/>
      <c r="S313" s="437" t="str">
        <f>IF(ISBLANK(I313),"",I313)</f>
        <v/>
      </c>
      <c r="T313" s="438" t="s">
        <v>190</v>
      </c>
      <c r="U313" s="440"/>
      <c r="V313" s="440"/>
      <c r="W313" s="210"/>
      <c r="X313" s="466"/>
      <c r="Y313" s="466"/>
      <c r="Z313" s="466"/>
      <c r="AA313" s="210"/>
      <c r="AB313" s="210"/>
      <c r="AC313" s="210"/>
      <c r="AD313" s="210"/>
      <c r="AL313" s="134"/>
    </row>
    <row r="314" spans="1:38" ht="26.25" customHeight="1" x14ac:dyDescent="0.2">
      <c r="A314" s="1148" t="s">
        <v>620</v>
      </c>
      <c r="B314" s="1149"/>
      <c r="C314" s="1149"/>
      <c r="D314" s="1149"/>
      <c r="E314" s="1149"/>
      <c r="F314" s="1149"/>
      <c r="G314" s="1149"/>
      <c r="H314" s="1149"/>
      <c r="I314" s="1149"/>
      <c r="J314" s="1214"/>
      <c r="K314" s="1215" t="s">
        <v>693</v>
      </c>
      <c r="L314" s="1215"/>
      <c r="M314" s="1215"/>
      <c r="N314" s="1215"/>
      <c r="O314" s="1217" t="s">
        <v>621</v>
      </c>
      <c r="P314" s="1217"/>
      <c r="Q314" s="1218"/>
      <c r="R314" s="431"/>
      <c r="S314" s="437" t="str">
        <f>IF(ISBLANK(A315),"",A315)</f>
        <v/>
      </c>
      <c r="T314" s="438" t="s">
        <v>191</v>
      </c>
      <c r="U314" s="442"/>
      <c r="V314" s="442"/>
      <c r="W314" s="464"/>
      <c r="X314" s="466"/>
      <c r="Y314" s="466"/>
      <c r="Z314" s="466"/>
      <c r="AA314" s="210"/>
      <c r="AB314" s="210"/>
      <c r="AC314" s="210"/>
      <c r="AD314" s="210"/>
      <c r="AL314" s="134"/>
    </row>
    <row r="315" spans="1:38" ht="26.25" customHeight="1" x14ac:dyDescent="0.2">
      <c r="A315" s="1160"/>
      <c r="B315" s="1161"/>
      <c r="C315" s="1161"/>
      <c r="D315" s="1161"/>
      <c r="E315" s="1161"/>
      <c r="F315" s="1161"/>
      <c r="G315" s="1161"/>
      <c r="H315" s="1161"/>
      <c r="I315" s="1161"/>
      <c r="J315" s="1202"/>
      <c r="K315" s="1216"/>
      <c r="L315" s="1216"/>
      <c r="M315" s="1216"/>
      <c r="N315" s="1216"/>
      <c r="O315" s="443"/>
      <c r="P315" s="229" t="s">
        <v>269</v>
      </c>
      <c r="Q315" s="444" t="s">
        <v>270</v>
      </c>
      <c r="R315" s="431"/>
      <c r="S315" s="437" t="str">
        <f>IF(ISBLANK(A318),"",A318)</f>
        <v/>
      </c>
      <c r="T315" s="445" t="s">
        <v>192</v>
      </c>
      <c r="U315" s="442"/>
      <c r="V315" s="442"/>
      <c r="W315" s="466"/>
      <c r="X315" s="466"/>
      <c r="Y315" s="466"/>
      <c r="Z315" s="466"/>
      <c r="AA315" s="210"/>
      <c r="AB315" s="210"/>
      <c r="AC315" s="210"/>
      <c r="AD315" s="210"/>
      <c r="AL315" s="134"/>
    </row>
    <row r="316" spans="1:38" ht="26.25" customHeight="1" x14ac:dyDescent="0.2">
      <c r="A316" s="1176"/>
      <c r="B316" s="1177"/>
      <c r="C316" s="1177"/>
      <c r="D316" s="1177"/>
      <c r="E316" s="1177"/>
      <c r="F316" s="1177"/>
      <c r="G316" s="1177"/>
      <c r="H316" s="1177"/>
      <c r="I316" s="1177"/>
      <c r="J316" s="1203"/>
      <c r="K316" s="1204" t="s">
        <v>622</v>
      </c>
      <c r="L316" s="1205"/>
      <c r="M316" s="1205"/>
      <c r="N316" s="1205"/>
      <c r="O316" s="1206"/>
      <c r="P316" s="451"/>
      <c r="Q316" s="487"/>
      <c r="R316" s="440" t="str">
        <f>IF(COUNTBLANK(P316:Q316)=2,"Please enter response.",IF(COUNTBLANK(P316:Q316)&lt;&gt;1,"Please VERIFY response.",""))</f>
        <v>Please enter response.</v>
      </c>
      <c r="S316" s="452" t="str">
        <f>IF(AND(ISBLANK(P316),ISBLANK(Q316)),"",IF(ISBLANK(P316),0,1))</f>
        <v/>
      </c>
      <c r="T316" s="251" t="s">
        <v>592</v>
      </c>
      <c r="U316" s="213"/>
      <c r="V316" s="213"/>
      <c r="W316" s="466"/>
      <c r="X316" s="466"/>
      <c r="Y316" s="466"/>
      <c r="Z316" s="466"/>
      <c r="AA316" s="431"/>
      <c r="AB316" s="431"/>
      <c r="AC316" s="431"/>
      <c r="AD316" s="486"/>
      <c r="AL316" s="134"/>
    </row>
    <row r="317" spans="1:38" ht="26.25" customHeight="1" x14ac:dyDescent="0.2">
      <c r="A317" s="1219" t="s">
        <v>623</v>
      </c>
      <c r="B317" s="1220"/>
      <c r="C317" s="1220"/>
      <c r="D317" s="1220"/>
      <c r="E317" s="1220"/>
      <c r="F317" s="1220"/>
      <c r="G317" s="1220"/>
      <c r="H317" s="1220"/>
      <c r="I317" s="1220"/>
      <c r="J317" s="1221"/>
      <c r="K317" s="1204" t="s">
        <v>624</v>
      </c>
      <c r="L317" s="1205"/>
      <c r="M317" s="1205"/>
      <c r="N317" s="1205"/>
      <c r="O317" s="1206"/>
      <c r="P317" s="451"/>
      <c r="Q317" s="487"/>
      <c r="R317" s="440" t="str">
        <f>IF(COUNTBLANK(P317:Q317)=2,"Please enter response.",IF(COUNTBLANK(P317:Q317)&lt;&gt;1,"Please VERIFY response.",""))</f>
        <v>Please enter response.</v>
      </c>
      <c r="S317" s="452" t="str">
        <f>IF(AND(ISBLANK(P317),ISBLANK(Q317)),"",IF(ISBLANK(P317),0,1))</f>
        <v/>
      </c>
      <c r="T317" s="251" t="s">
        <v>593</v>
      </c>
      <c r="U317" s="213"/>
      <c r="V317" s="213"/>
      <c r="W317" s="466"/>
      <c r="X317" s="466"/>
      <c r="Y317" s="466"/>
      <c r="Z317" s="466"/>
      <c r="AA317" s="210"/>
      <c r="AB317" s="210"/>
      <c r="AC317" s="210"/>
      <c r="AD317" s="210"/>
      <c r="AL317" s="134"/>
    </row>
    <row r="318" spans="1:38" ht="26.25" customHeight="1" x14ac:dyDescent="0.2">
      <c r="A318" s="1160"/>
      <c r="B318" s="1161"/>
      <c r="C318" s="1161"/>
      <c r="D318" s="1161"/>
      <c r="E318" s="1161"/>
      <c r="F318" s="1161"/>
      <c r="G318" s="1161"/>
      <c r="H318" s="1161"/>
      <c r="I318" s="1161"/>
      <c r="J318" s="1202"/>
      <c r="K318" s="1204" t="s">
        <v>625</v>
      </c>
      <c r="L318" s="1205"/>
      <c r="M318" s="1205"/>
      <c r="N318" s="1205"/>
      <c r="O318" s="1206"/>
      <c r="P318" s="451"/>
      <c r="Q318" s="487"/>
      <c r="R318" s="440" t="str">
        <f>IF(COUNTBLANK(P318:Q318)=2,"Please enter response.",IF(COUNTBLANK(P318:Q318)&lt;&gt;1,"Please VERIFY response.",""))</f>
        <v>Please enter response.</v>
      </c>
      <c r="S318" s="452" t="str">
        <f>IF(AND(ISBLANK(P318),ISBLANK(Q318)),"",IF(ISBLANK(P318),0,1))</f>
        <v/>
      </c>
      <c r="T318" s="251" t="s">
        <v>594</v>
      </c>
      <c r="U318" s="213"/>
      <c r="V318" s="213"/>
      <c r="W318" s="466"/>
      <c r="X318" s="466"/>
      <c r="Y318" s="466"/>
      <c r="Z318" s="466"/>
      <c r="AA318" s="210"/>
      <c r="AB318" s="210"/>
      <c r="AC318" s="210"/>
      <c r="AD318" s="210"/>
      <c r="AL318" s="134"/>
    </row>
    <row r="319" spans="1:38" ht="26.25" customHeight="1" x14ac:dyDescent="0.2">
      <c r="A319" s="1176"/>
      <c r="B319" s="1177"/>
      <c r="C319" s="1177"/>
      <c r="D319" s="1177"/>
      <c r="E319" s="1177"/>
      <c r="F319" s="1177"/>
      <c r="G319" s="1177"/>
      <c r="H319" s="1177"/>
      <c r="I319" s="1177"/>
      <c r="J319" s="1203"/>
      <c r="K319" s="1204" t="s">
        <v>626</v>
      </c>
      <c r="L319" s="1205"/>
      <c r="M319" s="1205"/>
      <c r="N319" s="1205"/>
      <c r="O319" s="1206"/>
      <c r="P319" s="451"/>
      <c r="Q319" s="487"/>
      <c r="R319" s="440" t="str">
        <f>IF(COUNTBLANK(P319:Q319)=2,"Please enter response.",IF(COUNTBLANK(P319:Q319)&lt;&gt;1,"Please VERIFY response.",""))</f>
        <v>Please enter response.</v>
      </c>
      <c r="S319" s="452" t="str">
        <f>IF(AND(ISBLANK(P319),ISBLANK(Q319)),"",IF(ISBLANK(P319),0,1))</f>
        <v/>
      </c>
      <c r="T319" s="251" t="s">
        <v>595</v>
      </c>
      <c r="U319" s="213"/>
      <c r="V319" s="213"/>
      <c r="W319" s="466"/>
      <c r="X319" s="466"/>
      <c r="Y319" s="466"/>
      <c r="Z319" s="466"/>
      <c r="AA319" s="210"/>
      <c r="AB319" s="210"/>
      <c r="AC319" s="210"/>
      <c r="AD319" s="436"/>
      <c r="AL319" s="134"/>
    </row>
    <row r="320" spans="1:38" ht="26.25" customHeight="1" x14ac:dyDescent="0.25">
      <c r="A320" s="1207" t="s">
        <v>627</v>
      </c>
      <c r="B320" s="1208"/>
      <c r="C320" s="1208"/>
      <c r="D320" s="1208"/>
      <c r="E320" s="1208"/>
      <c r="F320" s="1208"/>
      <c r="G320" s="1208"/>
      <c r="H320" s="1208"/>
      <c r="I320" s="1208"/>
      <c r="J320" s="1208"/>
      <c r="K320" s="1208"/>
      <c r="L320" s="1208"/>
      <c r="M320" s="1208"/>
      <c r="N320" s="1208"/>
      <c r="O320" s="1208"/>
      <c r="P320" s="1208"/>
      <c r="Q320" s="1209"/>
      <c r="R320" s="454"/>
      <c r="S320" s="463"/>
      <c r="T320" s="454"/>
      <c r="U320" s="454"/>
      <c r="V320" s="454"/>
      <c r="W320" s="466"/>
      <c r="X320" s="474"/>
      <c r="Y320" s="474"/>
      <c r="Z320" s="474"/>
      <c r="AA320" s="431"/>
      <c r="AB320" s="431"/>
      <c r="AC320" s="431"/>
      <c r="AD320" s="471"/>
      <c r="AL320" s="134"/>
    </row>
    <row r="321" spans="1:38" ht="26.25" customHeight="1" x14ac:dyDescent="0.2">
      <c r="A321" s="1210" t="s">
        <v>628</v>
      </c>
      <c r="B321" s="1211"/>
      <c r="C321" s="1211"/>
      <c r="D321" s="1211"/>
      <c r="E321" s="1211" t="s">
        <v>629</v>
      </c>
      <c r="F321" s="1211"/>
      <c r="G321" s="1211"/>
      <c r="H321" s="1211"/>
      <c r="I321" s="1211" t="s">
        <v>630</v>
      </c>
      <c r="J321" s="1211"/>
      <c r="K321" s="1211"/>
      <c r="L321" s="1211"/>
      <c r="M321" s="1212" t="s">
        <v>631</v>
      </c>
      <c r="N321" s="1211"/>
      <c r="O321" s="1211"/>
      <c r="P321" s="1211"/>
      <c r="Q321" s="1213"/>
      <c r="R321" s="459"/>
      <c r="S321" s="1195" t="s">
        <v>632</v>
      </c>
      <c r="T321" s="1195"/>
      <c r="U321" s="1195"/>
      <c r="V321" s="1195"/>
      <c r="W321" s="466"/>
      <c r="X321" s="464"/>
      <c r="Y321" s="464"/>
      <c r="Z321" s="464"/>
      <c r="AA321" s="466"/>
      <c r="AB321" s="466"/>
      <c r="AC321" s="466"/>
      <c r="AD321" s="210"/>
      <c r="AL321" s="134"/>
    </row>
    <row r="322" spans="1:38" ht="26.25" customHeight="1" thickBot="1" x14ac:dyDescent="0.3">
      <c r="A322" s="1196"/>
      <c r="B322" s="815"/>
      <c r="C322" s="815"/>
      <c r="D322" s="815"/>
      <c r="E322" s="815"/>
      <c r="F322" s="815"/>
      <c r="G322" s="815"/>
      <c r="H322" s="815"/>
      <c r="I322" s="815"/>
      <c r="J322" s="815"/>
      <c r="K322" s="815"/>
      <c r="L322" s="815"/>
      <c r="M322" s="1197"/>
      <c r="N322" s="1197"/>
      <c r="O322" s="1197"/>
      <c r="P322" s="1197"/>
      <c r="Q322" s="1198"/>
      <c r="R322" s="454"/>
      <c r="S322" s="467" t="str">
        <f>IF(ISBLANK(A322),"",VLOOKUP(A322,VProjType,2,FALSE))</f>
        <v/>
      </c>
      <c r="T322" s="467" t="str">
        <f>IF(ISBLANK(E322),"",VLOOKUP(E322,VSubtype1,2,FALSE))</f>
        <v/>
      </c>
      <c r="U322" s="467" t="str">
        <f>IF(ISBLANK(I322),"",VLOOKUP(I322,VSubtype2,2,FALSE))</f>
        <v/>
      </c>
      <c r="V322" s="467" t="str">
        <f>IF(ISBLANK(M322),"",VLOOKUP(M322,VSubtype3,2,FALSE))</f>
        <v/>
      </c>
      <c r="W322" s="466"/>
      <c r="X322" s="466"/>
      <c r="Y322" s="466"/>
      <c r="Z322" s="466"/>
      <c r="AA322" s="466"/>
      <c r="AB322" s="466"/>
      <c r="AC322" s="466"/>
      <c r="AD322" s="471"/>
      <c r="AL322" s="213"/>
    </row>
    <row r="323" spans="1:38" ht="26.25" customHeight="1" x14ac:dyDescent="0.25">
      <c r="A323" s="1199" t="s">
        <v>634</v>
      </c>
      <c r="B323" s="1200"/>
      <c r="C323" s="1200"/>
      <c r="D323" s="1200"/>
      <c r="E323" s="1200"/>
      <c r="F323" s="1200"/>
      <c r="G323" s="1200"/>
      <c r="H323" s="1200"/>
      <c r="I323" s="1200"/>
      <c r="J323" s="1200"/>
      <c r="K323" s="1200"/>
      <c r="L323" s="1200"/>
      <c r="M323" s="1200"/>
      <c r="N323" s="1200"/>
      <c r="O323" s="1200"/>
      <c r="P323" s="1200"/>
      <c r="Q323" s="1201"/>
      <c r="R323" s="464"/>
      <c r="S323" s="468" t="s">
        <v>635</v>
      </c>
      <c r="T323" s="464"/>
      <c r="U323" s="464"/>
      <c r="V323" s="464"/>
      <c r="W323" s="466"/>
      <c r="X323" s="466"/>
      <c r="Y323" s="466"/>
      <c r="Z323" s="466"/>
      <c r="AA323" s="466"/>
      <c r="AB323" s="466"/>
      <c r="AC323" s="466"/>
      <c r="AD323" s="471"/>
      <c r="AL323" s="213"/>
    </row>
    <row r="324" spans="1:38" ht="26.25" customHeight="1" x14ac:dyDescent="0.25">
      <c r="A324" s="1166" t="s">
        <v>636</v>
      </c>
      <c r="B324" s="1167"/>
      <c r="C324" s="1167"/>
      <c r="D324" s="1167"/>
      <c r="E324" s="1167"/>
      <c r="F324" s="1167"/>
      <c r="G324" s="1167"/>
      <c r="H324" s="1167"/>
      <c r="I324" s="1167"/>
      <c r="J324" s="1167"/>
      <c r="K324" s="1167"/>
      <c r="L324" s="1168"/>
      <c r="M324" s="1169"/>
      <c r="N324" s="1170"/>
      <c r="O324" s="1170"/>
      <c r="P324" s="1170"/>
      <c r="Q324" s="1171"/>
      <c r="R324" s="464"/>
      <c r="S324" s="469" t="str">
        <f>IF(ISBLANK(M324),"",VLOOKUP(M324,VRemote,2,FALSE))</f>
        <v/>
      </c>
      <c r="T324" s="470" t="s">
        <v>637</v>
      </c>
      <c r="U324" s="464"/>
      <c r="V324" s="464"/>
      <c r="W324" s="474"/>
      <c r="X324" s="466"/>
      <c r="Y324" s="466"/>
      <c r="Z324" s="466"/>
      <c r="AA324" s="466"/>
      <c r="AB324" s="466"/>
      <c r="AC324" s="466"/>
      <c r="AD324" s="471"/>
      <c r="AL324" s="213"/>
    </row>
    <row r="325" spans="1:38" ht="26.25" customHeight="1" x14ac:dyDescent="0.25">
      <c r="A325" s="1166" t="s">
        <v>638</v>
      </c>
      <c r="B325" s="1167"/>
      <c r="C325" s="1167"/>
      <c r="D325" s="1167"/>
      <c r="E325" s="1167"/>
      <c r="F325" s="1167"/>
      <c r="G325" s="1167"/>
      <c r="H325" s="1167"/>
      <c r="I325" s="1167"/>
      <c r="J325" s="1167"/>
      <c r="K325" s="1167"/>
      <c r="L325" s="1167"/>
      <c r="M325" s="1169"/>
      <c r="N325" s="1170"/>
      <c r="O325" s="1170"/>
      <c r="P325" s="1170"/>
      <c r="Q325" s="1171"/>
      <c r="R325" s="466"/>
      <c r="S325" s="469" t="str">
        <f>IF(ISBLANK(M325),"",VLOOKUP(M325,VCapacity,2,FALSE))</f>
        <v/>
      </c>
      <c r="T325" s="162" t="s">
        <v>639</v>
      </c>
      <c r="U325" s="466"/>
      <c r="V325" s="466"/>
      <c r="W325" s="464"/>
      <c r="X325" s="466"/>
      <c r="Y325" s="466"/>
      <c r="Z325" s="466"/>
      <c r="AA325" s="466"/>
      <c r="AB325" s="466"/>
      <c r="AC325" s="466"/>
      <c r="AD325" s="471"/>
      <c r="AL325" s="213"/>
    </row>
    <row r="326" spans="1:38" ht="26.25" customHeight="1" x14ac:dyDescent="0.25">
      <c r="A326" s="1166" t="s">
        <v>640</v>
      </c>
      <c r="B326" s="1167"/>
      <c r="C326" s="1167"/>
      <c r="D326" s="1167"/>
      <c r="E326" s="1167"/>
      <c r="F326" s="1167"/>
      <c r="G326" s="1167"/>
      <c r="H326" s="1167"/>
      <c r="I326" s="1167"/>
      <c r="J326" s="1167"/>
      <c r="K326" s="1167"/>
      <c r="L326" s="1167"/>
      <c r="M326" s="1169"/>
      <c r="N326" s="1170"/>
      <c r="O326" s="1170"/>
      <c r="P326" s="1170"/>
      <c r="Q326" s="1171"/>
      <c r="R326" s="466"/>
      <c r="S326" s="469" t="str">
        <f>IF(ISBLANK(M326),"",VLOOKUP(M326,VPriorCap,2,FALSE))</f>
        <v/>
      </c>
      <c r="T326" s="162" t="s">
        <v>641</v>
      </c>
      <c r="U326" s="466"/>
      <c r="V326" s="466"/>
      <c r="W326" s="466"/>
      <c r="X326" s="466"/>
      <c r="Y326" s="466"/>
      <c r="Z326" s="466"/>
      <c r="AA326" s="466"/>
      <c r="AB326" s="466"/>
      <c r="AC326" s="466"/>
      <c r="AD326" s="471"/>
    </row>
    <row r="327" spans="1:38" ht="26.25" customHeight="1" x14ac:dyDescent="0.25">
      <c r="A327" s="1183" t="s">
        <v>643</v>
      </c>
      <c r="B327" s="1184"/>
      <c r="C327" s="1184"/>
      <c r="D327" s="1184"/>
      <c r="E327" s="1184"/>
      <c r="F327" s="1184"/>
      <c r="G327" s="1184"/>
      <c r="H327" s="1184"/>
      <c r="I327" s="1184"/>
      <c r="J327" s="1184"/>
      <c r="K327" s="1184"/>
      <c r="L327" s="1184"/>
      <c r="M327" s="1184"/>
      <c r="N327" s="1184"/>
      <c r="O327" s="1184"/>
      <c r="P327" s="1184"/>
      <c r="Q327" s="1185"/>
      <c r="R327" s="466"/>
      <c r="S327" s="472" t="str">
        <f>IF(ISBLANK(A328),"",A328)</f>
        <v/>
      </c>
      <c r="T327" s="162" t="s">
        <v>589</v>
      </c>
      <c r="U327" s="466"/>
      <c r="V327" s="466"/>
      <c r="W327" s="466"/>
      <c r="X327" s="466"/>
      <c r="Y327" s="466"/>
      <c r="Z327" s="466"/>
      <c r="AA327" s="466"/>
      <c r="AB327" s="466"/>
      <c r="AC327" s="466"/>
      <c r="AD327" s="471"/>
    </row>
    <row r="328" spans="1:38" ht="25.9" customHeight="1" x14ac:dyDescent="0.25">
      <c r="A328" s="1175"/>
      <c r="B328" s="1152"/>
      <c r="C328" s="1152"/>
      <c r="D328" s="1152"/>
      <c r="E328" s="1152"/>
      <c r="F328" s="1152"/>
      <c r="G328" s="1152"/>
      <c r="H328" s="1152"/>
      <c r="I328" s="1152"/>
      <c r="J328" s="1152"/>
      <c r="K328" s="1152"/>
      <c r="L328" s="1152"/>
      <c r="M328" s="1152"/>
      <c r="N328" s="1152"/>
      <c r="O328" s="1152"/>
      <c r="P328" s="1152"/>
      <c r="Q328" s="1182"/>
      <c r="R328" s="466"/>
      <c r="S328" s="466"/>
      <c r="T328" s="466"/>
      <c r="U328" s="466"/>
      <c r="V328" s="466"/>
      <c r="W328" s="466"/>
      <c r="X328" s="466"/>
      <c r="Y328" s="466"/>
      <c r="Z328" s="466"/>
      <c r="AA328" s="466"/>
      <c r="AB328" s="466"/>
      <c r="AC328" s="466"/>
      <c r="AD328" s="471"/>
    </row>
    <row r="329" spans="1:38" ht="26.25" customHeight="1" x14ac:dyDescent="0.25">
      <c r="A329" s="1186"/>
      <c r="B329" s="1187"/>
      <c r="C329" s="1187"/>
      <c r="D329" s="1187"/>
      <c r="E329" s="1187"/>
      <c r="F329" s="1187"/>
      <c r="G329" s="1187"/>
      <c r="H329" s="1187"/>
      <c r="I329" s="1187"/>
      <c r="J329" s="1187"/>
      <c r="K329" s="1187"/>
      <c r="L329" s="1187"/>
      <c r="M329" s="1187"/>
      <c r="N329" s="1187"/>
      <c r="O329" s="1187"/>
      <c r="P329" s="1187"/>
      <c r="Q329" s="1188"/>
      <c r="R329" s="466"/>
      <c r="S329" s="466"/>
      <c r="T329" s="466"/>
      <c r="U329" s="466"/>
      <c r="V329" s="466"/>
      <c r="W329" s="466"/>
      <c r="X329" s="466"/>
      <c r="Y329" s="466"/>
      <c r="Z329" s="466"/>
      <c r="AA329" s="466"/>
      <c r="AB329" s="466"/>
      <c r="AC329" s="466"/>
      <c r="AD329" s="471"/>
    </row>
    <row r="330" spans="1:38" ht="26.25" customHeight="1" x14ac:dyDescent="0.25">
      <c r="A330" s="1189" t="s">
        <v>645</v>
      </c>
      <c r="B330" s="1190"/>
      <c r="C330" s="1190"/>
      <c r="D330" s="1190"/>
      <c r="E330" s="1190"/>
      <c r="F330" s="1190"/>
      <c r="G330" s="1190"/>
      <c r="H330" s="1190"/>
      <c r="I330" s="1190"/>
      <c r="J330" s="1190"/>
      <c r="K330" s="1190"/>
      <c r="L330" s="1190"/>
      <c r="M330" s="1190"/>
      <c r="N330" s="1190"/>
      <c r="O330" s="1190"/>
      <c r="P330" s="1190"/>
      <c r="Q330" s="1191"/>
      <c r="R330" s="468"/>
      <c r="S330" s="468"/>
      <c r="T330" s="468"/>
      <c r="U330" s="468"/>
      <c r="V330" s="468"/>
      <c r="W330" s="466"/>
      <c r="X330" s="466"/>
      <c r="Y330" s="466"/>
      <c r="Z330" s="466"/>
      <c r="AA330" s="210"/>
      <c r="AB330" s="210"/>
      <c r="AC330" s="210"/>
      <c r="AD330" s="488"/>
    </row>
    <row r="331" spans="1:38" ht="26.25" customHeight="1" x14ac:dyDescent="0.25">
      <c r="A331" s="1175"/>
      <c r="B331" s="1152"/>
      <c r="C331" s="1152"/>
      <c r="D331" s="1152"/>
      <c r="E331" s="1152"/>
      <c r="F331" s="1152"/>
      <c r="G331" s="1152"/>
      <c r="H331" s="1152"/>
      <c r="I331" s="1152"/>
      <c r="J331" s="1152"/>
      <c r="K331" s="1152"/>
      <c r="L331" s="1152"/>
      <c r="M331" s="1152"/>
      <c r="N331" s="1152"/>
      <c r="O331" s="1152"/>
      <c r="P331" s="1152"/>
      <c r="Q331" s="1153"/>
      <c r="R331" s="466"/>
      <c r="S331" s="472" t="str">
        <f>IF(ISBLANK(A331),"",A331)</f>
        <v/>
      </c>
      <c r="T331" s="438" t="s">
        <v>194</v>
      </c>
      <c r="U331" s="466"/>
      <c r="V331" s="466"/>
      <c r="W331" s="466"/>
      <c r="X331" s="210"/>
      <c r="Y331" s="210"/>
      <c r="Z331" s="210"/>
      <c r="AA331" s="464"/>
      <c r="AB331" s="464"/>
      <c r="AC331" s="464"/>
      <c r="AD331" s="471"/>
    </row>
    <row r="332" spans="1:38" ht="26.25" customHeight="1" thickBot="1" x14ac:dyDescent="0.25">
      <c r="A332" s="1163"/>
      <c r="B332" s="1164"/>
      <c r="C332" s="1164"/>
      <c r="D332" s="1164"/>
      <c r="E332" s="1164"/>
      <c r="F332" s="1164"/>
      <c r="G332" s="1164"/>
      <c r="H332" s="1164"/>
      <c r="I332" s="1164"/>
      <c r="J332" s="1164"/>
      <c r="K332" s="1164"/>
      <c r="L332" s="1164"/>
      <c r="M332" s="1164"/>
      <c r="N332" s="1164"/>
      <c r="O332" s="1164"/>
      <c r="P332" s="1164"/>
      <c r="Q332" s="1165"/>
      <c r="R332" s="466"/>
      <c r="S332" s="466"/>
      <c r="T332" s="438"/>
      <c r="U332" s="466"/>
      <c r="V332" s="466"/>
      <c r="W332" s="466"/>
      <c r="X332" s="468"/>
      <c r="Y332" s="468"/>
      <c r="Z332" s="468"/>
      <c r="AA332" s="466"/>
      <c r="AB332" s="466"/>
      <c r="AC332" s="466"/>
      <c r="AD332" s="210"/>
    </row>
    <row r="333" spans="1:38" ht="26.25" customHeight="1" x14ac:dyDescent="0.25">
      <c r="A333" s="1157" t="s">
        <v>647</v>
      </c>
      <c r="B333" s="1158"/>
      <c r="C333" s="1158"/>
      <c r="D333" s="1158"/>
      <c r="E333" s="1158"/>
      <c r="F333" s="1158"/>
      <c r="G333" s="1158"/>
      <c r="H333" s="1158"/>
      <c r="I333" s="1158"/>
      <c r="J333" s="1158"/>
      <c r="K333" s="1158"/>
      <c r="L333" s="1158"/>
      <c r="M333" s="1158"/>
      <c r="N333" s="1158"/>
      <c r="O333" s="1158"/>
      <c r="P333" s="1158"/>
      <c r="Q333" s="1159"/>
      <c r="R333" s="464"/>
      <c r="S333" s="468" t="s">
        <v>648</v>
      </c>
      <c r="T333" s="464"/>
      <c r="U333" s="464"/>
      <c r="V333" s="464"/>
      <c r="W333" s="466"/>
      <c r="X333" s="466"/>
      <c r="Y333" s="466"/>
      <c r="Z333" s="466"/>
      <c r="AA333" s="466"/>
      <c r="AB333" s="466"/>
      <c r="AC333" s="466"/>
      <c r="AD333" s="471"/>
    </row>
    <row r="334" spans="1:38" ht="26.25" customHeight="1" x14ac:dyDescent="0.25">
      <c r="A334" s="1192" t="s">
        <v>649</v>
      </c>
      <c r="B334" s="1193"/>
      <c r="C334" s="1193"/>
      <c r="D334" s="1193"/>
      <c r="E334" s="1193"/>
      <c r="F334" s="1193"/>
      <c r="G334" s="1193"/>
      <c r="H334" s="1193"/>
      <c r="I334" s="1193"/>
      <c r="J334" s="1193"/>
      <c r="K334" s="1193"/>
      <c r="L334" s="1194"/>
      <c r="M334" s="1169"/>
      <c r="N334" s="1170"/>
      <c r="O334" s="1170"/>
      <c r="P334" s="1170"/>
      <c r="Q334" s="1171"/>
      <c r="R334" s="466"/>
      <c r="S334" s="473" t="str">
        <f>IF(ISBLANK(M334),"",VLOOKUP(M334,VImpact,2,FALSE))</f>
        <v/>
      </c>
      <c r="T334" s="162" t="s">
        <v>650</v>
      </c>
      <c r="U334" s="466"/>
      <c r="V334" s="466"/>
      <c r="W334" s="466"/>
      <c r="X334" s="466"/>
      <c r="Y334" s="466"/>
      <c r="Z334" s="466"/>
      <c r="AA334" s="466"/>
      <c r="AB334" s="466"/>
      <c r="AC334" s="466"/>
      <c r="AD334" s="471"/>
    </row>
    <row r="335" spans="1:38" ht="26.25" customHeight="1" x14ac:dyDescent="0.25">
      <c r="A335" s="1166" t="s">
        <v>651</v>
      </c>
      <c r="B335" s="1167"/>
      <c r="C335" s="1167"/>
      <c r="D335" s="1167"/>
      <c r="E335" s="1167"/>
      <c r="F335" s="1167"/>
      <c r="G335" s="1167"/>
      <c r="H335" s="1167"/>
      <c r="I335" s="1167"/>
      <c r="J335" s="1167"/>
      <c r="K335" s="1167"/>
      <c r="L335" s="1168"/>
      <c r="M335" s="1169"/>
      <c r="N335" s="1170"/>
      <c r="O335" s="1170"/>
      <c r="P335" s="1170"/>
      <c r="Q335" s="1171"/>
      <c r="R335" s="466"/>
      <c r="S335" s="473" t="str">
        <f>IF(ISBLANK(M335),"",VLOOKUP(M335,VEvidence,2,FALSE))</f>
        <v/>
      </c>
      <c r="T335" s="251" t="s">
        <v>652</v>
      </c>
      <c r="U335" s="466"/>
      <c r="V335" s="466"/>
      <c r="W335" s="210"/>
      <c r="X335" s="466"/>
      <c r="Y335" s="466"/>
      <c r="Z335" s="466"/>
      <c r="AA335" s="466"/>
      <c r="AB335" s="466"/>
      <c r="AC335" s="466"/>
      <c r="AD335" s="471"/>
    </row>
    <row r="336" spans="1:38" ht="26.25" customHeight="1" x14ac:dyDescent="0.25">
      <c r="A336" s="1172" t="s">
        <v>653</v>
      </c>
      <c r="B336" s="1173"/>
      <c r="C336" s="1173"/>
      <c r="D336" s="1173"/>
      <c r="E336" s="1173"/>
      <c r="F336" s="1173"/>
      <c r="G336" s="1173"/>
      <c r="H336" s="1173"/>
      <c r="I336" s="1173"/>
      <c r="J336" s="1173"/>
      <c r="K336" s="1173"/>
      <c r="L336" s="1173"/>
      <c r="M336" s="1173"/>
      <c r="N336" s="1173"/>
      <c r="O336" s="1173"/>
      <c r="P336" s="1173"/>
      <c r="Q336" s="1174"/>
      <c r="R336" s="466"/>
      <c r="S336" s="472" t="str">
        <f>IF(ISBLANK(A337),"",A337)</f>
        <v/>
      </c>
      <c r="T336" s="438" t="s">
        <v>193</v>
      </c>
      <c r="U336" s="466"/>
      <c r="V336" s="466"/>
      <c r="W336" s="468"/>
      <c r="X336" s="466"/>
      <c r="Y336" s="466"/>
      <c r="Z336" s="466"/>
      <c r="AA336" s="466"/>
      <c r="AB336" s="466"/>
      <c r="AC336" s="466"/>
      <c r="AD336" s="471"/>
    </row>
    <row r="337" spans="1:30" ht="26.25" customHeight="1" x14ac:dyDescent="0.25">
      <c r="A337" s="1175"/>
      <c r="B337" s="1152"/>
      <c r="C337" s="1152"/>
      <c r="D337" s="1152"/>
      <c r="E337" s="1152"/>
      <c r="F337" s="1152"/>
      <c r="G337" s="1152"/>
      <c r="H337" s="1152"/>
      <c r="I337" s="1152"/>
      <c r="J337" s="1152"/>
      <c r="K337" s="1152"/>
      <c r="L337" s="1152"/>
      <c r="M337" s="1152"/>
      <c r="N337" s="1152"/>
      <c r="O337" s="1152"/>
      <c r="P337" s="1152"/>
      <c r="Q337" s="1153"/>
      <c r="R337" s="466"/>
      <c r="S337" s="466"/>
      <c r="T337" s="475"/>
      <c r="U337" s="466"/>
      <c r="V337" s="466"/>
      <c r="W337" s="466"/>
      <c r="X337" s="466"/>
      <c r="Y337" s="466"/>
      <c r="Z337" s="466"/>
      <c r="AA337" s="466"/>
      <c r="AB337" s="466"/>
      <c r="AC337" s="466"/>
      <c r="AD337" s="471"/>
    </row>
    <row r="338" spans="1:30" ht="26.25" customHeight="1" x14ac:dyDescent="0.25">
      <c r="A338" s="1176"/>
      <c r="B338" s="1177"/>
      <c r="C338" s="1177"/>
      <c r="D338" s="1177"/>
      <c r="E338" s="1177"/>
      <c r="F338" s="1177"/>
      <c r="G338" s="1177"/>
      <c r="H338" s="1177"/>
      <c r="I338" s="1177"/>
      <c r="J338" s="1177"/>
      <c r="K338" s="1177"/>
      <c r="L338" s="1177"/>
      <c r="M338" s="1177"/>
      <c r="N338" s="1177"/>
      <c r="O338" s="1177"/>
      <c r="P338" s="1177"/>
      <c r="Q338" s="1178"/>
      <c r="R338" s="466"/>
      <c r="S338" s="466"/>
      <c r="T338" s="475"/>
      <c r="U338" s="466"/>
      <c r="V338" s="466"/>
      <c r="W338" s="466"/>
      <c r="X338" s="466"/>
      <c r="Y338" s="466"/>
      <c r="Z338" s="466"/>
      <c r="AA338" s="466"/>
      <c r="AB338" s="466"/>
      <c r="AC338" s="466"/>
      <c r="AD338" s="471"/>
    </row>
    <row r="339" spans="1:30" ht="26.25" customHeight="1" x14ac:dyDescent="0.25">
      <c r="A339" s="1179" t="s">
        <v>654</v>
      </c>
      <c r="B339" s="1180"/>
      <c r="C339" s="1180"/>
      <c r="D339" s="1180"/>
      <c r="E339" s="1180"/>
      <c r="F339" s="1180"/>
      <c r="G339" s="1180"/>
      <c r="H339" s="1180"/>
      <c r="I339" s="1180"/>
      <c r="J339" s="1180"/>
      <c r="K339" s="1180"/>
      <c r="L339" s="1180"/>
      <c r="M339" s="1180"/>
      <c r="N339" s="1180"/>
      <c r="O339" s="1180"/>
      <c r="P339" s="1180"/>
      <c r="Q339" s="1181"/>
      <c r="R339" s="466"/>
      <c r="S339" s="472" t="str">
        <f>IF(ISBLANK(A340),"",A340)</f>
        <v/>
      </c>
      <c r="T339" s="475" t="s">
        <v>590</v>
      </c>
      <c r="U339" s="466"/>
      <c r="V339" s="466"/>
      <c r="W339" s="466"/>
      <c r="X339" s="466"/>
      <c r="Y339" s="466"/>
      <c r="Z339" s="466"/>
      <c r="AA339" s="466"/>
      <c r="AB339" s="466"/>
      <c r="AC339" s="466"/>
      <c r="AD339" s="471"/>
    </row>
    <row r="340" spans="1:30" ht="26.25" customHeight="1" x14ac:dyDescent="0.25">
      <c r="A340" s="1175"/>
      <c r="B340" s="1152"/>
      <c r="C340" s="1152"/>
      <c r="D340" s="1152"/>
      <c r="E340" s="1152"/>
      <c r="F340" s="1152"/>
      <c r="G340" s="1152"/>
      <c r="H340" s="1152"/>
      <c r="I340" s="1152"/>
      <c r="J340" s="1152"/>
      <c r="K340" s="1152"/>
      <c r="L340" s="1152"/>
      <c r="M340" s="1152"/>
      <c r="N340" s="1152"/>
      <c r="O340" s="1152"/>
      <c r="P340" s="1152"/>
      <c r="Q340" s="1182"/>
      <c r="R340" s="466"/>
      <c r="U340" s="466"/>
      <c r="V340" s="466"/>
      <c r="W340" s="466"/>
      <c r="X340" s="466"/>
      <c r="Y340" s="466"/>
      <c r="Z340" s="466"/>
      <c r="AA340" s="466"/>
      <c r="AB340" s="466"/>
      <c r="AC340" s="466"/>
      <c r="AD340" s="471"/>
    </row>
    <row r="341" spans="1:30" ht="26.25" customHeight="1" thickBot="1" x14ac:dyDescent="0.3">
      <c r="A341" s="1154"/>
      <c r="B341" s="1155"/>
      <c r="C341" s="1155"/>
      <c r="D341" s="1155"/>
      <c r="E341" s="1155"/>
      <c r="F341" s="1155"/>
      <c r="G341" s="1155"/>
      <c r="H341" s="1155"/>
      <c r="I341" s="1155"/>
      <c r="J341" s="1155"/>
      <c r="K341" s="1155"/>
      <c r="L341" s="1155"/>
      <c r="M341" s="1155"/>
      <c r="N341" s="1155"/>
      <c r="O341" s="1155"/>
      <c r="P341" s="1155"/>
      <c r="Q341" s="1156"/>
      <c r="R341" s="466"/>
      <c r="S341" s="466"/>
      <c r="T341" s="466"/>
      <c r="U341" s="466"/>
      <c r="V341" s="466"/>
      <c r="W341" s="466"/>
      <c r="X341" s="466"/>
      <c r="Y341" s="466"/>
      <c r="Z341" s="466"/>
      <c r="AA341" s="474"/>
      <c r="AB341" s="474"/>
      <c r="AC341" s="474"/>
      <c r="AD341" s="471"/>
    </row>
    <row r="342" spans="1:30" ht="26.25" customHeight="1" x14ac:dyDescent="0.25">
      <c r="A342" s="1148" t="s">
        <v>656</v>
      </c>
      <c r="B342" s="1149"/>
      <c r="C342" s="1149"/>
      <c r="D342" s="1149"/>
      <c r="E342" s="1149"/>
      <c r="F342" s="1149"/>
      <c r="G342" s="1149"/>
      <c r="H342" s="1149"/>
      <c r="I342" s="1149"/>
      <c r="J342" s="1149"/>
      <c r="K342" s="1149"/>
      <c r="L342" s="1149"/>
      <c r="M342" s="1149"/>
      <c r="N342" s="1149"/>
      <c r="O342" s="1149"/>
      <c r="P342" s="1149"/>
      <c r="Q342" s="1150"/>
      <c r="S342" s="478" t="str">
        <f>IF(ISBLANK(A343),"",A343)</f>
        <v/>
      </c>
      <c r="T342" s="479" t="s">
        <v>657</v>
      </c>
      <c r="W342" s="466"/>
      <c r="X342" s="210"/>
      <c r="Y342" s="210"/>
      <c r="Z342" s="210"/>
      <c r="AA342" s="464"/>
      <c r="AB342" s="464"/>
      <c r="AC342" s="464"/>
      <c r="AD342" s="471"/>
    </row>
    <row r="343" spans="1:30" ht="26.25" customHeight="1" x14ac:dyDescent="0.2">
      <c r="A343" s="1175"/>
      <c r="B343" s="1152"/>
      <c r="C343" s="1152"/>
      <c r="D343" s="1152"/>
      <c r="E343" s="1152"/>
      <c r="F343" s="1152"/>
      <c r="G343" s="1152"/>
      <c r="H343" s="1152"/>
      <c r="I343" s="1152"/>
      <c r="J343" s="1152"/>
      <c r="K343" s="1152"/>
      <c r="L343" s="1152"/>
      <c r="M343" s="1152"/>
      <c r="N343" s="1152"/>
      <c r="O343" s="1152"/>
      <c r="P343" s="1152"/>
      <c r="Q343" s="1153"/>
      <c r="W343" s="466"/>
      <c r="X343" s="464"/>
      <c r="Y343" s="464"/>
      <c r="Z343" s="464"/>
      <c r="AA343" s="466"/>
      <c r="AB343" s="466"/>
      <c r="AC343" s="466"/>
      <c r="AD343" s="210"/>
    </row>
    <row r="344" spans="1:30" ht="26.25" customHeight="1" thickBot="1" x14ac:dyDescent="0.3">
      <c r="A344" s="1154"/>
      <c r="B344" s="1155"/>
      <c r="C344" s="1155"/>
      <c r="D344" s="1155"/>
      <c r="E344" s="1155"/>
      <c r="F344" s="1155"/>
      <c r="G344" s="1155"/>
      <c r="H344" s="1155"/>
      <c r="I344" s="1155"/>
      <c r="J344" s="1155"/>
      <c r="K344" s="1155"/>
      <c r="L344" s="1155"/>
      <c r="M344" s="1155"/>
      <c r="N344" s="1155"/>
      <c r="O344" s="1155"/>
      <c r="P344" s="1155"/>
      <c r="Q344" s="1156"/>
      <c r="R344" s="436"/>
      <c r="S344" s="436"/>
      <c r="T344" s="436"/>
      <c r="U344" s="436"/>
      <c r="V344" s="436"/>
      <c r="W344" s="466"/>
      <c r="X344" s="466"/>
      <c r="Y344" s="466"/>
      <c r="Z344" s="466"/>
      <c r="AA344" s="466"/>
      <c r="AB344" s="466"/>
      <c r="AC344" s="466"/>
      <c r="AD344" s="471"/>
    </row>
    <row r="345" spans="1:30" ht="26.25" customHeight="1" x14ac:dyDescent="0.25">
      <c r="A345" s="1157" t="s">
        <v>658</v>
      </c>
      <c r="B345" s="1158"/>
      <c r="C345" s="1158"/>
      <c r="D345" s="1158"/>
      <c r="E345" s="1158"/>
      <c r="F345" s="1158"/>
      <c r="G345" s="1158"/>
      <c r="H345" s="1158"/>
      <c r="I345" s="1158"/>
      <c r="J345" s="1158"/>
      <c r="K345" s="1158"/>
      <c r="L345" s="1158"/>
      <c r="M345" s="1158"/>
      <c r="N345" s="1158"/>
      <c r="O345" s="1158"/>
      <c r="P345" s="1158"/>
      <c r="Q345" s="1159"/>
      <c r="R345" s="476"/>
      <c r="S345" s="481"/>
      <c r="T345" s="482"/>
      <c r="U345" s="476"/>
      <c r="V345" s="476"/>
      <c r="W345" s="466"/>
      <c r="X345" s="466"/>
      <c r="Y345" s="466"/>
      <c r="Z345" s="466"/>
      <c r="AA345" s="466"/>
      <c r="AB345" s="466"/>
      <c r="AC345" s="466"/>
      <c r="AD345" s="471"/>
    </row>
    <row r="346" spans="1:30" ht="26.25" customHeight="1" x14ac:dyDescent="0.2">
      <c r="A346" s="1160"/>
      <c r="B346" s="1161"/>
      <c r="C346" s="1161"/>
      <c r="D346" s="1161"/>
      <c r="E346" s="1161"/>
      <c r="F346" s="1161"/>
      <c r="G346" s="1161"/>
      <c r="H346" s="1161"/>
      <c r="I346" s="1161"/>
      <c r="J346" s="1161"/>
      <c r="K346" s="1161"/>
      <c r="L346" s="1161"/>
      <c r="M346" s="1161"/>
      <c r="N346" s="1161"/>
      <c r="O346" s="1161"/>
      <c r="P346" s="1161"/>
      <c r="Q346" s="1162"/>
      <c r="R346" s="195"/>
      <c r="S346" s="483" t="str">
        <f>IF(ISBLANK(A346),"",CONCATENATE(S345,A346))</f>
        <v/>
      </c>
      <c r="T346" s="438" t="s">
        <v>195</v>
      </c>
      <c r="U346" s="195"/>
      <c r="V346" s="195"/>
      <c r="W346" s="210"/>
      <c r="X346" s="466"/>
      <c r="Y346" s="466"/>
      <c r="Z346" s="466"/>
      <c r="AA346" s="466"/>
      <c r="AB346" s="466"/>
      <c r="AC346" s="466"/>
      <c r="AD346" s="210"/>
    </row>
    <row r="347" spans="1:30" ht="26.25" customHeight="1" thickBot="1" x14ac:dyDescent="0.25">
      <c r="A347" s="1163"/>
      <c r="B347" s="1164"/>
      <c r="C347" s="1164"/>
      <c r="D347" s="1164"/>
      <c r="E347" s="1164"/>
      <c r="F347" s="1164"/>
      <c r="G347" s="1164"/>
      <c r="H347" s="1164"/>
      <c r="I347" s="1164"/>
      <c r="J347" s="1164"/>
      <c r="K347" s="1164"/>
      <c r="L347" s="1164"/>
      <c r="M347" s="1164"/>
      <c r="N347" s="1164"/>
      <c r="O347" s="1164"/>
      <c r="P347" s="1164"/>
      <c r="Q347" s="1165"/>
      <c r="R347" s="195"/>
      <c r="S347" s="210"/>
      <c r="T347" s="210"/>
      <c r="U347" s="210"/>
      <c r="V347" s="210"/>
      <c r="W347" s="464"/>
      <c r="X347" s="466"/>
      <c r="Y347" s="466"/>
      <c r="Z347" s="466"/>
      <c r="AA347" s="466"/>
      <c r="AB347" s="466"/>
      <c r="AC347" s="466"/>
      <c r="AD347" s="210"/>
    </row>
    <row r="348" spans="1:30" ht="26.25" customHeight="1" x14ac:dyDescent="0.2">
      <c r="A348" s="484" t="e">
        <f>$A$1</f>
        <v>#N/A</v>
      </c>
      <c r="B348" s="210"/>
      <c r="C348" s="210"/>
      <c r="D348" s="210"/>
      <c r="E348" s="210"/>
      <c r="F348" s="210"/>
      <c r="G348" s="210"/>
      <c r="H348" s="210"/>
      <c r="I348" s="210"/>
      <c r="J348" s="210"/>
      <c r="K348" s="210"/>
      <c r="L348" s="210"/>
      <c r="M348" s="210"/>
      <c r="N348" s="210"/>
      <c r="O348" s="210"/>
      <c r="P348" s="954"/>
      <c r="Q348" s="954"/>
      <c r="R348" s="474"/>
      <c r="S348" s="474"/>
      <c r="T348" s="474"/>
      <c r="U348" s="474"/>
      <c r="V348" s="474"/>
      <c r="W348" s="466"/>
      <c r="X348" s="466"/>
      <c r="Y348" s="466"/>
      <c r="Z348" s="466"/>
      <c r="AA348" s="466"/>
      <c r="AB348" s="466"/>
      <c r="AC348" s="466"/>
      <c r="AD348" s="210"/>
    </row>
    <row r="349" spans="1:30" ht="26.25" customHeight="1" thickBot="1" x14ac:dyDescent="0.25">
      <c r="A349" s="1259" t="s">
        <v>206</v>
      </c>
      <c r="B349" s="1260"/>
      <c r="C349" s="1260"/>
      <c r="D349" s="1260"/>
      <c r="E349" s="1260"/>
      <c r="F349" s="1260"/>
      <c r="G349" s="1260"/>
      <c r="H349" s="1260"/>
      <c r="I349" s="1260"/>
      <c r="J349" s="1260"/>
      <c r="K349" s="1260"/>
      <c r="L349" s="1260"/>
      <c r="M349" s="1260"/>
      <c r="N349" s="1261" t="str">
        <f>$N$5</f>
        <v>2019 Report Year</v>
      </c>
      <c r="O349" s="1262"/>
      <c r="P349" s="1262"/>
      <c r="Q349" s="1262"/>
      <c r="R349" s="480"/>
      <c r="S349" s="480"/>
      <c r="T349" s="480"/>
      <c r="U349" s="480"/>
      <c r="V349" s="480"/>
      <c r="W349" s="466"/>
      <c r="X349" s="466"/>
      <c r="Y349" s="466"/>
      <c r="Z349" s="466"/>
      <c r="AA349" s="466"/>
      <c r="AB349" s="466"/>
      <c r="AC349" s="466"/>
      <c r="AD349" s="210"/>
    </row>
    <row r="350" spans="1:30" ht="26.25" customHeight="1" x14ac:dyDescent="0.2">
      <c r="A350" s="1246" t="e">
        <f>IF(AND(OR(ISNA(cap_exp_contact),TRIM(cap_exp_contact)=""),NOT(ISBLANK(code_7594))),"The Capital Expenditure Contact information has NOT been provided.  Please complete this information now.","")</f>
        <v>#N/A</v>
      </c>
      <c r="B350" s="1247"/>
      <c r="C350" s="1247"/>
      <c r="D350" s="1247"/>
      <c r="E350" s="1247"/>
      <c r="F350" s="1247"/>
      <c r="G350" s="1247"/>
      <c r="H350" s="1247"/>
      <c r="I350" s="1247"/>
      <c r="J350" s="1247"/>
      <c r="K350" s="1247"/>
      <c r="L350" s="1247"/>
      <c r="M350" s="1247"/>
      <c r="N350" s="422" t="s">
        <v>609</v>
      </c>
      <c r="O350" s="423" t="e">
        <f>$O$6</f>
        <v>#N/A</v>
      </c>
      <c r="P350" s="424" t="s">
        <v>610</v>
      </c>
      <c r="Q350" s="425"/>
      <c r="R350" s="325"/>
      <c r="S350" s="210"/>
      <c r="T350" s="210"/>
      <c r="U350" s="210"/>
      <c r="V350" s="210"/>
      <c r="W350" s="466"/>
      <c r="X350" s="466"/>
      <c r="Y350" s="466"/>
      <c r="Z350" s="466"/>
      <c r="AA350" s="466"/>
      <c r="AB350" s="466"/>
      <c r="AC350" s="466"/>
      <c r="AD350" s="210"/>
    </row>
    <row r="351" spans="1:30" ht="26.25" customHeight="1" thickBot="1" x14ac:dyDescent="0.25">
      <c r="A351" s="1248" t="s">
        <v>197</v>
      </c>
      <c r="B351" s="1249"/>
      <c r="C351" s="1249"/>
      <c r="D351" s="1249"/>
      <c r="E351" s="1250"/>
      <c r="F351" s="1251"/>
      <c r="G351" s="1251"/>
      <c r="H351" s="1251"/>
      <c r="I351" s="1251"/>
      <c r="J351" s="1251"/>
      <c r="K351" s="1251"/>
      <c r="L351" s="1252"/>
      <c r="M351" s="427"/>
      <c r="N351" s="1253" t="s">
        <v>611</v>
      </c>
      <c r="O351" s="1254"/>
      <c r="P351" s="1254"/>
      <c r="Q351" s="1255"/>
      <c r="R351" s="325"/>
      <c r="S351" s="428" t="str">
        <f>IF(ISBLANK(E351),"",E351)</f>
        <v/>
      </c>
      <c r="T351" s="154" t="s">
        <v>501</v>
      </c>
      <c r="U351" s="325"/>
      <c r="V351" s="325"/>
      <c r="W351" s="466"/>
      <c r="X351" s="466"/>
      <c r="Y351" s="466"/>
      <c r="Z351" s="466"/>
      <c r="AA351" s="466"/>
      <c r="AB351" s="466"/>
      <c r="AC351" s="466"/>
      <c r="AD351" s="210"/>
    </row>
    <row r="352" spans="1:30" ht="26.25" customHeight="1" x14ac:dyDescent="0.2">
      <c r="A352" s="1256" t="s">
        <v>612</v>
      </c>
      <c r="B352" s="1257"/>
      <c r="C352" s="1257"/>
      <c r="D352" s="1258"/>
      <c r="E352" s="1234"/>
      <c r="F352" s="1235"/>
      <c r="G352" s="1235"/>
      <c r="H352" s="1235"/>
      <c r="I352" s="1235"/>
      <c r="J352" s="1235"/>
      <c r="K352" s="1235"/>
      <c r="L352" s="1236"/>
      <c r="M352" s="1237" t="str">
        <f>IF(AND(ISBLANK(E352),OR(NOT(ISBLANK(E353)),NOT(ISBLANK(E354)),NOT(ISBLANK(E355)),NOT(ISBLANK(I356)),NOT(ISBLANK(A358)))),"This information is required.","")</f>
        <v/>
      </c>
      <c r="N352" s="1238"/>
      <c r="O352" s="1238"/>
      <c r="P352" s="1238"/>
      <c r="Q352" s="429"/>
      <c r="R352" s="325"/>
      <c r="S352" s="428" t="str">
        <f>IF(ISBLANK(E352),"",E352)</f>
        <v/>
      </c>
      <c r="T352" s="154" t="s">
        <v>185</v>
      </c>
      <c r="U352" s="325"/>
      <c r="V352" s="325"/>
      <c r="W352" s="466"/>
      <c r="X352" s="466"/>
      <c r="Y352" s="466"/>
      <c r="Z352" s="466"/>
      <c r="AA352" s="210"/>
      <c r="AB352" s="210"/>
      <c r="AC352" s="210"/>
      <c r="AD352" s="210"/>
    </row>
    <row r="353" spans="1:30" ht="26.25" customHeight="1" x14ac:dyDescent="0.2">
      <c r="A353" s="1222" t="s">
        <v>613</v>
      </c>
      <c r="B353" s="1223"/>
      <c r="C353" s="1223"/>
      <c r="D353" s="1224"/>
      <c r="E353" s="1234"/>
      <c r="F353" s="1235"/>
      <c r="G353" s="1235"/>
      <c r="H353" s="1235"/>
      <c r="I353" s="1235"/>
      <c r="J353" s="1235"/>
      <c r="K353" s="1235"/>
      <c r="L353" s="1236"/>
      <c r="M353" s="1237" t="str">
        <f>IF(AND(ISBLANK(E353),OR(NOT(ISBLANK(E352)),NOT(ISBLANK(E354)),NOT(ISBLANK(E355)),NOT(ISBLANK(I356)),NOT(ISBLANK(A358)))),"This information is required.","")</f>
        <v/>
      </c>
      <c r="N353" s="1238"/>
      <c r="O353" s="1238"/>
      <c r="P353" s="1238"/>
      <c r="Q353" s="429"/>
      <c r="R353" s="325"/>
      <c r="S353" s="428" t="str">
        <f>IF(ISBLANK(E353),"",E353)</f>
        <v/>
      </c>
      <c r="T353" s="154" t="s">
        <v>186</v>
      </c>
      <c r="U353" s="325"/>
      <c r="V353" s="325"/>
      <c r="W353" s="466"/>
      <c r="X353" s="474"/>
      <c r="Y353" s="474"/>
      <c r="Z353" s="474"/>
      <c r="AA353" s="468"/>
      <c r="AB353" s="468"/>
      <c r="AC353" s="468"/>
      <c r="AD353" s="210"/>
    </row>
    <row r="354" spans="1:30" ht="26.25" customHeight="1" x14ac:dyDescent="0.2">
      <c r="A354" s="1239" t="s">
        <v>614</v>
      </c>
      <c r="B354" s="1240"/>
      <c r="C354" s="1240"/>
      <c r="D354" s="1241"/>
      <c r="E354" s="1242"/>
      <c r="F354" s="1243"/>
      <c r="G354" s="1244" t="s">
        <v>615</v>
      </c>
      <c r="H354" s="1244"/>
      <c r="I354" s="1244"/>
      <c r="J354" s="1244"/>
      <c r="K354" s="1244"/>
      <c r="L354" s="1244"/>
      <c r="M354" s="1245" t="str">
        <f>IF(AND(ISBLANK(E354),OR(NOT(ISBLANK(E352)),NOT(ISBLANK(E353)),NOT(ISBLANK(E355)),NOT(ISBLANK(I356)),NOT(ISBLANK(A358)))),"This information is required.","")</f>
        <v/>
      </c>
      <c r="N354" s="1089"/>
      <c r="O354" s="1089"/>
      <c r="P354" s="1089"/>
      <c r="Q354" s="430"/>
      <c r="R354" s="431"/>
      <c r="S354" s="432" t="str">
        <f>IF(ISBLANK(E354),"",E354)</f>
        <v/>
      </c>
      <c r="T354" s="433" t="s">
        <v>188</v>
      </c>
      <c r="U354" s="431"/>
      <c r="V354" s="431"/>
      <c r="W354" s="466"/>
      <c r="X354" s="480"/>
      <c r="Y354" s="480"/>
      <c r="Z354" s="480"/>
      <c r="AA354" s="466"/>
      <c r="AB354" s="466"/>
      <c r="AC354" s="466"/>
      <c r="AD354" s="210"/>
    </row>
    <row r="355" spans="1:30" ht="26.25" customHeight="1" x14ac:dyDescent="0.2">
      <c r="A355" s="1222" t="s">
        <v>616</v>
      </c>
      <c r="B355" s="1223"/>
      <c r="C355" s="1223"/>
      <c r="D355" s="1224"/>
      <c r="E355" s="1225"/>
      <c r="F355" s="1226"/>
      <c r="G355" s="434"/>
      <c r="H355" s="435"/>
      <c r="I355" s="436"/>
      <c r="J355" s="431"/>
      <c r="K355" s="431"/>
      <c r="L355" s="431"/>
      <c r="M355" s="1089" t="str">
        <f>IF(AND(ISBLANK(E355),OR(NOT(ISBLANK(E352)),NOT(ISBLANK(E353)),NOT(ISBLANK(E354)),NOT(ISBLANK(I356)),NOT(ISBLANK(A358)))),"This information is required.","")</f>
        <v/>
      </c>
      <c r="N355" s="1089"/>
      <c r="O355" s="1089"/>
      <c r="P355" s="1089"/>
      <c r="Q355" s="430"/>
      <c r="R355" s="392"/>
      <c r="S355" s="437" t="str">
        <f>IF(ISBLANK(E355),"",E355)</f>
        <v/>
      </c>
      <c r="T355" s="438" t="s">
        <v>189</v>
      </c>
      <c r="U355" s="392"/>
      <c r="V355" s="392"/>
      <c r="W355" s="466"/>
      <c r="X355" s="210"/>
      <c r="Y355" s="210"/>
      <c r="Z355" s="210"/>
      <c r="AA355" s="466"/>
      <c r="AB355" s="466"/>
      <c r="AC355" s="466"/>
      <c r="AD355" s="210"/>
    </row>
    <row r="356" spans="1:30" ht="26.25" customHeight="1" thickBot="1" x14ac:dyDescent="0.25">
      <c r="A356" s="1227" t="s">
        <v>617</v>
      </c>
      <c r="B356" s="1228"/>
      <c r="C356" s="1228"/>
      <c r="D356" s="1228"/>
      <c r="E356" s="1229"/>
      <c r="F356" s="1229"/>
      <c r="G356" s="1229"/>
      <c r="H356" s="1229"/>
      <c r="I356" s="1230"/>
      <c r="J356" s="1230"/>
      <c r="K356" s="1231" t="s">
        <v>618</v>
      </c>
      <c r="L356" s="1232"/>
      <c r="M356" s="1233" t="str">
        <f>IF(AND(ISBLANK(I356),OR(NOT(ISBLANK(E352)),NOT(ISBLANK(E353)),NOT(ISBLANK(E354)),NOT(ISBLANK(E355)),NOT(ISBLANK(A358)))),"This information is required!","")</f>
        <v/>
      </c>
      <c r="N356" s="1233"/>
      <c r="O356" s="1233"/>
      <c r="P356" s="1233"/>
      <c r="Q356" s="439"/>
      <c r="R356" s="392"/>
      <c r="S356" s="437" t="str">
        <f>IF(ISBLANK(I356),"",I356)</f>
        <v/>
      </c>
      <c r="T356" s="438" t="s">
        <v>190</v>
      </c>
      <c r="U356" s="440"/>
      <c r="V356" s="440"/>
      <c r="W356" s="466"/>
      <c r="X356" s="210"/>
      <c r="Y356" s="210"/>
      <c r="Z356" s="210"/>
      <c r="AA356" s="466"/>
      <c r="AB356" s="466"/>
      <c r="AC356" s="466"/>
      <c r="AD356" s="210"/>
    </row>
    <row r="357" spans="1:30" ht="26.25" customHeight="1" x14ac:dyDescent="0.2">
      <c r="A357" s="1148" t="s">
        <v>620</v>
      </c>
      <c r="B357" s="1149"/>
      <c r="C357" s="1149"/>
      <c r="D357" s="1149"/>
      <c r="E357" s="1149"/>
      <c r="F357" s="1149"/>
      <c r="G357" s="1149"/>
      <c r="H357" s="1149"/>
      <c r="I357" s="1149"/>
      <c r="J357" s="1214"/>
      <c r="K357" s="1215" t="s">
        <v>693</v>
      </c>
      <c r="L357" s="1215"/>
      <c r="M357" s="1215"/>
      <c r="N357" s="1215"/>
      <c r="O357" s="1217" t="s">
        <v>621</v>
      </c>
      <c r="P357" s="1217"/>
      <c r="Q357" s="1218"/>
      <c r="R357" s="431"/>
      <c r="S357" s="437" t="str">
        <f>IF(ISBLANK(A358),"",A358)</f>
        <v/>
      </c>
      <c r="T357" s="438" t="s">
        <v>191</v>
      </c>
      <c r="U357" s="442"/>
      <c r="V357" s="442"/>
      <c r="W357" s="474"/>
      <c r="X357" s="210"/>
      <c r="Y357" s="210"/>
      <c r="Z357" s="210"/>
      <c r="AA357" s="466"/>
      <c r="AB357" s="466"/>
      <c r="AC357" s="466"/>
      <c r="AD357" s="210"/>
    </row>
    <row r="358" spans="1:30" ht="26.25" customHeight="1" x14ac:dyDescent="0.2">
      <c r="A358" s="1160"/>
      <c r="B358" s="1161"/>
      <c r="C358" s="1161"/>
      <c r="D358" s="1161"/>
      <c r="E358" s="1161"/>
      <c r="F358" s="1161"/>
      <c r="G358" s="1161"/>
      <c r="H358" s="1161"/>
      <c r="I358" s="1161"/>
      <c r="J358" s="1202"/>
      <c r="K358" s="1216"/>
      <c r="L358" s="1216"/>
      <c r="M358" s="1216"/>
      <c r="N358" s="1216"/>
      <c r="O358" s="443"/>
      <c r="P358" s="229" t="s">
        <v>269</v>
      </c>
      <c r="Q358" s="444" t="s">
        <v>270</v>
      </c>
      <c r="R358" s="431"/>
      <c r="S358" s="437" t="str">
        <f>IF(ISBLANK(A361),"",A361)</f>
        <v/>
      </c>
      <c r="T358" s="445" t="s">
        <v>192</v>
      </c>
      <c r="U358" s="442"/>
      <c r="V358" s="442"/>
      <c r="W358" s="480"/>
      <c r="X358" s="210"/>
      <c r="Y358" s="210"/>
      <c r="Z358" s="210"/>
      <c r="AA358" s="466"/>
      <c r="AB358" s="466"/>
      <c r="AC358" s="466"/>
      <c r="AD358" s="210"/>
    </row>
    <row r="359" spans="1:30" ht="26.25" customHeight="1" x14ac:dyDescent="0.2">
      <c r="A359" s="1176"/>
      <c r="B359" s="1177"/>
      <c r="C359" s="1177"/>
      <c r="D359" s="1177"/>
      <c r="E359" s="1177"/>
      <c r="F359" s="1177"/>
      <c r="G359" s="1177"/>
      <c r="H359" s="1177"/>
      <c r="I359" s="1177"/>
      <c r="J359" s="1203"/>
      <c r="K359" s="1204" t="s">
        <v>622</v>
      </c>
      <c r="L359" s="1205"/>
      <c r="M359" s="1205"/>
      <c r="N359" s="1205"/>
      <c r="O359" s="1206"/>
      <c r="P359" s="451"/>
      <c r="Q359" s="487"/>
      <c r="R359" s="440" t="str">
        <f>IF(COUNTBLANK(P359:Q359)=2,"Please enter response.",IF(COUNTBLANK(P359:Q359)&lt;&gt;1,"Please VERIFY response.",""))</f>
        <v>Please enter response.</v>
      </c>
      <c r="S359" s="452" t="str">
        <f>IF(AND(ISBLANK(P359),ISBLANK(Q359)),"",IF(ISBLANK(P359),0,1))</f>
        <v/>
      </c>
      <c r="T359" s="251" t="s">
        <v>592</v>
      </c>
      <c r="U359" s="213"/>
      <c r="V359" s="213"/>
      <c r="W359" s="210"/>
      <c r="X359" s="210"/>
      <c r="Y359" s="210"/>
      <c r="Z359" s="210"/>
      <c r="AA359" s="466"/>
      <c r="AB359" s="466"/>
      <c r="AC359" s="466"/>
      <c r="AD359" s="210"/>
    </row>
    <row r="360" spans="1:30" ht="26.25" customHeight="1" x14ac:dyDescent="0.2">
      <c r="A360" s="1219" t="s">
        <v>623</v>
      </c>
      <c r="B360" s="1220"/>
      <c r="C360" s="1220"/>
      <c r="D360" s="1220"/>
      <c r="E360" s="1220"/>
      <c r="F360" s="1220"/>
      <c r="G360" s="1220"/>
      <c r="H360" s="1220"/>
      <c r="I360" s="1220"/>
      <c r="J360" s="1221"/>
      <c r="K360" s="1204" t="s">
        <v>624</v>
      </c>
      <c r="L360" s="1205"/>
      <c r="M360" s="1205"/>
      <c r="N360" s="1205"/>
      <c r="O360" s="1206"/>
      <c r="P360" s="451"/>
      <c r="Q360" s="487"/>
      <c r="R360" s="440" t="str">
        <f>IF(COUNTBLANK(P360:Q360)=2,"Please enter response.",IF(COUNTBLANK(P360:Q360)&lt;&gt;1,"Please VERIFY response.",""))</f>
        <v>Please enter response.</v>
      </c>
      <c r="S360" s="452" t="str">
        <f>IF(AND(ISBLANK(P360),ISBLANK(Q360)),"",IF(ISBLANK(P360),0,1))</f>
        <v/>
      </c>
      <c r="T360" s="251" t="s">
        <v>593</v>
      </c>
      <c r="U360" s="213"/>
      <c r="V360" s="213"/>
      <c r="W360" s="210"/>
      <c r="X360" s="431"/>
      <c r="Y360" s="431"/>
      <c r="Z360" s="431"/>
      <c r="AA360" s="466"/>
      <c r="AB360" s="466"/>
      <c r="AC360" s="466"/>
      <c r="AD360" s="210"/>
    </row>
    <row r="361" spans="1:30" ht="26.25" customHeight="1" x14ac:dyDescent="0.2">
      <c r="A361" s="1160"/>
      <c r="B361" s="1161"/>
      <c r="C361" s="1161"/>
      <c r="D361" s="1161"/>
      <c r="E361" s="1161"/>
      <c r="F361" s="1161"/>
      <c r="G361" s="1161"/>
      <c r="H361" s="1161"/>
      <c r="I361" s="1161"/>
      <c r="J361" s="1202"/>
      <c r="K361" s="1204" t="s">
        <v>625</v>
      </c>
      <c r="L361" s="1205"/>
      <c r="M361" s="1205"/>
      <c r="N361" s="1205"/>
      <c r="O361" s="1206"/>
      <c r="P361" s="451"/>
      <c r="Q361" s="487"/>
      <c r="R361" s="440" t="str">
        <f>IF(COUNTBLANK(P361:Q361)=2,"Please enter response.",IF(COUNTBLANK(P361:Q361)&lt;&gt;1,"Please VERIFY response.",""))</f>
        <v>Please enter response.</v>
      </c>
      <c r="S361" s="452" t="str">
        <f>IF(AND(ISBLANK(P361),ISBLANK(Q361)),"",IF(ISBLANK(P361),0,1))</f>
        <v/>
      </c>
      <c r="T361" s="251" t="s">
        <v>594</v>
      </c>
      <c r="U361" s="213"/>
      <c r="V361" s="213"/>
      <c r="W361" s="210"/>
      <c r="X361" s="210"/>
      <c r="Y361" s="210"/>
      <c r="Z361" s="210"/>
      <c r="AA361" s="466"/>
      <c r="AB361" s="466"/>
      <c r="AC361" s="466"/>
      <c r="AD361" s="210"/>
    </row>
    <row r="362" spans="1:30" ht="26.25" customHeight="1" x14ac:dyDescent="0.2">
      <c r="A362" s="1176"/>
      <c r="B362" s="1177"/>
      <c r="C362" s="1177"/>
      <c r="D362" s="1177"/>
      <c r="E362" s="1177"/>
      <c r="F362" s="1177"/>
      <c r="G362" s="1177"/>
      <c r="H362" s="1177"/>
      <c r="I362" s="1177"/>
      <c r="J362" s="1203"/>
      <c r="K362" s="1204" t="s">
        <v>626</v>
      </c>
      <c r="L362" s="1205"/>
      <c r="M362" s="1205"/>
      <c r="N362" s="1205"/>
      <c r="O362" s="1206"/>
      <c r="P362" s="451"/>
      <c r="Q362" s="487"/>
      <c r="R362" s="440" t="str">
        <f>IF(COUNTBLANK(P362:Q362)=2,"Please enter response.",IF(COUNTBLANK(P362:Q362)&lt;&gt;1,"Please VERIFY response.",""))</f>
        <v>Please enter response.</v>
      </c>
      <c r="S362" s="452" t="str">
        <f>IF(AND(ISBLANK(P362),ISBLANK(Q362)),"",IF(ISBLANK(P362),0,1))</f>
        <v/>
      </c>
      <c r="T362" s="251" t="s">
        <v>595</v>
      </c>
      <c r="U362" s="213"/>
      <c r="V362" s="213"/>
      <c r="W362" s="210"/>
      <c r="X362" s="210"/>
      <c r="Y362" s="210"/>
      <c r="Z362" s="210"/>
      <c r="AA362" s="466"/>
      <c r="AB362" s="466"/>
      <c r="AC362" s="466"/>
      <c r="AD362" s="210"/>
    </row>
    <row r="363" spans="1:30" ht="26.25" customHeight="1" x14ac:dyDescent="0.2">
      <c r="A363" s="1207" t="s">
        <v>627</v>
      </c>
      <c r="B363" s="1208"/>
      <c r="C363" s="1208"/>
      <c r="D363" s="1208"/>
      <c r="E363" s="1208"/>
      <c r="F363" s="1208"/>
      <c r="G363" s="1208"/>
      <c r="H363" s="1208"/>
      <c r="I363" s="1208"/>
      <c r="J363" s="1208"/>
      <c r="K363" s="1208"/>
      <c r="L363" s="1208"/>
      <c r="M363" s="1208"/>
      <c r="N363" s="1208"/>
      <c r="O363" s="1208"/>
      <c r="P363" s="1208"/>
      <c r="Q363" s="1209"/>
      <c r="R363" s="454"/>
      <c r="S363" s="463"/>
      <c r="T363" s="454"/>
      <c r="U363" s="454"/>
      <c r="V363" s="454"/>
      <c r="W363" s="210"/>
      <c r="X363" s="210"/>
      <c r="Y363" s="210"/>
      <c r="Z363" s="210"/>
      <c r="AA363" s="210"/>
      <c r="AB363" s="210"/>
      <c r="AC363" s="210"/>
      <c r="AD363" s="210"/>
    </row>
    <row r="364" spans="1:30" ht="26.25" customHeight="1" x14ac:dyDescent="0.2">
      <c r="A364" s="1210" t="s">
        <v>628</v>
      </c>
      <c r="B364" s="1211"/>
      <c r="C364" s="1211"/>
      <c r="D364" s="1211"/>
      <c r="E364" s="1211" t="s">
        <v>629</v>
      </c>
      <c r="F364" s="1211"/>
      <c r="G364" s="1211"/>
      <c r="H364" s="1211"/>
      <c r="I364" s="1211" t="s">
        <v>630</v>
      </c>
      <c r="J364" s="1211"/>
      <c r="K364" s="1211"/>
      <c r="L364" s="1211"/>
      <c r="M364" s="1212" t="s">
        <v>631</v>
      </c>
      <c r="N364" s="1211"/>
      <c r="O364" s="1211"/>
      <c r="P364" s="1211"/>
      <c r="Q364" s="1213"/>
      <c r="R364" s="459"/>
      <c r="S364" s="1195" t="s">
        <v>632</v>
      </c>
      <c r="T364" s="1195"/>
      <c r="U364" s="1195"/>
      <c r="V364" s="1195"/>
      <c r="W364" s="431"/>
      <c r="X364" s="431"/>
      <c r="Y364" s="431"/>
      <c r="Z364" s="431"/>
      <c r="AA364" s="464"/>
      <c r="AB364" s="464"/>
      <c r="AC364" s="464"/>
      <c r="AD364" s="210"/>
    </row>
    <row r="365" spans="1:30" ht="26.25" customHeight="1" thickBot="1" x14ac:dyDescent="0.25">
      <c r="A365" s="1196"/>
      <c r="B365" s="815"/>
      <c r="C365" s="815"/>
      <c r="D365" s="815"/>
      <c r="E365" s="815"/>
      <c r="F365" s="815"/>
      <c r="G365" s="815"/>
      <c r="H365" s="815"/>
      <c r="I365" s="815"/>
      <c r="J365" s="815"/>
      <c r="K365" s="815"/>
      <c r="L365" s="815"/>
      <c r="M365" s="1197"/>
      <c r="N365" s="1197"/>
      <c r="O365" s="1197"/>
      <c r="P365" s="1197"/>
      <c r="Q365" s="1198"/>
      <c r="R365" s="454"/>
      <c r="S365" s="467" t="str">
        <f>IF(ISBLANK(A365),"",VLOOKUP(A365,VProjType,2,FALSE))</f>
        <v/>
      </c>
      <c r="T365" s="467" t="str">
        <f>IF(ISBLANK(E365),"",VLOOKUP(E365,VSubtype1,2,FALSE))</f>
        <v/>
      </c>
      <c r="U365" s="467" t="str">
        <f>IF(ISBLANK(I365),"",VLOOKUP(I365,VSubtype2,2,FALSE))</f>
        <v/>
      </c>
      <c r="V365" s="467" t="str">
        <f>IF(ISBLANK(M365),"",VLOOKUP(M365,VSubtype3,2,FALSE))</f>
        <v/>
      </c>
      <c r="W365" s="210"/>
      <c r="X365" s="466"/>
      <c r="Y365" s="466"/>
      <c r="Z365" s="466"/>
      <c r="AA365" s="466"/>
      <c r="AB365" s="466"/>
      <c r="AC365" s="466"/>
      <c r="AD365" s="210"/>
    </row>
    <row r="366" spans="1:30" ht="26.25" customHeight="1" x14ac:dyDescent="0.2">
      <c r="A366" s="1199" t="s">
        <v>634</v>
      </c>
      <c r="B366" s="1200"/>
      <c r="C366" s="1200"/>
      <c r="D366" s="1200"/>
      <c r="E366" s="1200"/>
      <c r="F366" s="1200"/>
      <c r="G366" s="1200"/>
      <c r="H366" s="1200"/>
      <c r="I366" s="1200"/>
      <c r="J366" s="1200"/>
      <c r="K366" s="1200"/>
      <c r="L366" s="1200"/>
      <c r="M366" s="1200"/>
      <c r="N366" s="1200"/>
      <c r="O366" s="1200"/>
      <c r="P366" s="1200"/>
      <c r="Q366" s="1201"/>
      <c r="R366" s="464"/>
      <c r="S366" s="468" t="s">
        <v>635</v>
      </c>
      <c r="T366" s="464"/>
      <c r="U366" s="464"/>
      <c r="V366" s="464"/>
      <c r="W366" s="210"/>
      <c r="X366" s="466"/>
      <c r="Y366" s="466"/>
      <c r="Z366" s="466"/>
      <c r="AA366" s="466"/>
      <c r="AB366" s="466"/>
      <c r="AC366" s="466"/>
      <c r="AD366" s="210"/>
    </row>
    <row r="367" spans="1:30" ht="26.25" customHeight="1" x14ac:dyDescent="0.2">
      <c r="A367" s="1166" t="s">
        <v>636</v>
      </c>
      <c r="B367" s="1167"/>
      <c r="C367" s="1167"/>
      <c r="D367" s="1167"/>
      <c r="E367" s="1167"/>
      <c r="F367" s="1167"/>
      <c r="G367" s="1167"/>
      <c r="H367" s="1167"/>
      <c r="I367" s="1167"/>
      <c r="J367" s="1167"/>
      <c r="K367" s="1167"/>
      <c r="L367" s="1168"/>
      <c r="M367" s="1169"/>
      <c r="N367" s="1170"/>
      <c r="O367" s="1170"/>
      <c r="P367" s="1170"/>
      <c r="Q367" s="1171"/>
      <c r="R367" s="464"/>
      <c r="S367" s="469" t="str">
        <f>IF(ISBLANK(M367),"",VLOOKUP(M367,VRemote,2,FALSE))</f>
        <v/>
      </c>
      <c r="T367" s="470" t="s">
        <v>637</v>
      </c>
      <c r="U367" s="464"/>
      <c r="V367" s="464"/>
      <c r="W367" s="210"/>
      <c r="X367" s="466"/>
      <c r="Y367" s="466"/>
      <c r="Z367" s="466"/>
      <c r="AA367" s="466"/>
      <c r="AB367" s="466"/>
      <c r="AC367" s="466"/>
      <c r="AD367" s="210"/>
    </row>
    <row r="368" spans="1:30" ht="26.25" customHeight="1" x14ac:dyDescent="0.2">
      <c r="A368" s="1166" t="s">
        <v>638</v>
      </c>
      <c r="B368" s="1167"/>
      <c r="C368" s="1167"/>
      <c r="D368" s="1167"/>
      <c r="E368" s="1167"/>
      <c r="F368" s="1167"/>
      <c r="G368" s="1167"/>
      <c r="H368" s="1167"/>
      <c r="I368" s="1167"/>
      <c r="J368" s="1167"/>
      <c r="K368" s="1167"/>
      <c r="L368" s="1167"/>
      <c r="M368" s="1169"/>
      <c r="N368" s="1170"/>
      <c r="O368" s="1170"/>
      <c r="P368" s="1170"/>
      <c r="Q368" s="1171"/>
      <c r="R368" s="466"/>
      <c r="S368" s="469" t="str">
        <f>IF(ISBLANK(M368),"",VLOOKUP(M368,VCapacity,2,FALSE))</f>
        <v/>
      </c>
      <c r="T368" s="162" t="s">
        <v>639</v>
      </c>
      <c r="U368" s="466"/>
      <c r="V368" s="466"/>
      <c r="W368" s="431"/>
      <c r="X368" s="466"/>
      <c r="Y368" s="466"/>
      <c r="Z368" s="466"/>
      <c r="AA368" s="466"/>
      <c r="AB368" s="466"/>
      <c r="AC368" s="466"/>
      <c r="AD368" s="210"/>
    </row>
    <row r="369" spans="1:38" ht="26.25" customHeight="1" x14ac:dyDescent="0.2">
      <c r="A369" s="1166" t="s">
        <v>640</v>
      </c>
      <c r="B369" s="1167"/>
      <c r="C369" s="1167"/>
      <c r="D369" s="1167"/>
      <c r="E369" s="1167"/>
      <c r="F369" s="1167"/>
      <c r="G369" s="1167"/>
      <c r="H369" s="1167"/>
      <c r="I369" s="1167"/>
      <c r="J369" s="1167"/>
      <c r="K369" s="1167"/>
      <c r="L369" s="1167"/>
      <c r="M369" s="1169"/>
      <c r="N369" s="1170"/>
      <c r="O369" s="1170"/>
      <c r="P369" s="1170"/>
      <c r="Q369" s="1171"/>
      <c r="R369" s="466"/>
      <c r="S369" s="469" t="str">
        <f>IF(ISBLANK(M369),"",VLOOKUP(M369,VPriorCap,2,FALSE))</f>
        <v/>
      </c>
      <c r="T369" s="162" t="s">
        <v>641</v>
      </c>
      <c r="U369" s="466"/>
      <c r="V369" s="466"/>
      <c r="W369" s="466"/>
      <c r="X369" s="466"/>
      <c r="Y369" s="466"/>
      <c r="Z369" s="466"/>
      <c r="AA369" s="466"/>
      <c r="AB369" s="466"/>
      <c r="AC369" s="466"/>
      <c r="AD369" s="210"/>
    </row>
    <row r="370" spans="1:38" ht="26.25" customHeight="1" x14ac:dyDescent="0.2">
      <c r="A370" s="1183" t="s">
        <v>643</v>
      </c>
      <c r="B370" s="1184"/>
      <c r="C370" s="1184"/>
      <c r="D370" s="1184"/>
      <c r="E370" s="1184"/>
      <c r="F370" s="1184"/>
      <c r="G370" s="1184"/>
      <c r="H370" s="1184"/>
      <c r="I370" s="1184"/>
      <c r="J370" s="1184"/>
      <c r="K370" s="1184"/>
      <c r="L370" s="1184"/>
      <c r="M370" s="1184"/>
      <c r="N370" s="1184"/>
      <c r="O370" s="1184"/>
      <c r="P370" s="1184"/>
      <c r="Q370" s="1185"/>
      <c r="R370" s="466"/>
      <c r="S370" s="472" t="str">
        <f>IF(ISBLANK(A371),"",A371)</f>
        <v/>
      </c>
      <c r="T370" s="162" t="s">
        <v>589</v>
      </c>
      <c r="U370" s="466"/>
      <c r="V370" s="466"/>
      <c r="W370" s="466"/>
      <c r="X370" s="466"/>
      <c r="Y370" s="466"/>
      <c r="Z370" s="466"/>
      <c r="AA370" s="466"/>
      <c r="AB370" s="466"/>
      <c r="AC370" s="466"/>
      <c r="AD370" s="210"/>
    </row>
    <row r="371" spans="1:38" ht="26.25" customHeight="1" x14ac:dyDescent="0.2">
      <c r="A371" s="1175"/>
      <c r="B371" s="1152"/>
      <c r="C371" s="1152"/>
      <c r="D371" s="1152"/>
      <c r="E371" s="1152"/>
      <c r="F371" s="1152"/>
      <c r="G371" s="1152"/>
      <c r="H371" s="1152"/>
      <c r="I371" s="1152"/>
      <c r="J371" s="1152"/>
      <c r="K371" s="1152"/>
      <c r="L371" s="1152"/>
      <c r="M371" s="1152"/>
      <c r="N371" s="1152"/>
      <c r="O371" s="1152"/>
      <c r="P371" s="1152"/>
      <c r="Q371" s="1182"/>
      <c r="R371" s="466"/>
      <c r="S371" s="466"/>
      <c r="T371" s="466"/>
      <c r="U371" s="466"/>
      <c r="V371" s="466"/>
      <c r="W371" s="466"/>
      <c r="X371" s="466"/>
      <c r="Y371" s="466"/>
      <c r="Z371" s="466"/>
      <c r="AA371" s="466"/>
      <c r="AB371" s="466"/>
      <c r="AC371" s="466"/>
      <c r="AD371" s="210"/>
    </row>
    <row r="372" spans="1:38" ht="26.25" customHeight="1" x14ac:dyDescent="0.2">
      <c r="A372" s="1186"/>
      <c r="B372" s="1187"/>
      <c r="C372" s="1187"/>
      <c r="D372" s="1187"/>
      <c r="E372" s="1187"/>
      <c r="F372" s="1187"/>
      <c r="G372" s="1187"/>
      <c r="H372" s="1187"/>
      <c r="I372" s="1187"/>
      <c r="J372" s="1187"/>
      <c r="K372" s="1187"/>
      <c r="L372" s="1187"/>
      <c r="M372" s="1187"/>
      <c r="N372" s="1187"/>
      <c r="O372" s="1187"/>
      <c r="P372" s="1187"/>
      <c r="Q372" s="1188"/>
      <c r="R372" s="466"/>
      <c r="S372" s="466"/>
      <c r="T372" s="466"/>
      <c r="U372" s="466"/>
      <c r="V372" s="466"/>
      <c r="W372" s="466"/>
      <c r="X372" s="466"/>
      <c r="Y372" s="466"/>
      <c r="Z372" s="466"/>
      <c r="AA372" s="466"/>
      <c r="AB372" s="466"/>
      <c r="AC372" s="466"/>
      <c r="AD372" s="210"/>
    </row>
    <row r="373" spans="1:38" ht="26.25" customHeight="1" x14ac:dyDescent="0.2">
      <c r="A373" s="1189" t="s">
        <v>645</v>
      </c>
      <c r="B373" s="1190"/>
      <c r="C373" s="1190"/>
      <c r="D373" s="1190"/>
      <c r="E373" s="1190"/>
      <c r="F373" s="1190"/>
      <c r="G373" s="1190"/>
      <c r="H373" s="1190"/>
      <c r="I373" s="1190"/>
      <c r="J373" s="1190"/>
      <c r="K373" s="1190"/>
      <c r="L373" s="1190"/>
      <c r="M373" s="1190"/>
      <c r="N373" s="1190"/>
      <c r="O373" s="1190"/>
      <c r="P373" s="1190"/>
      <c r="Q373" s="1191"/>
      <c r="R373" s="468"/>
      <c r="S373" s="468"/>
      <c r="T373" s="468"/>
      <c r="U373" s="468"/>
      <c r="V373" s="468"/>
      <c r="W373" s="466"/>
      <c r="X373" s="466"/>
      <c r="Y373" s="466"/>
      <c r="Z373" s="466"/>
      <c r="AA373" s="466"/>
      <c r="AB373" s="466"/>
      <c r="AC373" s="466"/>
      <c r="AD373" s="210"/>
    </row>
    <row r="374" spans="1:38" ht="26.25" customHeight="1" x14ac:dyDescent="0.2">
      <c r="A374" s="1175"/>
      <c r="B374" s="1152"/>
      <c r="C374" s="1152"/>
      <c r="D374" s="1152"/>
      <c r="E374" s="1152"/>
      <c r="F374" s="1152"/>
      <c r="G374" s="1152"/>
      <c r="H374" s="1152"/>
      <c r="I374" s="1152"/>
      <c r="J374" s="1152"/>
      <c r="K374" s="1152"/>
      <c r="L374" s="1152"/>
      <c r="M374" s="1152"/>
      <c r="N374" s="1152"/>
      <c r="O374" s="1152"/>
      <c r="P374" s="1152"/>
      <c r="Q374" s="1153"/>
      <c r="R374" s="466"/>
      <c r="S374" s="472" t="str">
        <f>IF(ISBLANK(A374),"",A374)</f>
        <v/>
      </c>
      <c r="T374" s="438" t="s">
        <v>194</v>
      </c>
      <c r="U374" s="466"/>
      <c r="V374" s="466"/>
      <c r="W374" s="466"/>
      <c r="X374" s="210"/>
      <c r="Y374" s="210"/>
      <c r="Z374" s="210"/>
      <c r="AA374" s="474"/>
      <c r="AB374" s="474"/>
      <c r="AC374" s="474"/>
      <c r="AD374" s="436"/>
    </row>
    <row r="375" spans="1:38" ht="26.25" customHeight="1" thickBot="1" x14ac:dyDescent="0.25">
      <c r="A375" s="1163"/>
      <c r="B375" s="1164"/>
      <c r="C375" s="1164"/>
      <c r="D375" s="1164"/>
      <c r="E375" s="1164"/>
      <c r="F375" s="1164"/>
      <c r="G375" s="1164"/>
      <c r="H375" s="1164"/>
      <c r="I375" s="1164"/>
      <c r="J375" s="1164"/>
      <c r="K375" s="1164"/>
      <c r="L375" s="1164"/>
      <c r="M375" s="1164"/>
      <c r="N375" s="1164"/>
      <c r="O375" s="1164"/>
      <c r="P375" s="1164"/>
      <c r="Q375" s="1165"/>
      <c r="R375" s="466"/>
      <c r="S375" s="466"/>
      <c r="T375" s="438"/>
      <c r="U375" s="466"/>
      <c r="V375" s="466"/>
      <c r="W375" s="466"/>
      <c r="X375" s="464"/>
      <c r="Y375" s="464"/>
      <c r="Z375" s="464"/>
      <c r="AA375" s="480"/>
      <c r="AB375" s="480"/>
      <c r="AC375" s="480"/>
      <c r="AD375" s="436"/>
    </row>
    <row r="376" spans="1:38" ht="26.25" customHeight="1" x14ac:dyDescent="0.2">
      <c r="A376" s="1157" t="s">
        <v>647</v>
      </c>
      <c r="B376" s="1158"/>
      <c r="C376" s="1158"/>
      <c r="D376" s="1158"/>
      <c r="E376" s="1158"/>
      <c r="F376" s="1158"/>
      <c r="G376" s="1158"/>
      <c r="H376" s="1158"/>
      <c r="I376" s="1158"/>
      <c r="J376" s="1158"/>
      <c r="K376" s="1158"/>
      <c r="L376" s="1158"/>
      <c r="M376" s="1158"/>
      <c r="N376" s="1158"/>
      <c r="O376" s="1158"/>
      <c r="P376" s="1158"/>
      <c r="Q376" s="1159"/>
      <c r="R376" s="464"/>
      <c r="S376" s="468" t="s">
        <v>648</v>
      </c>
      <c r="T376" s="464"/>
      <c r="U376" s="464"/>
      <c r="V376" s="464"/>
      <c r="W376" s="466"/>
      <c r="X376" s="466"/>
      <c r="Y376" s="466"/>
      <c r="Z376" s="466"/>
      <c r="AA376" s="210"/>
      <c r="AB376" s="210"/>
      <c r="AC376" s="210"/>
      <c r="AD376" s="436"/>
      <c r="AL376" s="213"/>
    </row>
    <row r="377" spans="1:38" ht="26.25" customHeight="1" x14ac:dyDescent="0.2">
      <c r="A377" s="1192" t="s">
        <v>649</v>
      </c>
      <c r="B377" s="1193"/>
      <c r="C377" s="1193"/>
      <c r="D377" s="1193"/>
      <c r="E377" s="1193"/>
      <c r="F377" s="1193"/>
      <c r="G377" s="1193"/>
      <c r="H377" s="1193"/>
      <c r="I377" s="1193"/>
      <c r="J377" s="1193"/>
      <c r="K377" s="1193"/>
      <c r="L377" s="1194"/>
      <c r="M377" s="1169"/>
      <c r="N377" s="1170"/>
      <c r="O377" s="1170"/>
      <c r="P377" s="1170"/>
      <c r="Q377" s="1171"/>
      <c r="R377" s="466"/>
      <c r="S377" s="473" t="str">
        <f>IF(ISBLANK(M377),"",VLOOKUP(M377,VImpact,2,FALSE))</f>
        <v/>
      </c>
      <c r="T377" s="162" t="s">
        <v>650</v>
      </c>
      <c r="U377" s="466"/>
      <c r="V377" s="466"/>
      <c r="W377" s="466"/>
      <c r="X377" s="466"/>
      <c r="Y377" s="466"/>
      <c r="Z377" s="466"/>
      <c r="AA377" s="210"/>
      <c r="AB377" s="210"/>
      <c r="AC377" s="210"/>
      <c r="AD377" s="436"/>
      <c r="AL377" s="213"/>
    </row>
    <row r="378" spans="1:38" ht="26.25" customHeight="1" x14ac:dyDescent="0.2">
      <c r="A378" s="1166" t="s">
        <v>651</v>
      </c>
      <c r="B378" s="1167"/>
      <c r="C378" s="1167"/>
      <c r="D378" s="1167"/>
      <c r="E378" s="1167"/>
      <c r="F378" s="1167"/>
      <c r="G378" s="1167"/>
      <c r="H378" s="1167"/>
      <c r="I378" s="1167"/>
      <c r="J378" s="1167"/>
      <c r="K378" s="1167"/>
      <c r="L378" s="1168"/>
      <c r="M378" s="1169"/>
      <c r="N378" s="1170"/>
      <c r="O378" s="1170"/>
      <c r="P378" s="1170"/>
      <c r="Q378" s="1171"/>
      <c r="R378" s="466"/>
      <c r="S378" s="473" t="str">
        <f>IF(ISBLANK(M378),"",VLOOKUP(M378,VEvidence,2,FALSE))</f>
        <v/>
      </c>
      <c r="T378" s="251" t="s">
        <v>652</v>
      </c>
      <c r="U378" s="466"/>
      <c r="V378" s="466"/>
      <c r="W378" s="210"/>
      <c r="X378" s="466"/>
      <c r="Y378" s="466"/>
      <c r="Z378" s="466"/>
      <c r="AA378" s="210"/>
      <c r="AB378" s="210"/>
      <c r="AC378" s="210"/>
      <c r="AD378" s="210"/>
      <c r="AL378" s="134"/>
    </row>
    <row r="379" spans="1:38" ht="26.25" customHeight="1" x14ac:dyDescent="0.2">
      <c r="A379" s="1172" t="s">
        <v>653</v>
      </c>
      <c r="B379" s="1173"/>
      <c r="C379" s="1173"/>
      <c r="D379" s="1173"/>
      <c r="E379" s="1173"/>
      <c r="F379" s="1173"/>
      <c r="G379" s="1173"/>
      <c r="H379" s="1173"/>
      <c r="I379" s="1173"/>
      <c r="J379" s="1173"/>
      <c r="K379" s="1173"/>
      <c r="L379" s="1173"/>
      <c r="M379" s="1173"/>
      <c r="N379" s="1173"/>
      <c r="O379" s="1173"/>
      <c r="P379" s="1173"/>
      <c r="Q379" s="1174"/>
      <c r="R379" s="466"/>
      <c r="S379" s="472" t="str">
        <f>IF(ISBLANK(A380),"",A380)</f>
        <v/>
      </c>
      <c r="T379" s="438" t="s">
        <v>193</v>
      </c>
      <c r="U379" s="466"/>
      <c r="V379" s="466"/>
      <c r="W379" s="464"/>
      <c r="X379" s="466"/>
      <c r="Y379" s="466"/>
      <c r="Z379" s="466"/>
      <c r="AA379" s="210"/>
      <c r="AB379" s="210"/>
      <c r="AC379" s="210"/>
      <c r="AD379" s="210"/>
      <c r="AL379" s="134"/>
    </row>
    <row r="380" spans="1:38" ht="26.25" customHeight="1" x14ac:dyDescent="0.2">
      <c r="A380" s="1175"/>
      <c r="B380" s="1152"/>
      <c r="C380" s="1152"/>
      <c r="D380" s="1152"/>
      <c r="E380" s="1152"/>
      <c r="F380" s="1152"/>
      <c r="G380" s="1152"/>
      <c r="H380" s="1152"/>
      <c r="I380" s="1152"/>
      <c r="J380" s="1152"/>
      <c r="K380" s="1152"/>
      <c r="L380" s="1152"/>
      <c r="M380" s="1152"/>
      <c r="N380" s="1152"/>
      <c r="O380" s="1152"/>
      <c r="P380" s="1152"/>
      <c r="Q380" s="1153"/>
      <c r="R380" s="466"/>
      <c r="S380" s="466"/>
      <c r="T380" s="475"/>
      <c r="U380" s="466"/>
      <c r="V380" s="466"/>
      <c r="W380" s="466"/>
      <c r="X380" s="466"/>
      <c r="Y380" s="466"/>
      <c r="Z380" s="466"/>
      <c r="AA380" s="210"/>
      <c r="AB380" s="210"/>
      <c r="AC380" s="210"/>
      <c r="AD380" s="210"/>
      <c r="AL380" s="134"/>
    </row>
    <row r="381" spans="1:38" ht="26.25" customHeight="1" x14ac:dyDescent="0.2">
      <c r="A381" s="1176"/>
      <c r="B381" s="1177"/>
      <c r="C381" s="1177"/>
      <c r="D381" s="1177"/>
      <c r="E381" s="1177"/>
      <c r="F381" s="1177"/>
      <c r="G381" s="1177"/>
      <c r="H381" s="1177"/>
      <c r="I381" s="1177"/>
      <c r="J381" s="1177"/>
      <c r="K381" s="1177"/>
      <c r="L381" s="1177"/>
      <c r="M381" s="1177"/>
      <c r="N381" s="1177"/>
      <c r="O381" s="1177"/>
      <c r="P381" s="1177"/>
      <c r="Q381" s="1178"/>
      <c r="R381" s="466"/>
      <c r="S381" s="466"/>
      <c r="T381" s="475"/>
      <c r="U381" s="466"/>
      <c r="V381" s="466"/>
      <c r="W381" s="466"/>
      <c r="X381" s="466"/>
      <c r="Y381" s="466"/>
      <c r="Z381" s="466"/>
      <c r="AA381" s="431"/>
      <c r="AB381" s="431"/>
      <c r="AC381" s="431"/>
      <c r="AD381" s="486"/>
      <c r="AL381" s="134"/>
    </row>
    <row r="382" spans="1:38" ht="26.25" customHeight="1" x14ac:dyDescent="0.2">
      <c r="A382" s="1179" t="s">
        <v>654</v>
      </c>
      <c r="B382" s="1180"/>
      <c r="C382" s="1180"/>
      <c r="D382" s="1180"/>
      <c r="E382" s="1180"/>
      <c r="F382" s="1180"/>
      <c r="G382" s="1180"/>
      <c r="H382" s="1180"/>
      <c r="I382" s="1180"/>
      <c r="J382" s="1180"/>
      <c r="K382" s="1180"/>
      <c r="L382" s="1180"/>
      <c r="M382" s="1180"/>
      <c r="N382" s="1180"/>
      <c r="O382" s="1180"/>
      <c r="P382" s="1180"/>
      <c r="Q382" s="1181"/>
      <c r="R382" s="466"/>
      <c r="S382" s="472" t="str">
        <f>IF(ISBLANK(A383),"",A383)</f>
        <v/>
      </c>
      <c r="T382" s="475" t="s">
        <v>590</v>
      </c>
      <c r="U382" s="466"/>
      <c r="V382" s="466"/>
      <c r="W382" s="466"/>
      <c r="X382" s="466"/>
      <c r="Y382" s="466"/>
      <c r="Z382" s="466"/>
      <c r="AA382" s="210"/>
      <c r="AB382" s="210"/>
      <c r="AC382" s="210"/>
      <c r="AD382" s="210"/>
      <c r="AL382" s="134"/>
    </row>
    <row r="383" spans="1:38" ht="26.25" customHeight="1" x14ac:dyDescent="0.2">
      <c r="A383" s="1175"/>
      <c r="B383" s="1152"/>
      <c r="C383" s="1152"/>
      <c r="D383" s="1152"/>
      <c r="E383" s="1152"/>
      <c r="F383" s="1152"/>
      <c r="G383" s="1152"/>
      <c r="H383" s="1152"/>
      <c r="I383" s="1152"/>
      <c r="J383" s="1152"/>
      <c r="K383" s="1152"/>
      <c r="L383" s="1152"/>
      <c r="M383" s="1152"/>
      <c r="N383" s="1152"/>
      <c r="O383" s="1152"/>
      <c r="P383" s="1152"/>
      <c r="Q383" s="1182"/>
      <c r="R383" s="466"/>
      <c r="U383" s="466"/>
      <c r="V383" s="466"/>
      <c r="W383" s="466"/>
      <c r="X383" s="466"/>
      <c r="Y383" s="466"/>
      <c r="Z383" s="466"/>
      <c r="AA383" s="210"/>
      <c r="AB383" s="210"/>
      <c r="AC383" s="210"/>
      <c r="AD383" s="210"/>
      <c r="AL383" s="134"/>
    </row>
    <row r="384" spans="1:38" ht="26.25" customHeight="1" thickBot="1" x14ac:dyDescent="0.25">
      <c r="A384" s="1154"/>
      <c r="B384" s="1155"/>
      <c r="C384" s="1155"/>
      <c r="D384" s="1155"/>
      <c r="E384" s="1155"/>
      <c r="F384" s="1155"/>
      <c r="G384" s="1155"/>
      <c r="H384" s="1155"/>
      <c r="I384" s="1155"/>
      <c r="J384" s="1155"/>
      <c r="K384" s="1155"/>
      <c r="L384" s="1155"/>
      <c r="M384" s="1155"/>
      <c r="N384" s="1155"/>
      <c r="O384" s="1155"/>
      <c r="P384" s="1155"/>
      <c r="Q384" s="1156"/>
      <c r="R384" s="466"/>
      <c r="S384" s="466"/>
      <c r="T384" s="466"/>
      <c r="U384" s="466"/>
      <c r="V384" s="466"/>
      <c r="W384" s="466"/>
      <c r="X384" s="466"/>
      <c r="Y384" s="466"/>
      <c r="Z384" s="466"/>
      <c r="AA384" s="210"/>
      <c r="AB384" s="210"/>
      <c r="AC384" s="210"/>
      <c r="AD384" s="436"/>
      <c r="AL384" s="134"/>
    </row>
    <row r="385" spans="1:38" ht="26.25" customHeight="1" x14ac:dyDescent="0.25">
      <c r="A385" s="1148" t="s">
        <v>656</v>
      </c>
      <c r="B385" s="1149"/>
      <c r="C385" s="1149"/>
      <c r="D385" s="1149"/>
      <c r="E385" s="1149"/>
      <c r="F385" s="1149"/>
      <c r="G385" s="1149"/>
      <c r="H385" s="1149"/>
      <c r="I385" s="1149"/>
      <c r="J385" s="1149"/>
      <c r="K385" s="1149"/>
      <c r="L385" s="1149"/>
      <c r="M385" s="1149"/>
      <c r="N385" s="1149"/>
      <c r="O385" s="1149"/>
      <c r="P385" s="1149"/>
      <c r="Q385" s="1150"/>
      <c r="S385" s="478" t="str">
        <f>IF(ISBLANK(A386),"",A386)</f>
        <v/>
      </c>
      <c r="T385" s="479" t="s">
        <v>657</v>
      </c>
      <c r="W385" s="466"/>
      <c r="X385" s="474"/>
      <c r="Y385" s="474"/>
      <c r="Z385" s="474"/>
      <c r="AA385" s="431"/>
      <c r="AB385" s="431"/>
      <c r="AC385" s="431"/>
      <c r="AD385" s="471"/>
      <c r="AL385" s="134"/>
    </row>
    <row r="386" spans="1:38" ht="26.25" customHeight="1" x14ac:dyDescent="0.2">
      <c r="A386" s="1175"/>
      <c r="B386" s="1152"/>
      <c r="C386" s="1152"/>
      <c r="D386" s="1152"/>
      <c r="E386" s="1152"/>
      <c r="F386" s="1152"/>
      <c r="G386" s="1152"/>
      <c r="H386" s="1152"/>
      <c r="I386" s="1152"/>
      <c r="J386" s="1152"/>
      <c r="K386" s="1152"/>
      <c r="L386" s="1152"/>
      <c r="M386" s="1152"/>
      <c r="N386" s="1152"/>
      <c r="O386" s="1152"/>
      <c r="P386" s="1152"/>
      <c r="Q386" s="1153"/>
      <c r="W386" s="466"/>
      <c r="X386" s="464"/>
      <c r="Y386" s="464"/>
      <c r="Z386" s="464"/>
      <c r="AA386" s="466"/>
      <c r="AB386" s="466"/>
      <c r="AC386" s="466"/>
      <c r="AD386" s="210"/>
      <c r="AL386" s="134"/>
    </row>
    <row r="387" spans="1:38" ht="26.25" customHeight="1" thickBot="1" x14ac:dyDescent="0.3">
      <c r="A387" s="1154"/>
      <c r="B387" s="1155"/>
      <c r="C387" s="1155"/>
      <c r="D387" s="1155"/>
      <c r="E387" s="1155"/>
      <c r="F387" s="1155"/>
      <c r="G387" s="1155"/>
      <c r="H387" s="1155"/>
      <c r="I387" s="1155"/>
      <c r="J387" s="1155"/>
      <c r="K387" s="1155"/>
      <c r="L387" s="1155"/>
      <c r="M387" s="1155"/>
      <c r="N387" s="1155"/>
      <c r="O387" s="1155"/>
      <c r="P387" s="1155"/>
      <c r="Q387" s="1156"/>
      <c r="R387" s="436"/>
      <c r="S387" s="436"/>
      <c r="T387" s="436"/>
      <c r="U387" s="436"/>
      <c r="V387" s="436"/>
      <c r="W387" s="466"/>
      <c r="X387" s="466"/>
      <c r="Y387" s="466"/>
      <c r="Z387" s="466"/>
      <c r="AA387" s="466"/>
      <c r="AB387" s="466"/>
      <c r="AC387" s="466"/>
      <c r="AD387" s="471"/>
      <c r="AL387" s="213"/>
    </row>
    <row r="388" spans="1:38" ht="26.25" customHeight="1" x14ac:dyDescent="0.25">
      <c r="A388" s="1157" t="s">
        <v>658</v>
      </c>
      <c r="B388" s="1158"/>
      <c r="C388" s="1158"/>
      <c r="D388" s="1158"/>
      <c r="E388" s="1158"/>
      <c r="F388" s="1158"/>
      <c r="G388" s="1158"/>
      <c r="H388" s="1158"/>
      <c r="I388" s="1158"/>
      <c r="J388" s="1158"/>
      <c r="K388" s="1158"/>
      <c r="L388" s="1158"/>
      <c r="M388" s="1158"/>
      <c r="N388" s="1158"/>
      <c r="O388" s="1158"/>
      <c r="P388" s="1158"/>
      <c r="Q388" s="1159"/>
      <c r="R388" s="476"/>
      <c r="S388" s="481"/>
      <c r="T388" s="482"/>
      <c r="U388" s="476"/>
      <c r="V388" s="476"/>
      <c r="W388" s="466"/>
      <c r="X388" s="466"/>
      <c r="Y388" s="466"/>
      <c r="Z388" s="466"/>
      <c r="AA388" s="466"/>
      <c r="AB388" s="466"/>
      <c r="AC388" s="466"/>
      <c r="AD388" s="471"/>
    </row>
    <row r="389" spans="1:38" ht="26.25" customHeight="1" x14ac:dyDescent="0.25">
      <c r="A389" s="1160"/>
      <c r="B389" s="1161"/>
      <c r="C389" s="1161"/>
      <c r="D389" s="1161"/>
      <c r="E389" s="1161"/>
      <c r="F389" s="1161"/>
      <c r="G389" s="1161"/>
      <c r="H389" s="1161"/>
      <c r="I389" s="1161"/>
      <c r="J389" s="1161"/>
      <c r="K389" s="1161"/>
      <c r="L389" s="1161"/>
      <c r="M389" s="1161"/>
      <c r="N389" s="1161"/>
      <c r="O389" s="1161"/>
      <c r="P389" s="1161"/>
      <c r="Q389" s="1162"/>
      <c r="R389" s="195"/>
      <c r="S389" s="483" t="str">
        <f>IF(ISBLANK(A389),"",CONCATENATE(S388,A389))</f>
        <v/>
      </c>
      <c r="T389" s="438" t="s">
        <v>195</v>
      </c>
      <c r="U389" s="195"/>
      <c r="V389" s="195"/>
      <c r="W389" s="474"/>
      <c r="X389" s="466"/>
      <c r="Y389" s="466"/>
      <c r="Z389" s="466"/>
      <c r="AA389" s="466"/>
      <c r="AB389" s="466"/>
      <c r="AC389" s="466"/>
      <c r="AD389" s="471"/>
    </row>
    <row r="390" spans="1:38" ht="26.25" customHeight="1" thickBot="1" x14ac:dyDescent="0.3">
      <c r="A390" s="1163"/>
      <c r="B390" s="1164"/>
      <c r="C390" s="1164"/>
      <c r="D390" s="1164"/>
      <c r="E390" s="1164"/>
      <c r="F390" s="1164"/>
      <c r="G390" s="1164"/>
      <c r="H390" s="1164"/>
      <c r="I390" s="1164"/>
      <c r="J390" s="1164"/>
      <c r="K390" s="1164"/>
      <c r="L390" s="1164"/>
      <c r="M390" s="1164"/>
      <c r="N390" s="1164"/>
      <c r="O390" s="1164"/>
      <c r="P390" s="1164"/>
      <c r="Q390" s="1165"/>
      <c r="R390" s="195"/>
      <c r="S390" s="210"/>
      <c r="T390" s="210"/>
      <c r="U390" s="210"/>
      <c r="V390" s="210"/>
      <c r="W390" s="464"/>
      <c r="X390" s="466"/>
      <c r="Y390" s="466"/>
      <c r="Z390" s="466"/>
      <c r="AA390" s="466"/>
      <c r="AB390" s="466"/>
      <c r="AC390" s="466"/>
      <c r="AD390" s="471"/>
    </row>
    <row r="391" spans="1:38" ht="26.25" customHeight="1" x14ac:dyDescent="0.25">
      <c r="A391" s="484" t="e">
        <f>$A$1</f>
        <v>#N/A</v>
      </c>
      <c r="B391" s="210"/>
      <c r="C391" s="210"/>
      <c r="D391" s="210"/>
      <c r="E391" s="210"/>
      <c r="F391" s="210"/>
      <c r="G391" s="210"/>
      <c r="H391" s="210"/>
      <c r="I391" s="210"/>
      <c r="J391" s="210"/>
      <c r="K391" s="210"/>
      <c r="L391" s="210"/>
      <c r="M391" s="210"/>
      <c r="N391" s="210"/>
      <c r="O391" s="210"/>
      <c r="P391" s="954"/>
      <c r="Q391" s="954"/>
      <c r="R391" s="474"/>
      <c r="S391" s="474"/>
      <c r="T391" s="474"/>
      <c r="U391" s="474"/>
      <c r="V391" s="474"/>
      <c r="W391" s="466"/>
      <c r="X391" s="466"/>
      <c r="Y391" s="466"/>
      <c r="Z391" s="466"/>
      <c r="AA391" s="466"/>
      <c r="AB391" s="466"/>
      <c r="AC391" s="466"/>
      <c r="AD391" s="471"/>
    </row>
    <row r="392" spans="1:38" ht="26.25" customHeight="1" thickBot="1" x14ac:dyDescent="0.3">
      <c r="A392" s="1259" t="s">
        <v>205</v>
      </c>
      <c r="B392" s="1260"/>
      <c r="C392" s="1260"/>
      <c r="D392" s="1260"/>
      <c r="E392" s="1260"/>
      <c r="F392" s="1260"/>
      <c r="G392" s="1260"/>
      <c r="H392" s="1260"/>
      <c r="I392" s="1260"/>
      <c r="J392" s="1260"/>
      <c r="K392" s="1260"/>
      <c r="L392" s="1260"/>
      <c r="M392" s="1260"/>
      <c r="N392" s="1261" t="str">
        <f>$N$5</f>
        <v>2019 Report Year</v>
      </c>
      <c r="O392" s="1262"/>
      <c r="P392" s="1262"/>
      <c r="Q392" s="1262"/>
      <c r="R392" s="480"/>
      <c r="S392" s="480"/>
      <c r="T392" s="480"/>
      <c r="U392" s="480"/>
      <c r="V392" s="480"/>
      <c r="W392" s="466"/>
      <c r="X392" s="466"/>
      <c r="Y392" s="466"/>
      <c r="Z392" s="466"/>
      <c r="AA392" s="466"/>
      <c r="AB392" s="466"/>
      <c r="AC392" s="466"/>
      <c r="AD392" s="471"/>
    </row>
    <row r="393" spans="1:38" ht="24.6" customHeight="1" x14ac:dyDescent="0.25">
      <c r="A393" s="1246" t="e">
        <f>IF(AND(OR(ISNA(cap_exp_contact),TRIM(cap_exp_contact)=""),NOT(ISBLANK(code_7594))),"The Capital Expenditure Contact information has NOT been provided.  Please complete this information now.","")</f>
        <v>#N/A</v>
      </c>
      <c r="B393" s="1247"/>
      <c r="C393" s="1247"/>
      <c r="D393" s="1247"/>
      <c r="E393" s="1247"/>
      <c r="F393" s="1247"/>
      <c r="G393" s="1247"/>
      <c r="H393" s="1247"/>
      <c r="I393" s="1247"/>
      <c r="J393" s="1247"/>
      <c r="K393" s="1247"/>
      <c r="L393" s="1247"/>
      <c r="M393" s="1247"/>
      <c r="N393" s="422" t="s">
        <v>609</v>
      </c>
      <c r="O393" s="423" t="e">
        <f>$O$6</f>
        <v>#N/A</v>
      </c>
      <c r="P393" s="424" t="s">
        <v>610</v>
      </c>
      <c r="Q393" s="425"/>
      <c r="R393" s="325"/>
      <c r="S393" s="210"/>
      <c r="T393" s="210"/>
      <c r="U393" s="210"/>
      <c r="V393" s="210"/>
      <c r="W393" s="466"/>
      <c r="X393" s="466"/>
      <c r="Y393" s="466"/>
      <c r="Z393" s="466"/>
      <c r="AA393" s="466"/>
      <c r="AB393" s="466"/>
      <c r="AC393" s="466"/>
      <c r="AD393" s="471"/>
    </row>
    <row r="394" spans="1:38" ht="26.25" customHeight="1" thickBot="1" x14ac:dyDescent="0.3">
      <c r="A394" s="1248" t="s">
        <v>197</v>
      </c>
      <c r="B394" s="1249"/>
      <c r="C394" s="1249"/>
      <c r="D394" s="1249"/>
      <c r="E394" s="1250"/>
      <c r="F394" s="1251"/>
      <c r="G394" s="1251"/>
      <c r="H394" s="1251"/>
      <c r="I394" s="1251"/>
      <c r="J394" s="1251"/>
      <c r="K394" s="1251"/>
      <c r="L394" s="1252"/>
      <c r="M394" s="427"/>
      <c r="N394" s="1253" t="s">
        <v>611</v>
      </c>
      <c r="O394" s="1254"/>
      <c r="P394" s="1254"/>
      <c r="Q394" s="1255"/>
      <c r="R394" s="325"/>
      <c r="S394" s="428" t="str">
        <f>IF(ISBLANK(E394),"",E394)</f>
        <v/>
      </c>
      <c r="T394" s="154" t="s">
        <v>501</v>
      </c>
      <c r="U394" s="325"/>
      <c r="V394" s="325"/>
      <c r="W394" s="466"/>
      <c r="X394" s="466"/>
      <c r="Y394" s="466"/>
      <c r="Z394" s="466"/>
      <c r="AA394" s="466"/>
      <c r="AB394" s="466"/>
      <c r="AC394" s="466"/>
      <c r="AD394" s="471"/>
    </row>
    <row r="395" spans="1:38" ht="26.25" customHeight="1" x14ac:dyDescent="0.25">
      <c r="A395" s="1256" t="s">
        <v>612</v>
      </c>
      <c r="B395" s="1257"/>
      <c r="C395" s="1257"/>
      <c r="D395" s="1258"/>
      <c r="E395" s="1234"/>
      <c r="F395" s="1235"/>
      <c r="G395" s="1235"/>
      <c r="H395" s="1235"/>
      <c r="I395" s="1235"/>
      <c r="J395" s="1235"/>
      <c r="K395" s="1235"/>
      <c r="L395" s="1236"/>
      <c r="M395" s="1237" t="str">
        <f>IF(AND(ISBLANK(E395),OR(NOT(ISBLANK(E396)),NOT(ISBLANK(E397)),NOT(ISBLANK(E398)),NOT(ISBLANK(I399)),NOT(ISBLANK(A401)))),"This information is required.","")</f>
        <v/>
      </c>
      <c r="N395" s="1238"/>
      <c r="O395" s="1238"/>
      <c r="P395" s="1238"/>
      <c r="Q395" s="429"/>
      <c r="R395" s="325"/>
      <c r="S395" s="428" t="str">
        <f>IF(ISBLANK(E395),"",E395)</f>
        <v/>
      </c>
      <c r="T395" s="154" t="s">
        <v>185</v>
      </c>
      <c r="U395" s="325"/>
      <c r="V395" s="325"/>
      <c r="W395" s="466"/>
      <c r="X395" s="466"/>
      <c r="Y395" s="466"/>
      <c r="Z395" s="466"/>
      <c r="AA395" s="210"/>
      <c r="AB395" s="210"/>
      <c r="AC395" s="210"/>
      <c r="AD395" s="471"/>
    </row>
    <row r="396" spans="1:38" ht="26.25" customHeight="1" x14ac:dyDescent="0.25">
      <c r="A396" s="1222" t="s">
        <v>613</v>
      </c>
      <c r="B396" s="1223"/>
      <c r="C396" s="1223"/>
      <c r="D396" s="1224"/>
      <c r="E396" s="1234"/>
      <c r="F396" s="1235"/>
      <c r="G396" s="1235"/>
      <c r="H396" s="1235"/>
      <c r="I396" s="1235"/>
      <c r="J396" s="1235"/>
      <c r="K396" s="1235"/>
      <c r="L396" s="1236"/>
      <c r="M396" s="1237" t="str">
        <f>IF(AND(ISBLANK(E396),OR(NOT(ISBLANK(E395)),NOT(ISBLANK(E397)),NOT(ISBLANK(E398)),NOT(ISBLANK(I399)),NOT(ISBLANK(A401)))),"This information is required.","")</f>
        <v/>
      </c>
      <c r="N396" s="1238"/>
      <c r="O396" s="1238"/>
      <c r="P396" s="1238"/>
      <c r="Q396" s="429"/>
      <c r="R396" s="325"/>
      <c r="S396" s="428" t="str">
        <f>IF(ISBLANK(E396),"",E396)</f>
        <v/>
      </c>
      <c r="T396" s="154" t="s">
        <v>186</v>
      </c>
      <c r="U396" s="325"/>
      <c r="V396" s="325"/>
      <c r="W396" s="466"/>
      <c r="X396" s="210"/>
      <c r="Y396" s="210"/>
      <c r="Z396" s="210"/>
      <c r="AA396" s="464"/>
      <c r="AB396" s="464"/>
      <c r="AC396" s="464"/>
      <c r="AD396" s="471"/>
    </row>
    <row r="397" spans="1:38" ht="26.25" customHeight="1" x14ac:dyDescent="0.2">
      <c r="A397" s="1239" t="s">
        <v>614</v>
      </c>
      <c r="B397" s="1240"/>
      <c r="C397" s="1240"/>
      <c r="D397" s="1241"/>
      <c r="E397" s="1242"/>
      <c r="F397" s="1243"/>
      <c r="G397" s="1244" t="s">
        <v>615</v>
      </c>
      <c r="H397" s="1244"/>
      <c r="I397" s="1244"/>
      <c r="J397" s="1244"/>
      <c r="K397" s="1244"/>
      <c r="L397" s="1244"/>
      <c r="M397" s="1245" t="str">
        <f>IF(AND(ISBLANK(E397),OR(NOT(ISBLANK(E395)),NOT(ISBLANK(E396)),NOT(ISBLANK(E398)),NOT(ISBLANK(I399)),NOT(ISBLANK(A401)))),"This information is required.","")</f>
        <v/>
      </c>
      <c r="N397" s="1089"/>
      <c r="O397" s="1089"/>
      <c r="P397" s="1089"/>
      <c r="Q397" s="430"/>
      <c r="R397" s="431"/>
      <c r="S397" s="432" t="str">
        <f>IF(ISBLANK(E397),"",E397)</f>
        <v/>
      </c>
      <c r="T397" s="433" t="s">
        <v>188</v>
      </c>
      <c r="U397" s="431"/>
      <c r="V397" s="431"/>
      <c r="W397" s="466"/>
      <c r="X397" s="468"/>
      <c r="Y397" s="468"/>
      <c r="Z397" s="468"/>
      <c r="AA397" s="466"/>
      <c r="AB397" s="466"/>
      <c r="AC397" s="466"/>
      <c r="AD397" s="210"/>
    </row>
    <row r="398" spans="1:38" ht="26.25" customHeight="1" x14ac:dyDescent="0.25">
      <c r="A398" s="1222" t="s">
        <v>616</v>
      </c>
      <c r="B398" s="1223"/>
      <c r="C398" s="1223"/>
      <c r="D398" s="1224"/>
      <c r="E398" s="1225"/>
      <c r="F398" s="1226"/>
      <c r="G398" s="434"/>
      <c r="H398" s="435"/>
      <c r="I398" s="436"/>
      <c r="J398" s="431"/>
      <c r="K398" s="431"/>
      <c r="L398" s="431"/>
      <c r="M398" s="1089" t="str">
        <f>IF(AND(ISBLANK(E398),OR(NOT(ISBLANK(E395)),NOT(ISBLANK(E396)),NOT(ISBLANK(E397)),NOT(ISBLANK(I399)),NOT(ISBLANK(A401)))),"This information is required.","")</f>
        <v/>
      </c>
      <c r="N398" s="1089"/>
      <c r="O398" s="1089"/>
      <c r="P398" s="1089"/>
      <c r="Q398" s="430"/>
      <c r="R398" s="392"/>
      <c r="S398" s="437" t="str">
        <f>IF(ISBLANK(E398),"",E398)</f>
        <v/>
      </c>
      <c r="T398" s="438" t="s">
        <v>189</v>
      </c>
      <c r="U398" s="392"/>
      <c r="V398" s="392"/>
      <c r="W398" s="466"/>
      <c r="X398" s="466"/>
      <c r="Y398" s="466"/>
      <c r="Z398" s="466"/>
      <c r="AA398" s="466"/>
      <c r="AB398" s="466"/>
      <c r="AC398" s="466"/>
      <c r="AD398" s="471"/>
    </row>
    <row r="399" spans="1:38" ht="26.25" customHeight="1" thickBot="1" x14ac:dyDescent="0.3">
      <c r="A399" s="1227" t="s">
        <v>617</v>
      </c>
      <c r="B399" s="1228"/>
      <c r="C399" s="1228"/>
      <c r="D399" s="1228"/>
      <c r="E399" s="1229"/>
      <c r="F399" s="1229"/>
      <c r="G399" s="1229"/>
      <c r="H399" s="1229"/>
      <c r="I399" s="1230"/>
      <c r="J399" s="1230"/>
      <c r="K399" s="1231" t="s">
        <v>618</v>
      </c>
      <c r="L399" s="1232"/>
      <c r="M399" s="1233" t="str">
        <f>IF(AND(ISBLANK(I399),OR(NOT(ISBLANK(E395)),NOT(ISBLANK(E396)),NOT(ISBLANK(E397)),NOT(ISBLANK(E398)),NOT(ISBLANK(A401)))),"This information is required!","")</f>
        <v/>
      </c>
      <c r="N399" s="1233"/>
      <c r="O399" s="1233"/>
      <c r="P399" s="1233"/>
      <c r="Q399" s="439"/>
      <c r="R399" s="392"/>
      <c r="S399" s="437" t="str">
        <f>IF(ISBLANK(I399),"",I399)</f>
        <v/>
      </c>
      <c r="T399" s="438" t="s">
        <v>190</v>
      </c>
      <c r="U399" s="440"/>
      <c r="V399" s="440"/>
      <c r="W399" s="466"/>
      <c r="X399" s="466"/>
      <c r="Y399" s="466"/>
      <c r="Z399" s="466"/>
      <c r="AA399" s="466"/>
      <c r="AB399" s="466"/>
      <c r="AC399" s="466"/>
      <c r="AD399" s="471"/>
    </row>
    <row r="400" spans="1:38" ht="26.25" customHeight="1" x14ac:dyDescent="0.25">
      <c r="A400" s="1148" t="s">
        <v>620</v>
      </c>
      <c r="B400" s="1149"/>
      <c r="C400" s="1149"/>
      <c r="D400" s="1149"/>
      <c r="E400" s="1149"/>
      <c r="F400" s="1149"/>
      <c r="G400" s="1149"/>
      <c r="H400" s="1149"/>
      <c r="I400" s="1149"/>
      <c r="J400" s="1214"/>
      <c r="K400" s="1215" t="s">
        <v>693</v>
      </c>
      <c r="L400" s="1215"/>
      <c r="M400" s="1215"/>
      <c r="N400" s="1215"/>
      <c r="O400" s="1217" t="s">
        <v>621</v>
      </c>
      <c r="P400" s="1217"/>
      <c r="Q400" s="1218"/>
      <c r="R400" s="431"/>
      <c r="S400" s="437" t="str">
        <f>IF(ISBLANK(A401),"",A401)</f>
        <v/>
      </c>
      <c r="T400" s="438" t="s">
        <v>191</v>
      </c>
      <c r="U400" s="442"/>
      <c r="V400" s="442"/>
      <c r="W400" s="210"/>
      <c r="X400" s="466"/>
      <c r="Y400" s="466"/>
      <c r="Z400" s="466"/>
      <c r="AA400" s="466"/>
      <c r="AB400" s="466"/>
      <c r="AC400" s="466"/>
      <c r="AD400" s="471"/>
    </row>
    <row r="401" spans="1:30" ht="26.25" customHeight="1" x14ac:dyDescent="0.25">
      <c r="A401" s="1160"/>
      <c r="B401" s="1161"/>
      <c r="C401" s="1161"/>
      <c r="D401" s="1161"/>
      <c r="E401" s="1161"/>
      <c r="F401" s="1161"/>
      <c r="G401" s="1161"/>
      <c r="H401" s="1161"/>
      <c r="I401" s="1161"/>
      <c r="J401" s="1202"/>
      <c r="K401" s="1216"/>
      <c r="L401" s="1216"/>
      <c r="M401" s="1216"/>
      <c r="N401" s="1216"/>
      <c r="O401" s="443"/>
      <c r="P401" s="229" t="s">
        <v>269</v>
      </c>
      <c r="Q401" s="444" t="s">
        <v>270</v>
      </c>
      <c r="R401" s="431"/>
      <c r="S401" s="437" t="str">
        <f>IF(ISBLANK(A404),"",A404)</f>
        <v/>
      </c>
      <c r="T401" s="445" t="s">
        <v>192</v>
      </c>
      <c r="U401" s="442"/>
      <c r="V401" s="442"/>
      <c r="W401" s="468"/>
      <c r="X401" s="466"/>
      <c r="Y401" s="466"/>
      <c r="Z401" s="466"/>
      <c r="AA401" s="466"/>
      <c r="AB401" s="466"/>
      <c r="AC401" s="466"/>
      <c r="AD401" s="471"/>
    </row>
    <row r="402" spans="1:30" ht="26.25" customHeight="1" x14ac:dyDescent="0.25">
      <c r="A402" s="1176"/>
      <c r="B402" s="1177"/>
      <c r="C402" s="1177"/>
      <c r="D402" s="1177"/>
      <c r="E402" s="1177"/>
      <c r="F402" s="1177"/>
      <c r="G402" s="1177"/>
      <c r="H402" s="1177"/>
      <c r="I402" s="1177"/>
      <c r="J402" s="1203"/>
      <c r="K402" s="1204" t="s">
        <v>622</v>
      </c>
      <c r="L402" s="1205"/>
      <c r="M402" s="1205"/>
      <c r="N402" s="1205"/>
      <c r="O402" s="1206"/>
      <c r="P402" s="451"/>
      <c r="Q402" s="487"/>
      <c r="R402" s="440" t="str">
        <f>IF(COUNTBLANK(P402:Q402)=2,"Please enter response.",IF(COUNTBLANK(P402:Q402)&lt;&gt;1,"Please VERIFY response.",""))</f>
        <v>Please enter response.</v>
      </c>
      <c r="S402" s="452" t="str">
        <f>IF(AND(ISBLANK(P402),ISBLANK(Q402)),"",IF(ISBLANK(P402),0,1))</f>
        <v/>
      </c>
      <c r="T402" s="251" t="s">
        <v>592</v>
      </c>
      <c r="U402" s="213"/>
      <c r="V402" s="213"/>
      <c r="W402" s="466"/>
      <c r="X402" s="466"/>
      <c r="Y402" s="466"/>
      <c r="Z402" s="466"/>
      <c r="AA402" s="466"/>
      <c r="AB402" s="466"/>
      <c r="AC402" s="466"/>
      <c r="AD402" s="471"/>
    </row>
    <row r="403" spans="1:30" ht="26.25" customHeight="1" x14ac:dyDescent="0.25">
      <c r="A403" s="1219" t="s">
        <v>623</v>
      </c>
      <c r="B403" s="1220"/>
      <c r="C403" s="1220"/>
      <c r="D403" s="1220"/>
      <c r="E403" s="1220"/>
      <c r="F403" s="1220"/>
      <c r="G403" s="1220"/>
      <c r="H403" s="1220"/>
      <c r="I403" s="1220"/>
      <c r="J403" s="1221"/>
      <c r="K403" s="1204" t="s">
        <v>624</v>
      </c>
      <c r="L403" s="1205"/>
      <c r="M403" s="1205"/>
      <c r="N403" s="1205"/>
      <c r="O403" s="1206"/>
      <c r="P403" s="451"/>
      <c r="Q403" s="487"/>
      <c r="R403" s="440" t="str">
        <f>IF(COUNTBLANK(P403:Q403)=2,"Please enter response.",IF(COUNTBLANK(P403:Q403)&lt;&gt;1,"Please VERIFY response.",""))</f>
        <v>Please enter response.</v>
      </c>
      <c r="S403" s="452" t="str">
        <f>IF(AND(ISBLANK(P403),ISBLANK(Q403)),"",IF(ISBLANK(P403),0,1))</f>
        <v/>
      </c>
      <c r="T403" s="251" t="s">
        <v>593</v>
      </c>
      <c r="U403" s="213"/>
      <c r="V403" s="213"/>
      <c r="W403" s="466"/>
      <c r="X403" s="466"/>
      <c r="Y403" s="466"/>
      <c r="Z403" s="466"/>
      <c r="AA403" s="466"/>
      <c r="AB403" s="466"/>
      <c r="AC403" s="466"/>
      <c r="AD403" s="471"/>
    </row>
    <row r="404" spans="1:30" ht="26.25" customHeight="1" x14ac:dyDescent="0.25">
      <c r="A404" s="1160"/>
      <c r="B404" s="1161"/>
      <c r="C404" s="1161"/>
      <c r="D404" s="1161"/>
      <c r="E404" s="1161"/>
      <c r="F404" s="1161"/>
      <c r="G404" s="1161"/>
      <c r="H404" s="1161"/>
      <c r="I404" s="1161"/>
      <c r="J404" s="1202"/>
      <c r="K404" s="1204" t="s">
        <v>625</v>
      </c>
      <c r="L404" s="1205"/>
      <c r="M404" s="1205"/>
      <c r="N404" s="1205"/>
      <c r="O404" s="1206"/>
      <c r="P404" s="451"/>
      <c r="Q404" s="487"/>
      <c r="R404" s="440" t="str">
        <f>IF(COUNTBLANK(P404:Q404)=2,"Please enter response.",IF(COUNTBLANK(P404:Q404)&lt;&gt;1,"Please VERIFY response.",""))</f>
        <v>Please enter response.</v>
      </c>
      <c r="S404" s="452" t="str">
        <f>IF(AND(ISBLANK(P404),ISBLANK(Q404)),"",IF(ISBLANK(P404),0,1))</f>
        <v/>
      </c>
      <c r="T404" s="251" t="s">
        <v>594</v>
      </c>
      <c r="U404" s="213"/>
      <c r="V404" s="213"/>
      <c r="W404" s="466"/>
      <c r="X404" s="466"/>
      <c r="Y404" s="466"/>
      <c r="Z404" s="466"/>
      <c r="AA404" s="466"/>
      <c r="AB404" s="466"/>
      <c r="AC404" s="466"/>
      <c r="AD404" s="471"/>
    </row>
    <row r="405" spans="1:30" ht="26.25" customHeight="1" x14ac:dyDescent="0.25">
      <c r="A405" s="1176"/>
      <c r="B405" s="1177"/>
      <c r="C405" s="1177"/>
      <c r="D405" s="1177"/>
      <c r="E405" s="1177"/>
      <c r="F405" s="1177"/>
      <c r="G405" s="1177"/>
      <c r="H405" s="1177"/>
      <c r="I405" s="1177"/>
      <c r="J405" s="1203"/>
      <c r="K405" s="1204" t="s">
        <v>626</v>
      </c>
      <c r="L405" s="1205"/>
      <c r="M405" s="1205"/>
      <c r="N405" s="1205"/>
      <c r="O405" s="1206"/>
      <c r="P405" s="451"/>
      <c r="Q405" s="487"/>
      <c r="R405" s="440" t="str">
        <f>IF(COUNTBLANK(P405:Q405)=2,"Please enter response.",IF(COUNTBLANK(P405:Q405)&lt;&gt;1,"Please VERIFY response.",""))</f>
        <v>Please enter response.</v>
      </c>
      <c r="S405" s="452" t="str">
        <f>IF(AND(ISBLANK(P405),ISBLANK(Q405)),"",IF(ISBLANK(P405),0,1))</f>
        <v/>
      </c>
      <c r="T405" s="251" t="s">
        <v>595</v>
      </c>
      <c r="U405" s="213"/>
      <c r="V405" s="213"/>
      <c r="W405" s="466"/>
      <c r="X405" s="466"/>
      <c r="Y405" s="466"/>
      <c r="Z405" s="466"/>
      <c r="AA405" s="466"/>
      <c r="AB405" s="466"/>
      <c r="AC405" s="466"/>
      <c r="AD405" s="471"/>
    </row>
    <row r="406" spans="1:30" ht="26.25" customHeight="1" x14ac:dyDescent="0.25">
      <c r="A406" s="1207" t="s">
        <v>627</v>
      </c>
      <c r="B406" s="1208"/>
      <c r="C406" s="1208"/>
      <c r="D406" s="1208"/>
      <c r="E406" s="1208"/>
      <c r="F406" s="1208"/>
      <c r="G406" s="1208"/>
      <c r="H406" s="1208"/>
      <c r="I406" s="1208"/>
      <c r="J406" s="1208"/>
      <c r="K406" s="1208"/>
      <c r="L406" s="1208"/>
      <c r="M406" s="1208"/>
      <c r="N406" s="1208"/>
      <c r="O406" s="1208"/>
      <c r="P406" s="1208"/>
      <c r="Q406" s="1209"/>
      <c r="R406" s="454"/>
      <c r="S406" s="463"/>
      <c r="T406" s="454"/>
      <c r="U406" s="454"/>
      <c r="V406" s="454"/>
      <c r="W406" s="466"/>
      <c r="X406" s="466"/>
      <c r="Y406" s="466"/>
      <c r="Z406" s="466"/>
      <c r="AA406" s="474"/>
      <c r="AB406" s="474"/>
      <c r="AC406" s="474"/>
      <c r="AD406" s="471"/>
    </row>
    <row r="407" spans="1:30" ht="26.25" customHeight="1" x14ac:dyDescent="0.25">
      <c r="A407" s="1210" t="s">
        <v>628</v>
      </c>
      <c r="B407" s="1211"/>
      <c r="C407" s="1211"/>
      <c r="D407" s="1211"/>
      <c r="E407" s="1211" t="s">
        <v>629</v>
      </c>
      <c r="F407" s="1211"/>
      <c r="G407" s="1211"/>
      <c r="H407" s="1211"/>
      <c r="I407" s="1211" t="s">
        <v>630</v>
      </c>
      <c r="J407" s="1211"/>
      <c r="K407" s="1211"/>
      <c r="L407" s="1211"/>
      <c r="M407" s="1212" t="s">
        <v>631</v>
      </c>
      <c r="N407" s="1211"/>
      <c r="O407" s="1211"/>
      <c r="P407" s="1211"/>
      <c r="Q407" s="1213"/>
      <c r="R407" s="459"/>
      <c r="S407" s="1195" t="s">
        <v>632</v>
      </c>
      <c r="T407" s="1195"/>
      <c r="U407" s="1195"/>
      <c r="V407" s="1195"/>
      <c r="W407" s="466"/>
      <c r="X407" s="210"/>
      <c r="Y407" s="210"/>
      <c r="Z407" s="210"/>
      <c r="AA407" s="464"/>
      <c r="AB407" s="464"/>
      <c r="AC407" s="464"/>
      <c r="AD407" s="471"/>
    </row>
    <row r="408" spans="1:30" ht="26.25" customHeight="1" thickBot="1" x14ac:dyDescent="0.25">
      <c r="A408" s="1196"/>
      <c r="B408" s="815"/>
      <c r="C408" s="815"/>
      <c r="D408" s="815"/>
      <c r="E408" s="815"/>
      <c r="F408" s="815"/>
      <c r="G408" s="815"/>
      <c r="H408" s="815"/>
      <c r="I408" s="815"/>
      <c r="J408" s="815"/>
      <c r="K408" s="815"/>
      <c r="L408" s="815"/>
      <c r="M408" s="1197"/>
      <c r="N408" s="1197"/>
      <c r="O408" s="1197"/>
      <c r="P408" s="1197"/>
      <c r="Q408" s="1198"/>
      <c r="R408" s="454"/>
      <c r="S408" s="467" t="str">
        <f>IF(ISBLANK(A408),"",VLOOKUP(A408,VProjType,2,FALSE))</f>
        <v/>
      </c>
      <c r="T408" s="467" t="str">
        <f>IF(ISBLANK(E408),"",VLOOKUP(E408,VSubtype1,2,FALSE))</f>
        <v/>
      </c>
      <c r="U408" s="467" t="str">
        <f>IF(ISBLANK(I408),"",VLOOKUP(I408,VSubtype2,2,FALSE))</f>
        <v/>
      </c>
      <c r="V408" s="467" t="str">
        <f>IF(ISBLANK(M408),"",VLOOKUP(M408,VSubtype3,2,FALSE))</f>
        <v/>
      </c>
      <c r="W408" s="466"/>
      <c r="X408" s="464"/>
      <c r="Y408" s="464"/>
      <c r="Z408" s="464"/>
      <c r="AA408" s="466"/>
      <c r="AB408" s="466"/>
      <c r="AC408" s="466"/>
      <c r="AD408" s="210"/>
    </row>
    <row r="409" spans="1:30" ht="26.25" customHeight="1" x14ac:dyDescent="0.25">
      <c r="A409" s="1199" t="s">
        <v>634</v>
      </c>
      <c r="B409" s="1200"/>
      <c r="C409" s="1200"/>
      <c r="D409" s="1200"/>
      <c r="E409" s="1200"/>
      <c r="F409" s="1200"/>
      <c r="G409" s="1200"/>
      <c r="H409" s="1200"/>
      <c r="I409" s="1200"/>
      <c r="J409" s="1200"/>
      <c r="K409" s="1200"/>
      <c r="L409" s="1200"/>
      <c r="M409" s="1200"/>
      <c r="N409" s="1200"/>
      <c r="O409" s="1200"/>
      <c r="P409" s="1200"/>
      <c r="Q409" s="1201"/>
      <c r="R409" s="464"/>
      <c r="S409" s="468" t="s">
        <v>635</v>
      </c>
      <c r="T409" s="464"/>
      <c r="U409" s="464"/>
      <c r="V409" s="464"/>
      <c r="W409" s="466"/>
      <c r="X409" s="466"/>
      <c r="Y409" s="466"/>
      <c r="Z409" s="466"/>
      <c r="AA409" s="466"/>
      <c r="AB409" s="466"/>
      <c r="AC409" s="466"/>
      <c r="AD409" s="471"/>
    </row>
    <row r="410" spans="1:30" ht="26.25" customHeight="1" x14ac:dyDescent="0.25">
      <c r="A410" s="1166" t="s">
        <v>636</v>
      </c>
      <c r="B410" s="1167"/>
      <c r="C410" s="1167"/>
      <c r="D410" s="1167"/>
      <c r="E410" s="1167"/>
      <c r="F410" s="1167"/>
      <c r="G410" s="1167"/>
      <c r="H410" s="1167"/>
      <c r="I410" s="1167"/>
      <c r="J410" s="1167"/>
      <c r="K410" s="1167"/>
      <c r="L410" s="1168"/>
      <c r="M410" s="1169"/>
      <c r="N410" s="1170"/>
      <c r="O410" s="1170"/>
      <c r="P410" s="1170"/>
      <c r="Q410" s="1171"/>
      <c r="R410" s="464"/>
      <c r="S410" s="469" t="str">
        <f>IF(ISBLANK(M410),"",VLOOKUP(M410,VRemote,2,FALSE))</f>
        <v/>
      </c>
      <c r="T410" s="470" t="s">
        <v>637</v>
      </c>
      <c r="U410" s="464"/>
      <c r="V410" s="464"/>
      <c r="W410" s="466"/>
      <c r="X410" s="466"/>
      <c r="Y410" s="466"/>
      <c r="Z410" s="466"/>
      <c r="AA410" s="466"/>
      <c r="AB410" s="466"/>
      <c r="AC410" s="466"/>
      <c r="AD410" s="471"/>
    </row>
    <row r="411" spans="1:30" ht="26.25" customHeight="1" x14ac:dyDescent="0.2">
      <c r="A411" s="1166" t="s">
        <v>638</v>
      </c>
      <c r="B411" s="1167"/>
      <c r="C411" s="1167"/>
      <c r="D411" s="1167"/>
      <c r="E411" s="1167"/>
      <c r="F411" s="1167"/>
      <c r="G411" s="1167"/>
      <c r="H411" s="1167"/>
      <c r="I411" s="1167"/>
      <c r="J411" s="1167"/>
      <c r="K411" s="1167"/>
      <c r="L411" s="1167"/>
      <c r="M411" s="1169"/>
      <c r="N411" s="1170"/>
      <c r="O411" s="1170"/>
      <c r="P411" s="1170"/>
      <c r="Q411" s="1171"/>
      <c r="R411" s="466"/>
      <c r="S411" s="469" t="str">
        <f>IF(ISBLANK(M411),"",VLOOKUP(M411,VCapacity,2,FALSE))</f>
        <v/>
      </c>
      <c r="T411" s="162" t="s">
        <v>639</v>
      </c>
      <c r="U411" s="466"/>
      <c r="V411" s="466"/>
      <c r="W411" s="210"/>
      <c r="X411" s="466"/>
      <c r="Y411" s="466"/>
      <c r="Z411" s="466"/>
      <c r="AA411" s="466"/>
      <c r="AB411" s="466"/>
      <c r="AC411" s="466"/>
      <c r="AD411" s="210"/>
    </row>
    <row r="412" spans="1:30" ht="26.25" customHeight="1" x14ac:dyDescent="0.2">
      <c r="A412" s="1166" t="s">
        <v>640</v>
      </c>
      <c r="B412" s="1167"/>
      <c r="C412" s="1167"/>
      <c r="D412" s="1167"/>
      <c r="E412" s="1167"/>
      <c r="F412" s="1167"/>
      <c r="G412" s="1167"/>
      <c r="H412" s="1167"/>
      <c r="I412" s="1167"/>
      <c r="J412" s="1167"/>
      <c r="K412" s="1167"/>
      <c r="L412" s="1167"/>
      <c r="M412" s="1169"/>
      <c r="N412" s="1170"/>
      <c r="O412" s="1170"/>
      <c r="P412" s="1170"/>
      <c r="Q412" s="1171"/>
      <c r="R412" s="466"/>
      <c r="S412" s="469" t="str">
        <f>IF(ISBLANK(M412),"",VLOOKUP(M412,VPriorCap,2,FALSE))</f>
        <v/>
      </c>
      <c r="T412" s="162" t="s">
        <v>641</v>
      </c>
      <c r="U412" s="466"/>
      <c r="V412" s="466"/>
      <c r="W412" s="464"/>
      <c r="X412" s="466"/>
      <c r="Y412" s="466"/>
      <c r="Z412" s="466"/>
      <c r="AA412" s="466"/>
      <c r="AB412" s="466"/>
      <c r="AC412" s="466"/>
      <c r="AD412" s="210"/>
    </row>
    <row r="413" spans="1:30" ht="26.25" customHeight="1" x14ac:dyDescent="0.2">
      <c r="A413" s="1183" t="s">
        <v>643</v>
      </c>
      <c r="B413" s="1184"/>
      <c r="C413" s="1184"/>
      <c r="D413" s="1184"/>
      <c r="E413" s="1184"/>
      <c r="F413" s="1184"/>
      <c r="G413" s="1184"/>
      <c r="H413" s="1184"/>
      <c r="I413" s="1184"/>
      <c r="J413" s="1184"/>
      <c r="K413" s="1184"/>
      <c r="L413" s="1184"/>
      <c r="M413" s="1184"/>
      <c r="N413" s="1184"/>
      <c r="O413" s="1184"/>
      <c r="P413" s="1184"/>
      <c r="Q413" s="1185"/>
      <c r="R413" s="466"/>
      <c r="S413" s="472" t="str">
        <f>IF(ISBLANK(A414),"",A414)</f>
        <v/>
      </c>
      <c r="T413" s="162" t="s">
        <v>589</v>
      </c>
      <c r="U413" s="466"/>
      <c r="V413" s="466"/>
      <c r="W413" s="466"/>
      <c r="X413" s="466"/>
      <c r="Y413" s="466"/>
      <c r="Z413" s="466"/>
      <c r="AA413" s="466"/>
      <c r="AB413" s="466"/>
      <c r="AC413" s="466"/>
      <c r="AD413" s="210"/>
    </row>
    <row r="414" spans="1:30" ht="26.25" customHeight="1" x14ac:dyDescent="0.2">
      <c r="A414" s="1175"/>
      <c r="B414" s="1152"/>
      <c r="C414" s="1152"/>
      <c r="D414" s="1152"/>
      <c r="E414" s="1152"/>
      <c r="F414" s="1152"/>
      <c r="G414" s="1152"/>
      <c r="H414" s="1152"/>
      <c r="I414" s="1152"/>
      <c r="J414" s="1152"/>
      <c r="K414" s="1152"/>
      <c r="L414" s="1152"/>
      <c r="M414" s="1152"/>
      <c r="N414" s="1152"/>
      <c r="O414" s="1152"/>
      <c r="P414" s="1152"/>
      <c r="Q414" s="1182"/>
      <c r="R414" s="466"/>
      <c r="S414" s="466"/>
      <c r="T414" s="466"/>
      <c r="U414" s="466"/>
      <c r="V414" s="466"/>
      <c r="W414" s="466"/>
      <c r="X414" s="466"/>
      <c r="Y414" s="466"/>
      <c r="Z414" s="466"/>
      <c r="AA414" s="466"/>
      <c r="AB414" s="466"/>
      <c r="AC414" s="466"/>
      <c r="AD414" s="210"/>
    </row>
    <row r="415" spans="1:30" ht="26.25" customHeight="1" x14ac:dyDescent="0.2">
      <c r="A415" s="1186"/>
      <c r="B415" s="1187"/>
      <c r="C415" s="1187"/>
      <c r="D415" s="1187"/>
      <c r="E415" s="1187"/>
      <c r="F415" s="1187"/>
      <c r="G415" s="1187"/>
      <c r="H415" s="1187"/>
      <c r="I415" s="1187"/>
      <c r="J415" s="1187"/>
      <c r="K415" s="1187"/>
      <c r="L415" s="1187"/>
      <c r="M415" s="1187"/>
      <c r="N415" s="1187"/>
      <c r="O415" s="1187"/>
      <c r="P415" s="1187"/>
      <c r="Q415" s="1188"/>
      <c r="R415" s="466"/>
      <c r="S415" s="466"/>
      <c r="T415" s="466"/>
      <c r="U415" s="466"/>
      <c r="V415" s="466"/>
      <c r="W415" s="466"/>
      <c r="X415" s="466"/>
      <c r="Y415" s="466"/>
      <c r="Z415" s="466"/>
      <c r="AA415" s="466"/>
      <c r="AB415" s="466"/>
      <c r="AC415" s="466"/>
      <c r="AD415" s="210"/>
    </row>
    <row r="416" spans="1:30" ht="26.25" customHeight="1" x14ac:dyDescent="0.2">
      <c r="A416" s="1189" t="s">
        <v>645</v>
      </c>
      <c r="B416" s="1190"/>
      <c r="C416" s="1190"/>
      <c r="D416" s="1190"/>
      <c r="E416" s="1190"/>
      <c r="F416" s="1190"/>
      <c r="G416" s="1190"/>
      <c r="H416" s="1190"/>
      <c r="I416" s="1190"/>
      <c r="J416" s="1190"/>
      <c r="K416" s="1190"/>
      <c r="L416" s="1190"/>
      <c r="M416" s="1190"/>
      <c r="N416" s="1190"/>
      <c r="O416" s="1190"/>
      <c r="P416" s="1190"/>
      <c r="Q416" s="1191"/>
      <c r="R416" s="468"/>
      <c r="S416" s="468"/>
      <c r="T416" s="468"/>
      <c r="U416" s="468"/>
      <c r="V416" s="468"/>
      <c r="W416" s="466"/>
      <c r="X416" s="466"/>
      <c r="Y416" s="466"/>
      <c r="Z416" s="466"/>
      <c r="AA416" s="466"/>
      <c r="AB416" s="466"/>
      <c r="AC416" s="466"/>
      <c r="AD416" s="210"/>
    </row>
    <row r="417" spans="1:30" ht="26.25" customHeight="1" x14ac:dyDescent="0.2">
      <c r="A417" s="1175"/>
      <c r="B417" s="1152"/>
      <c r="C417" s="1152"/>
      <c r="D417" s="1152"/>
      <c r="E417" s="1152"/>
      <c r="F417" s="1152"/>
      <c r="G417" s="1152"/>
      <c r="H417" s="1152"/>
      <c r="I417" s="1152"/>
      <c r="J417" s="1152"/>
      <c r="K417" s="1152"/>
      <c r="L417" s="1152"/>
      <c r="M417" s="1152"/>
      <c r="N417" s="1152"/>
      <c r="O417" s="1152"/>
      <c r="P417" s="1152"/>
      <c r="Q417" s="1153"/>
      <c r="R417" s="466"/>
      <c r="S417" s="472" t="str">
        <f>IF(ISBLANK(A417),"",A417)</f>
        <v/>
      </c>
      <c r="T417" s="438" t="s">
        <v>194</v>
      </c>
      <c r="U417" s="466"/>
      <c r="V417" s="466"/>
      <c r="W417" s="466"/>
      <c r="X417" s="466"/>
      <c r="Y417" s="466"/>
      <c r="Z417" s="466"/>
      <c r="AA417" s="210"/>
      <c r="AB417" s="210"/>
      <c r="AC417" s="210"/>
      <c r="AD417" s="210"/>
    </row>
    <row r="418" spans="1:30" ht="26.25" customHeight="1" thickBot="1" x14ac:dyDescent="0.25">
      <c r="A418" s="1163"/>
      <c r="B418" s="1164"/>
      <c r="C418" s="1164"/>
      <c r="D418" s="1164"/>
      <c r="E418" s="1164"/>
      <c r="F418" s="1164"/>
      <c r="G418" s="1164"/>
      <c r="H418" s="1164"/>
      <c r="I418" s="1164"/>
      <c r="J418" s="1164"/>
      <c r="K418" s="1164"/>
      <c r="L418" s="1164"/>
      <c r="M418" s="1164"/>
      <c r="N418" s="1164"/>
      <c r="O418" s="1164"/>
      <c r="P418" s="1164"/>
      <c r="Q418" s="1165"/>
      <c r="R418" s="466"/>
      <c r="S418" s="466"/>
      <c r="T418" s="438"/>
      <c r="U418" s="466"/>
      <c r="V418" s="466"/>
      <c r="W418" s="466"/>
      <c r="X418" s="474"/>
      <c r="Y418" s="474"/>
      <c r="Z418" s="474"/>
      <c r="AA418" s="468"/>
      <c r="AB418" s="468"/>
      <c r="AC418" s="468"/>
      <c r="AD418" s="210"/>
    </row>
    <row r="419" spans="1:30" ht="26.25" customHeight="1" x14ac:dyDescent="0.2">
      <c r="A419" s="1157" t="s">
        <v>647</v>
      </c>
      <c r="B419" s="1158"/>
      <c r="C419" s="1158"/>
      <c r="D419" s="1158"/>
      <c r="E419" s="1158"/>
      <c r="F419" s="1158"/>
      <c r="G419" s="1158"/>
      <c r="H419" s="1158"/>
      <c r="I419" s="1158"/>
      <c r="J419" s="1158"/>
      <c r="K419" s="1158"/>
      <c r="L419" s="1158"/>
      <c r="M419" s="1158"/>
      <c r="N419" s="1158"/>
      <c r="O419" s="1158"/>
      <c r="P419" s="1158"/>
      <c r="Q419" s="1159"/>
      <c r="R419" s="464"/>
      <c r="S419" s="468" t="s">
        <v>648</v>
      </c>
      <c r="T419" s="464"/>
      <c r="U419" s="464"/>
      <c r="V419" s="464"/>
      <c r="W419" s="466"/>
      <c r="X419" s="480"/>
      <c r="Y419" s="480"/>
      <c r="Z419" s="480"/>
      <c r="AA419" s="466"/>
      <c r="AB419" s="466"/>
      <c r="AC419" s="466"/>
      <c r="AD419" s="210"/>
    </row>
    <row r="420" spans="1:30" ht="26.25" customHeight="1" x14ac:dyDescent="0.2">
      <c r="A420" s="1192" t="s">
        <v>649</v>
      </c>
      <c r="B420" s="1193"/>
      <c r="C420" s="1193"/>
      <c r="D420" s="1193"/>
      <c r="E420" s="1193"/>
      <c r="F420" s="1193"/>
      <c r="G420" s="1193"/>
      <c r="H420" s="1193"/>
      <c r="I420" s="1193"/>
      <c r="J420" s="1193"/>
      <c r="K420" s="1193"/>
      <c r="L420" s="1194"/>
      <c r="M420" s="1169"/>
      <c r="N420" s="1170"/>
      <c r="O420" s="1170"/>
      <c r="P420" s="1170"/>
      <c r="Q420" s="1171"/>
      <c r="R420" s="466"/>
      <c r="S420" s="473" t="str">
        <f>IF(ISBLANK(M420),"",VLOOKUP(M420,VImpact,2,FALSE))</f>
        <v/>
      </c>
      <c r="T420" s="162" t="s">
        <v>650</v>
      </c>
      <c r="U420" s="466"/>
      <c r="V420" s="466"/>
      <c r="W420" s="466"/>
      <c r="X420" s="210"/>
      <c r="Y420" s="210"/>
      <c r="Z420" s="210"/>
      <c r="AA420" s="466"/>
      <c r="AB420" s="466"/>
      <c r="AC420" s="466"/>
      <c r="AD420" s="210"/>
    </row>
    <row r="421" spans="1:30" ht="26.25" customHeight="1" x14ac:dyDescent="0.2">
      <c r="A421" s="1166" t="s">
        <v>651</v>
      </c>
      <c r="B421" s="1167"/>
      <c r="C421" s="1167"/>
      <c r="D421" s="1167"/>
      <c r="E421" s="1167"/>
      <c r="F421" s="1167"/>
      <c r="G421" s="1167"/>
      <c r="H421" s="1167"/>
      <c r="I421" s="1167"/>
      <c r="J421" s="1167"/>
      <c r="K421" s="1167"/>
      <c r="L421" s="1168"/>
      <c r="M421" s="1169"/>
      <c r="N421" s="1170"/>
      <c r="O421" s="1170"/>
      <c r="P421" s="1170"/>
      <c r="Q421" s="1171"/>
      <c r="R421" s="466"/>
      <c r="S421" s="473" t="str">
        <f>IF(ISBLANK(M421),"",VLOOKUP(M421,VEvidence,2,FALSE))</f>
        <v/>
      </c>
      <c r="T421" s="251" t="s">
        <v>652</v>
      </c>
      <c r="U421" s="466"/>
      <c r="V421" s="466"/>
      <c r="W421" s="466"/>
      <c r="X421" s="210"/>
      <c r="Y421" s="210"/>
      <c r="Z421" s="210"/>
      <c r="AA421" s="466"/>
      <c r="AB421" s="466"/>
      <c r="AC421" s="466"/>
      <c r="AD421" s="210"/>
    </row>
    <row r="422" spans="1:30" ht="26.25" customHeight="1" x14ac:dyDescent="0.2">
      <c r="A422" s="1172" t="s">
        <v>653</v>
      </c>
      <c r="B422" s="1173"/>
      <c r="C422" s="1173"/>
      <c r="D422" s="1173"/>
      <c r="E422" s="1173"/>
      <c r="F422" s="1173"/>
      <c r="G422" s="1173"/>
      <c r="H422" s="1173"/>
      <c r="I422" s="1173"/>
      <c r="J422" s="1173"/>
      <c r="K422" s="1173"/>
      <c r="L422" s="1173"/>
      <c r="M422" s="1173"/>
      <c r="N422" s="1173"/>
      <c r="O422" s="1173"/>
      <c r="P422" s="1173"/>
      <c r="Q422" s="1174"/>
      <c r="R422" s="466"/>
      <c r="S422" s="472" t="str">
        <f>IF(ISBLANK(A423),"",A423)</f>
        <v/>
      </c>
      <c r="T422" s="438" t="s">
        <v>193</v>
      </c>
      <c r="U422" s="466"/>
      <c r="V422" s="466"/>
      <c r="W422" s="474"/>
      <c r="X422" s="210"/>
      <c r="Y422" s="210"/>
      <c r="Z422" s="210"/>
      <c r="AA422" s="466"/>
      <c r="AB422" s="466"/>
      <c r="AC422" s="466"/>
      <c r="AD422" s="210"/>
    </row>
    <row r="423" spans="1:30" ht="26.25" customHeight="1" x14ac:dyDescent="0.2">
      <c r="A423" s="1175"/>
      <c r="B423" s="1152"/>
      <c r="C423" s="1152"/>
      <c r="D423" s="1152"/>
      <c r="E423" s="1152"/>
      <c r="F423" s="1152"/>
      <c r="G423" s="1152"/>
      <c r="H423" s="1152"/>
      <c r="I423" s="1152"/>
      <c r="J423" s="1152"/>
      <c r="K423" s="1152"/>
      <c r="L423" s="1152"/>
      <c r="M423" s="1152"/>
      <c r="N423" s="1152"/>
      <c r="O423" s="1152"/>
      <c r="P423" s="1152"/>
      <c r="Q423" s="1153"/>
      <c r="R423" s="466"/>
      <c r="S423" s="466"/>
      <c r="T423" s="475"/>
      <c r="U423" s="466"/>
      <c r="V423" s="466"/>
      <c r="W423" s="480"/>
      <c r="X423" s="210"/>
      <c r="Y423" s="210"/>
      <c r="Z423" s="210"/>
      <c r="AA423" s="466"/>
      <c r="AB423" s="466"/>
      <c r="AC423" s="466"/>
      <c r="AD423" s="210"/>
    </row>
    <row r="424" spans="1:30" ht="26.25" customHeight="1" x14ac:dyDescent="0.2">
      <c r="A424" s="1176"/>
      <c r="B424" s="1177"/>
      <c r="C424" s="1177"/>
      <c r="D424" s="1177"/>
      <c r="E424" s="1177"/>
      <c r="F424" s="1177"/>
      <c r="G424" s="1177"/>
      <c r="H424" s="1177"/>
      <c r="I424" s="1177"/>
      <c r="J424" s="1177"/>
      <c r="K424" s="1177"/>
      <c r="L424" s="1177"/>
      <c r="M424" s="1177"/>
      <c r="N424" s="1177"/>
      <c r="O424" s="1177"/>
      <c r="P424" s="1177"/>
      <c r="Q424" s="1178"/>
      <c r="R424" s="466"/>
      <c r="S424" s="466"/>
      <c r="T424" s="475"/>
      <c r="U424" s="466"/>
      <c r="V424" s="466"/>
      <c r="W424" s="210"/>
      <c r="X424" s="210"/>
      <c r="Y424" s="210"/>
      <c r="Z424" s="210"/>
      <c r="AA424" s="466"/>
      <c r="AB424" s="466"/>
      <c r="AC424" s="466"/>
      <c r="AD424" s="210"/>
    </row>
    <row r="425" spans="1:30" ht="26.25" customHeight="1" x14ac:dyDescent="0.2">
      <c r="A425" s="1179" t="s">
        <v>654</v>
      </c>
      <c r="B425" s="1180"/>
      <c r="C425" s="1180"/>
      <c r="D425" s="1180"/>
      <c r="E425" s="1180"/>
      <c r="F425" s="1180"/>
      <c r="G425" s="1180"/>
      <c r="H425" s="1180"/>
      <c r="I425" s="1180"/>
      <c r="J425" s="1180"/>
      <c r="K425" s="1180"/>
      <c r="L425" s="1180"/>
      <c r="M425" s="1180"/>
      <c r="N425" s="1180"/>
      <c r="O425" s="1180"/>
      <c r="P425" s="1180"/>
      <c r="Q425" s="1181"/>
      <c r="R425" s="466"/>
      <c r="S425" s="472" t="str">
        <f>IF(ISBLANK(A426),"",A426)</f>
        <v/>
      </c>
      <c r="T425" s="475" t="s">
        <v>590</v>
      </c>
      <c r="U425" s="466"/>
      <c r="V425" s="466"/>
      <c r="W425" s="210"/>
      <c r="X425" s="431"/>
      <c r="Y425" s="431"/>
      <c r="Z425" s="431"/>
      <c r="AA425" s="466"/>
      <c r="AB425" s="466"/>
      <c r="AC425" s="466"/>
      <c r="AD425" s="210"/>
    </row>
    <row r="426" spans="1:30" ht="26.25" customHeight="1" x14ac:dyDescent="0.2">
      <c r="A426" s="1175"/>
      <c r="B426" s="1152"/>
      <c r="C426" s="1152"/>
      <c r="D426" s="1152"/>
      <c r="E426" s="1152"/>
      <c r="F426" s="1152"/>
      <c r="G426" s="1152"/>
      <c r="H426" s="1152"/>
      <c r="I426" s="1152"/>
      <c r="J426" s="1152"/>
      <c r="K426" s="1152"/>
      <c r="L426" s="1152"/>
      <c r="M426" s="1152"/>
      <c r="N426" s="1152"/>
      <c r="O426" s="1152"/>
      <c r="P426" s="1152"/>
      <c r="Q426" s="1182"/>
      <c r="R426" s="466"/>
      <c r="U426" s="466"/>
      <c r="V426" s="466"/>
      <c r="W426" s="210"/>
      <c r="X426" s="210"/>
      <c r="Y426" s="210"/>
      <c r="Z426" s="210"/>
      <c r="AA426" s="466"/>
      <c r="AB426" s="466"/>
      <c r="AC426" s="466"/>
      <c r="AD426" s="210"/>
    </row>
    <row r="427" spans="1:30" ht="26.25" customHeight="1" thickBot="1" x14ac:dyDescent="0.25">
      <c r="A427" s="1154"/>
      <c r="B427" s="1155"/>
      <c r="C427" s="1155"/>
      <c r="D427" s="1155"/>
      <c r="E427" s="1155"/>
      <c r="F427" s="1155"/>
      <c r="G427" s="1155"/>
      <c r="H427" s="1155"/>
      <c r="I427" s="1155"/>
      <c r="J427" s="1155"/>
      <c r="K427" s="1155"/>
      <c r="L427" s="1155"/>
      <c r="M427" s="1155"/>
      <c r="N427" s="1155"/>
      <c r="O427" s="1155"/>
      <c r="P427" s="1155"/>
      <c r="Q427" s="1156"/>
      <c r="R427" s="466"/>
      <c r="S427" s="466"/>
      <c r="T427" s="466"/>
      <c r="U427" s="466"/>
      <c r="V427" s="466"/>
      <c r="W427" s="210"/>
      <c r="X427" s="210"/>
      <c r="Y427" s="210"/>
      <c r="Z427" s="210"/>
      <c r="AA427" s="466"/>
      <c r="AB427" s="466"/>
      <c r="AC427" s="466"/>
      <c r="AD427" s="210"/>
    </row>
    <row r="428" spans="1:30" ht="26.25" customHeight="1" x14ac:dyDescent="0.2">
      <c r="A428" s="1148" t="s">
        <v>656</v>
      </c>
      <c r="B428" s="1149"/>
      <c r="C428" s="1149"/>
      <c r="D428" s="1149"/>
      <c r="E428" s="1149"/>
      <c r="F428" s="1149"/>
      <c r="G428" s="1149"/>
      <c r="H428" s="1149"/>
      <c r="I428" s="1149"/>
      <c r="J428" s="1149"/>
      <c r="K428" s="1149"/>
      <c r="L428" s="1149"/>
      <c r="M428" s="1149"/>
      <c r="N428" s="1149"/>
      <c r="O428" s="1149"/>
      <c r="P428" s="1149"/>
      <c r="Q428" s="1150"/>
      <c r="S428" s="478" t="str">
        <f>IF(ISBLANK(A429),"",A429)</f>
        <v/>
      </c>
      <c r="T428" s="479" t="s">
        <v>657</v>
      </c>
      <c r="W428" s="210"/>
      <c r="X428" s="210"/>
      <c r="Y428" s="210"/>
      <c r="Z428" s="210"/>
      <c r="AA428" s="210"/>
      <c r="AB428" s="210"/>
      <c r="AC428" s="210"/>
      <c r="AD428" s="210"/>
    </row>
    <row r="429" spans="1:30" ht="26.25" customHeight="1" x14ac:dyDescent="0.2">
      <c r="A429" s="1151"/>
      <c r="B429" s="1152"/>
      <c r="C429" s="1152"/>
      <c r="D429" s="1152"/>
      <c r="E429" s="1152"/>
      <c r="F429" s="1152"/>
      <c r="G429" s="1152"/>
      <c r="H429" s="1152"/>
      <c r="I429" s="1152"/>
      <c r="J429" s="1152"/>
      <c r="K429" s="1152"/>
      <c r="L429" s="1152"/>
      <c r="M429" s="1152"/>
      <c r="N429" s="1152"/>
      <c r="O429" s="1152"/>
      <c r="P429" s="1152"/>
      <c r="Q429" s="1153"/>
      <c r="W429" s="431"/>
      <c r="X429" s="431"/>
      <c r="Y429" s="431"/>
      <c r="Z429" s="431"/>
      <c r="AA429" s="464"/>
      <c r="AB429" s="464"/>
      <c r="AC429" s="464"/>
      <c r="AD429" s="210"/>
    </row>
    <row r="430" spans="1:30" ht="26.25" customHeight="1" thickBot="1" x14ac:dyDescent="0.25">
      <c r="A430" s="1154"/>
      <c r="B430" s="1155"/>
      <c r="C430" s="1155"/>
      <c r="D430" s="1155"/>
      <c r="E430" s="1155"/>
      <c r="F430" s="1155"/>
      <c r="G430" s="1155"/>
      <c r="H430" s="1155"/>
      <c r="I430" s="1155"/>
      <c r="J430" s="1155"/>
      <c r="K430" s="1155"/>
      <c r="L430" s="1155"/>
      <c r="M430" s="1155"/>
      <c r="N430" s="1155"/>
      <c r="O430" s="1155"/>
      <c r="P430" s="1155"/>
      <c r="Q430" s="1156"/>
      <c r="R430" s="436"/>
      <c r="S430" s="436"/>
      <c r="T430" s="436"/>
      <c r="U430" s="436"/>
      <c r="V430" s="436"/>
      <c r="W430" s="210"/>
      <c r="X430" s="466"/>
      <c r="Y430" s="466"/>
      <c r="Z430" s="466"/>
      <c r="AA430" s="466"/>
      <c r="AB430" s="466"/>
      <c r="AC430" s="466"/>
      <c r="AD430" s="210"/>
    </row>
    <row r="431" spans="1:30" ht="26.25" customHeight="1" x14ac:dyDescent="0.2">
      <c r="A431" s="1157" t="s">
        <v>658</v>
      </c>
      <c r="B431" s="1158"/>
      <c r="C431" s="1158"/>
      <c r="D431" s="1158"/>
      <c r="E431" s="1158"/>
      <c r="F431" s="1158"/>
      <c r="G431" s="1158"/>
      <c r="H431" s="1158"/>
      <c r="I431" s="1158"/>
      <c r="J431" s="1158"/>
      <c r="K431" s="1158"/>
      <c r="L431" s="1158"/>
      <c r="M431" s="1158"/>
      <c r="N431" s="1158"/>
      <c r="O431" s="1158"/>
      <c r="P431" s="1158"/>
      <c r="Q431" s="1159"/>
      <c r="R431" s="476"/>
      <c r="S431" s="481"/>
      <c r="T431" s="482"/>
      <c r="U431" s="476"/>
      <c r="V431" s="476"/>
      <c r="W431" s="210"/>
      <c r="X431" s="466"/>
      <c r="Y431" s="466"/>
      <c r="Z431" s="466"/>
      <c r="AA431" s="466"/>
      <c r="AB431" s="466"/>
      <c r="AC431" s="466"/>
      <c r="AD431" s="210"/>
    </row>
    <row r="432" spans="1:30" ht="26.25" customHeight="1" x14ac:dyDescent="0.2">
      <c r="A432" s="1160"/>
      <c r="B432" s="1161"/>
      <c r="C432" s="1161"/>
      <c r="D432" s="1161"/>
      <c r="E432" s="1161"/>
      <c r="F432" s="1161"/>
      <c r="G432" s="1161"/>
      <c r="H432" s="1161"/>
      <c r="I432" s="1161"/>
      <c r="J432" s="1161"/>
      <c r="K432" s="1161"/>
      <c r="L432" s="1161"/>
      <c r="M432" s="1161"/>
      <c r="N432" s="1161"/>
      <c r="O432" s="1161"/>
      <c r="P432" s="1161"/>
      <c r="Q432" s="1162"/>
      <c r="R432" s="195"/>
      <c r="S432" s="483" t="str">
        <f>IF(ISBLANK(A432),"",CONCATENATE(S431,A432))</f>
        <v/>
      </c>
      <c r="T432" s="438" t="s">
        <v>195</v>
      </c>
      <c r="U432" s="195"/>
      <c r="V432" s="195"/>
      <c r="W432" s="210"/>
      <c r="X432" s="466"/>
      <c r="Y432" s="466"/>
      <c r="Z432" s="466"/>
      <c r="AA432" s="466"/>
      <c r="AB432" s="466"/>
      <c r="AC432" s="466"/>
      <c r="AD432" s="210"/>
    </row>
    <row r="433" spans="1:38" ht="26.25" customHeight="1" thickBot="1" x14ac:dyDescent="0.25">
      <c r="A433" s="1163"/>
      <c r="B433" s="1164"/>
      <c r="C433" s="1164"/>
      <c r="D433" s="1164"/>
      <c r="E433" s="1164"/>
      <c r="F433" s="1164"/>
      <c r="G433" s="1164"/>
      <c r="H433" s="1164"/>
      <c r="I433" s="1164"/>
      <c r="J433" s="1164"/>
      <c r="K433" s="1164"/>
      <c r="L433" s="1164"/>
      <c r="M433" s="1164"/>
      <c r="N433" s="1164"/>
      <c r="O433" s="1164"/>
      <c r="P433" s="1164"/>
      <c r="Q433" s="1165"/>
      <c r="R433" s="195"/>
      <c r="S433" s="210"/>
      <c r="T433" s="210"/>
      <c r="U433" s="210"/>
      <c r="V433" s="210"/>
      <c r="W433" s="431"/>
      <c r="X433" s="466"/>
      <c r="Y433" s="466"/>
      <c r="Z433" s="466"/>
      <c r="AA433" s="466"/>
      <c r="AB433" s="466"/>
      <c r="AC433" s="466"/>
      <c r="AD433" s="210"/>
    </row>
    <row r="434" spans="1:38" ht="26.25" customHeight="1" x14ac:dyDescent="0.2">
      <c r="A434" s="484" t="e">
        <f>$A$1</f>
        <v>#N/A</v>
      </c>
      <c r="B434" s="210"/>
      <c r="C434" s="210"/>
      <c r="D434" s="210"/>
      <c r="E434" s="210"/>
      <c r="F434" s="210"/>
      <c r="G434" s="210"/>
      <c r="H434" s="210"/>
      <c r="I434" s="210"/>
      <c r="J434" s="210"/>
      <c r="K434" s="210"/>
      <c r="L434" s="210"/>
      <c r="M434" s="210"/>
      <c r="N434" s="210"/>
      <c r="O434" s="210"/>
      <c r="P434" s="954"/>
      <c r="Q434" s="954"/>
      <c r="R434" s="474"/>
      <c r="S434" s="474"/>
      <c r="T434" s="474"/>
      <c r="U434" s="474"/>
      <c r="V434" s="474"/>
      <c r="W434" s="466"/>
      <c r="X434" s="466"/>
      <c r="Y434" s="466"/>
      <c r="Z434" s="466"/>
      <c r="AA434" s="466"/>
      <c r="AB434" s="466"/>
      <c r="AC434" s="466"/>
      <c r="AD434" s="210"/>
    </row>
    <row r="435" spans="1:38" ht="26.25" customHeight="1" thickBot="1" x14ac:dyDescent="0.25">
      <c r="A435" s="1259" t="s">
        <v>642</v>
      </c>
      <c r="B435" s="1260"/>
      <c r="C435" s="1260"/>
      <c r="D435" s="1260"/>
      <c r="E435" s="1260"/>
      <c r="F435" s="1260"/>
      <c r="G435" s="1260"/>
      <c r="H435" s="1260"/>
      <c r="I435" s="1260"/>
      <c r="J435" s="1260"/>
      <c r="K435" s="1260"/>
      <c r="L435" s="1260"/>
      <c r="M435" s="1260"/>
      <c r="N435" s="1261" t="str">
        <f>$N$5</f>
        <v>2019 Report Year</v>
      </c>
      <c r="O435" s="1262"/>
      <c r="P435" s="1262"/>
      <c r="Q435" s="1262"/>
      <c r="R435" s="480"/>
      <c r="S435" s="480"/>
      <c r="T435" s="480"/>
      <c r="U435" s="480"/>
      <c r="V435" s="480"/>
      <c r="W435" s="466"/>
      <c r="X435" s="466"/>
      <c r="Y435" s="466"/>
      <c r="Z435" s="466"/>
      <c r="AA435" s="466"/>
      <c r="AB435" s="466"/>
      <c r="AC435" s="466"/>
      <c r="AD435" s="210"/>
    </row>
    <row r="436" spans="1:38" ht="26.25" customHeight="1" x14ac:dyDescent="0.2">
      <c r="A436" s="1246" t="e">
        <f>IF(AND(OR(ISNA(cap_exp_contact),TRIM(cap_exp_contact)=""),NOT(ISBLANK(code_7594))),"The Capital Expenditure Contact information has NOT been provided.  Please complete this information now.","")</f>
        <v>#N/A</v>
      </c>
      <c r="B436" s="1247"/>
      <c r="C436" s="1247"/>
      <c r="D436" s="1247"/>
      <c r="E436" s="1247"/>
      <c r="F436" s="1247"/>
      <c r="G436" s="1247"/>
      <c r="H436" s="1247"/>
      <c r="I436" s="1247"/>
      <c r="J436" s="1247"/>
      <c r="K436" s="1247"/>
      <c r="L436" s="1247"/>
      <c r="M436" s="1247"/>
      <c r="N436" s="422" t="s">
        <v>609</v>
      </c>
      <c r="O436" s="423" t="e">
        <f>$O$6</f>
        <v>#N/A</v>
      </c>
      <c r="P436" s="424" t="s">
        <v>610</v>
      </c>
      <c r="Q436" s="425"/>
      <c r="R436" s="325"/>
      <c r="S436" s="210"/>
      <c r="T436" s="210"/>
      <c r="U436" s="210"/>
      <c r="V436" s="210"/>
      <c r="W436" s="466"/>
      <c r="X436" s="466"/>
      <c r="Y436" s="466"/>
      <c r="Z436" s="466"/>
      <c r="AA436" s="466"/>
      <c r="AB436" s="466"/>
      <c r="AC436" s="466"/>
      <c r="AD436" s="210"/>
    </row>
    <row r="437" spans="1:38" ht="26.25" customHeight="1" thickBot="1" x14ac:dyDescent="0.25">
      <c r="A437" s="1248" t="s">
        <v>197</v>
      </c>
      <c r="B437" s="1249"/>
      <c r="C437" s="1249"/>
      <c r="D437" s="1249"/>
      <c r="E437" s="1250"/>
      <c r="F437" s="1251"/>
      <c r="G437" s="1251"/>
      <c r="H437" s="1251"/>
      <c r="I437" s="1251"/>
      <c r="J437" s="1251"/>
      <c r="K437" s="1251"/>
      <c r="L437" s="1252"/>
      <c r="M437" s="427"/>
      <c r="N437" s="1253" t="s">
        <v>611</v>
      </c>
      <c r="O437" s="1254"/>
      <c r="P437" s="1254"/>
      <c r="Q437" s="1255"/>
      <c r="R437" s="325"/>
      <c r="S437" s="428" t="str">
        <f>IF(ISBLANK(E437),"",E437)</f>
        <v/>
      </c>
      <c r="T437" s="154" t="s">
        <v>501</v>
      </c>
      <c r="U437" s="325"/>
      <c r="V437" s="325"/>
      <c r="W437" s="466"/>
      <c r="X437" s="466"/>
      <c r="Y437" s="466"/>
      <c r="Z437" s="466"/>
      <c r="AA437" s="466"/>
      <c r="AB437" s="466"/>
      <c r="AC437" s="466"/>
      <c r="AD437" s="210"/>
    </row>
    <row r="438" spans="1:38" ht="26.25" customHeight="1" x14ac:dyDescent="0.2">
      <c r="A438" s="1256" t="s">
        <v>612</v>
      </c>
      <c r="B438" s="1257"/>
      <c r="C438" s="1257"/>
      <c r="D438" s="1258"/>
      <c r="E438" s="1234"/>
      <c r="F438" s="1235"/>
      <c r="G438" s="1235"/>
      <c r="H438" s="1235"/>
      <c r="I438" s="1235"/>
      <c r="J438" s="1235"/>
      <c r="K438" s="1235"/>
      <c r="L438" s="1236"/>
      <c r="M438" s="1237" t="str">
        <f>IF(AND(ISBLANK(E438),OR(NOT(ISBLANK(E439)),NOT(ISBLANK(E440)),NOT(ISBLANK(E441)),NOT(ISBLANK(I442)),NOT(ISBLANK(A444)))),"This information is required.","")</f>
        <v/>
      </c>
      <c r="N438" s="1238"/>
      <c r="O438" s="1238"/>
      <c r="P438" s="1238"/>
      <c r="Q438" s="429"/>
      <c r="R438" s="325"/>
      <c r="S438" s="428" t="str">
        <f>IF(ISBLANK(E438),"",E438)</f>
        <v/>
      </c>
      <c r="T438" s="154" t="s">
        <v>185</v>
      </c>
      <c r="U438" s="325"/>
      <c r="V438" s="325"/>
      <c r="W438" s="466"/>
      <c r="X438" s="466"/>
      <c r="Y438" s="466"/>
      <c r="Z438" s="466"/>
      <c r="AA438" s="466"/>
      <c r="AB438" s="466"/>
      <c r="AC438" s="466"/>
      <c r="AD438" s="210"/>
    </row>
    <row r="439" spans="1:38" ht="26.25" customHeight="1" x14ac:dyDescent="0.2">
      <c r="A439" s="1222" t="s">
        <v>613</v>
      </c>
      <c r="B439" s="1223"/>
      <c r="C439" s="1223"/>
      <c r="D439" s="1224"/>
      <c r="E439" s="1234"/>
      <c r="F439" s="1235"/>
      <c r="G439" s="1235"/>
      <c r="H439" s="1235"/>
      <c r="I439" s="1235"/>
      <c r="J439" s="1235"/>
      <c r="K439" s="1235"/>
      <c r="L439" s="1236"/>
      <c r="M439" s="1237" t="str">
        <f>IF(AND(ISBLANK(E439),OR(NOT(ISBLANK(E438)),NOT(ISBLANK(E440)),NOT(ISBLANK(E441)),NOT(ISBLANK(I442)),NOT(ISBLANK(A444)))),"This information is required.","")</f>
        <v/>
      </c>
      <c r="N439" s="1238"/>
      <c r="O439" s="1238"/>
      <c r="P439" s="1238"/>
      <c r="Q439" s="429"/>
      <c r="R439" s="325"/>
      <c r="S439" s="428" t="str">
        <f>IF(ISBLANK(E439),"",E439)</f>
        <v/>
      </c>
      <c r="T439" s="154" t="s">
        <v>186</v>
      </c>
      <c r="U439" s="325"/>
      <c r="V439" s="325"/>
      <c r="W439" s="466"/>
      <c r="X439" s="210"/>
      <c r="Y439" s="210"/>
      <c r="Z439" s="210"/>
      <c r="AA439" s="474"/>
      <c r="AB439" s="474"/>
      <c r="AC439" s="474"/>
      <c r="AD439" s="436"/>
    </row>
    <row r="440" spans="1:38" ht="26.25" customHeight="1" x14ac:dyDescent="0.2">
      <c r="A440" s="1239" t="s">
        <v>614</v>
      </c>
      <c r="B440" s="1240"/>
      <c r="C440" s="1240"/>
      <c r="D440" s="1241"/>
      <c r="E440" s="1242"/>
      <c r="F440" s="1243"/>
      <c r="G440" s="1244" t="s">
        <v>615</v>
      </c>
      <c r="H440" s="1244"/>
      <c r="I440" s="1244"/>
      <c r="J440" s="1244"/>
      <c r="K440" s="1244"/>
      <c r="L440" s="1244"/>
      <c r="M440" s="1245" t="str">
        <f>IF(AND(ISBLANK(E440),OR(NOT(ISBLANK(E438)),NOT(ISBLANK(E439)),NOT(ISBLANK(E441)),NOT(ISBLANK(I442)),NOT(ISBLANK(A444)))),"This information is required.","")</f>
        <v/>
      </c>
      <c r="N440" s="1089"/>
      <c r="O440" s="1089"/>
      <c r="P440" s="1089"/>
      <c r="Q440" s="430"/>
      <c r="R440" s="431"/>
      <c r="S440" s="432" t="str">
        <f>IF(ISBLANK(E440),"",E440)</f>
        <v/>
      </c>
      <c r="T440" s="433" t="s">
        <v>188</v>
      </c>
      <c r="U440" s="431"/>
      <c r="V440" s="431"/>
      <c r="W440" s="466"/>
      <c r="X440" s="464"/>
      <c r="Y440" s="464"/>
      <c r="Z440" s="464"/>
      <c r="AA440" s="480"/>
      <c r="AB440" s="480"/>
      <c r="AC440" s="480"/>
      <c r="AD440" s="436"/>
    </row>
    <row r="441" spans="1:38" ht="26.25" customHeight="1" x14ac:dyDescent="0.2">
      <c r="A441" s="1222" t="s">
        <v>616</v>
      </c>
      <c r="B441" s="1223"/>
      <c r="C441" s="1223"/>
      <c r="D441" s="1224"/>
      <c r="E441" s="1225"/>
      <c r="F441" s="1226"/>
      <c r="G441" s="434"/>
      <c r="H441" s="435"/>
      <c r="I441" s="436"/>
      <c r="J441" s="431"/>
      <c r="K441" s="431"/>
      <c r="L441" s="431"/>
      <c r="M441" s="1089" t="str">
        <f>IF(AND(ISBLANK(E441),OR(NOT(ISBLANK(E438)),NOT(ISBLANK(E439)),NOT(ISBLANK(E440)),NOT(ISBLANK(I442)),NOT(ISBLANK(A444)))),"This information is required.","")</f>
        <v/>
      </c>
      <c r="N441" s="1089"/>
      <c r="O441" s="1089"/>
      <c r="P441" s="1089"/>
      <c r="Q441" s="430"/>
      <c r="R441" s="392"/>
      <c r="S441" s="437" t="str">
        <f>IF(ISBLANK(E441),"",E441)</f>
        <v/>
      </c>
      <c r="T441" s="438" t="s">
        <v>189</v>
      </c>
      <c r="U441" s="392"/>
      <c r="V441" s="392"/>
      <c r="W441" s="466"/>
      <c r="X441" s="466"/>
      <c r="Y441" s="466"/>
      <c r="Z441" s="466"/>
      <c r="AA441" s="210"/>
      <c r="AB441" s="210"/>
      <c r="AC441" s="210"/>
      <c r="AD441" s="436"/>
      <c r="AL441" s="213"/>
    </row>
    <row r="442" spans="1:38" ht="26.25" customHeight="1" thickBot="1" x14ac:dyDescent="0.25">
      <c r="A442" s="1227" t="s">
        <v>617</v>
      </c>
      <c r="B442" s="1228"/>
      <c r="C442" s="1228"/>
      <c r="D442" s="1228"/>
      <c r="E442" s="1229"/>
      <c r="F442" s="1229"/>
      <c r="G442" s="1229"/>
      <c r="H442" s="1229"/>
      <c r="I442" s="1230"/>
      <c r="J442" s="1230"/>
      <c r="K442" s="1231" t="s">
        <v>618</v>
      </c>
      <c r="L442" s="1232"/>
      <c r="M442" s="1233" t="str">
        <f>IF(AND(ISBLANK(I442),OR(NOT(ISBLANK(E438)),NOT(ISBLANK(E439)),NOT(ISBLANK(E440)),NOT(ISBLANK(E441)),NOT(ISBLANK(A444)))),"This information is required!","")</f>
        <v/>
      </c>
      <c r="N442" s="1233"/>
      <c r="O442" s="1233"/>
      <c r="P442" s="1233"/>
      <c r="Q442" s="439"/>
      <c r="R442" s="392"/>
      <c r="S442" s="437" t="str">
        <f>IF(ISBLANK(I442),"",I442)</f>
        <v/>
      </c>
      <c r="T442" s="438" t="s">
        <v>190</v>
      </c>
      <c r="U442" s="440"/>
      <c r="V442" s="440"/>
      <c r="W442" s="466"/>
      <c r="X442" s="466"/>
      <c r="Y442" s="466"/>
      <c r="Z442" s="466"/>
      <c r="AA442" s="210"/>
      <c r="AB442" s="210"/>
      <c r="AC442" s="210"/>
      <c r="AD442" s="436"/>
      <c r="AL442" s="213"/>
    </row>
    <row r="443" spans="1:38" ht="26.25" customHeight="1" x14ac:dyDescent="0.2">
      <c r="A443" s="1148" t="s">
        <v>620</v>
      </c>
      <c r="B443" s="1149"/>
      <c r="C443" s="1149"/>
      <c r="D443" s="1149"/>
      <c r="E443" s="1149"/>
      <c r="F443" s="1149"/>
      <c r="G443" s="1149"/>
      <c r="H443" s="1149"/>
      <c r="I443" s="1149"/>
      <c r="J443" s="1214"/>
      <c r="K443" s="1215" t="s">
        <v>693</v>
      </c>
      <c r="L443" s="1215"/>
      <c r="M443" s="1215"/>
      <c r="N443" s="1215"/>
      <c r="O443" s="1217" t="s">
        <v>621</v>
      </c>
      <c r="P443" s="1217"/>
      <c r="Q443" s="1218"/>
      <c r="R443" s="431"/>
      <c r="S443" s="437" t="str">
        <f>IF(ISBLANK(A444),"",A444)</f>
        <v/>
      </c>
      <c r="T443" s="438" t="s">
        <v>191</v>
      </c>
      <c r="U443" s="442"/>
      <c r="V443" s="442"/>
      <c r="W443" s="210"/>
      <c r="X443" s="466"/>
      <c r="Y443" s="466"/>
      <c r="Z443" s="466"/>
      <c r="AA443" s="210"/>
      <c r="AB443" s="210"/>
      <c r="AC443" s="210"/>
      <c r="AD443" s="210"/>
      <c r="AL443" s="134"/>
    </row>
    <row r="444" spans="1:38" ht="26.25" customHeight="1" x14ac:dyDescent="0.2">
      <c r="A444" s="1160"/>
      <c r="B444" s="1161"/>
      <c r="C444" s="1161"/>
      <c r="D444" s="1161"/>
      <c r="E444" s="1161"/>
      <c r="F444" s="1161"/>
      <c r="G444" s="1161"/>
      <c r="H444" s="1161"/>
      <c r="I444" s="1161"/>
      <c r="J444" s="1202"/>
      <c r="K444" s="1216"/>
      <c r="L444" s="1216"/>
      <c r="M444" s="1216"/>
      <c r="N444" s="1216"/>
      <c r="O444" s="443"/>
      <c r="P444" s="229" t="s">
        <v>269</v>
      </c>
      <c r="Q444" s="444" t="s">
        <v>270</v>
      </c>
      <c r="R444" s="431"/>
      <c r="S444" s="437" t="str">
        <f>IF(ISBLANK(A447),"",A447)</f>
        <v/>
      </c>
      <c r="T444" s="445" t="s">
        <v>192</v>
      </c>
      <c r="U444" s="442"/>
      <c r="V444" s="442"/>
      <c r="W444" s="464"/>
      <c r="X444" s="466"/>
      <c r="Y444" s="466"/>
      <c r="Z444" s="466"/>
      <c r="AA444" s="210"/>
      <c r="AB444" s="210"/>
      <c r="AC444" s="210"/>
      <c r="AD444" s="210"/>
      <c r="AL444" s="134"/>
    </row>
    <row r="445" spans="1:38" ht="26.25" customHeight="1" x14ac:dyDescent="0.2">
      <c r="A445" s="1176"/>
      <c r="B445" s="1177"/>
      <c r="C445" s="1177"/>
      <c r="D445" s="1177"/>
      <c r="E445" s="1177"/>
      <c r="F445" s="1177"/>
      <c r="G445" s="1177"/>
      <c r="H445" s="1177"/>
      <c r="I445" s="1177"/>
      <c r="J445" s="1203"/>
      <c r="K445" s="1204" t="s">
        <v>622</v>
      </c>
      <c r="L445" s="1205"/>
      <c r="M445" s="1205"/>
      <c r="N445" s="1205"/>
      <c r="O445" s="1206"/>
      <c r="P445" s="451"/>
      <c r="Q445" s="487"/>
      <c r="R445" s="440" t="str">
        <f>IF(COUNTBLANK(P445:Q445)=2,"Please enter response.",IF(COUNTBLANK(P445:Q445)&lt;&gt;1,"Please VERIFY response.",""))</f>
        <v>Please enter response.</v>
      </c>
      <c r="S445" s="452" t="str">
        <f>IF(AND(ISBLANK(P445),ISBLANK(Q445)),"",IF(ISBLANK(P445),0,1))</f>
        <v/>
      </c>
      <c r="T445" s="251" t="s">
        <v>592</v>
      </c>
      <c r="U445" s="213"/>
      <c r="V445" s="213"/>
      <c r="W445" s="466"/>
      <c r="X445" s="466"/>
      <c r="Y445" s="466"/>
      <c r="Z445" s="466"/>
      <c r="AA445" s="210"/>
      <c r="AB445" s="210"/>
      <c r="AC445" s="210"/>
      <c r="AD445" s="210"/>
      <c r="AL445" s="134"/>
    </row>
    <row r="446" spans="1:38" ht="26.25" customHeight="1" x14ac:dyDescent="0.2">
      <c r="A446" s="1219" t="s">
        <v>623</v>
      </c>
      <c r="B446" s="1220"/>
      <c r="C446" s="1220"/>
      <c r="D446" s="1220"/>
      <c r="E446" s="1220"/>
      <c r="F446" s="1220"/>
      <c r="G446" s="1220"/>
      <c r="H446" s="1220"/>
      <c r="I446" s="1220"/>
      <c r="J446" s="1221"/>
      <c r="K446" s="1204" t="s">
        <v>624</v>
      </c>
      <c r="L446" s="1205"/>
      <c r="M446" s="1205"/>
      <c r="N446" s="1205"/>
      <c r="O446" s="1206"/>
      <c r="P446" s="451"/>
      <c r="Q446" s="487"/>
      <c r="R446" s="440" t="str">
        <f>IF(COUNTBLANK(P446:Q446)=2,"Please enter response.",IF(COUNTBLANK(P446:Q446)&lt;&gt;1,"Please VERIFY response.",""))</f>
        <v>Please enter response.</v>
      </c>
      <c r="S446" s="452" t="str">
        <f>IF(AND(ISBLANK(P446),ISBLANK(Q446)),"",IF(ISBLANK(P446),0,1))</f>
        <v/>
      </c>
      <c r="T446" s="251" t="s">
        <v>593</v>
      </c>
      <c r="U446" s="213"/>
      <c r="V446" s="213"/>
      <c r="W446" s="466"/>
      <c r="X446" s="466"/>
      <c r="Y446" s="466"/>
      <c r="Z446" s="466"/>
      <c r="AA446" s="431"/>
      <c r="AB446" s="431"/>
      <c r="AC446" s="431"/>
      <c r="AD446" s="486"/>
      <c r="AL446" s="134"/>
    </row>
    <row r="447" spans="1:38" ht="26.25" customHeight="1" x14ac:dyDescent="0.2">
      <c r="A447" s="1160"/>
      <c r="B447" s="1161"/>
      <c r="C447" s="1161"/>
      <c r="D447" s="1161"/>
      <c r="E447" s="1161"/>
      <c r="F447" s="1161"/>
      <c r="G447" s="1161"/>
      <c r="H447" s="1161"/>
      <c r="I447" s="1161"/>
      <c r="J447" s="1202"/>
      <c r="K447" s="1204" t="s">
        <v>625</v>
      </c>
      <c r="L447" s="1205"/>
      <c r="M447" s="1205"/>
      <c r="N447" s="1205"/>
      <c r="O447" s="1206"/>
      <c r="P447" s="451"/>
      <c r="Q447" s="487"/>
      <c r="R447" s="440" t="str">
        <f>IF(COUNTBLANK(P447:Q447)=2,"Please enter response.",IF(COUNTBLANK(P447:Q447)&lt;&gt;1,"Please VERIFY response.",""))</f>
        <v>Please enter response.</v>
      </c>
      <c r="S447" s="452" t="str">
        <f>IF(AND(ISBLANK(P447),ISBLANK(Q447)),"",IF(ISBLANK(P447),0,1))</f>
        <v/>
      </c>
      <c r="T447" s="251" t="s">
        <v>594</v>
      </c>
      <c r="U447" s="213"/>
      <c r="V447" s="213"/>
      <c r="W447" s="466"/>
      <c r="X447" s="466"/>
      <c r="Y447" s="466"/>
      <c r="Z447" s="466"/>
      <c r="AA447" s="210"/>
      <c r="AB447" s="210"/>
      <c r="AC447" s="210"/>
      <c r="AD447" s="210"/>
      <c r="AL447" s="134"/>
    </row>
    <row r="448" spans="1:38" ht="26.25" customHeight="1" x14ac:dyDescent="0.2">
      <c r="A448" s="1176"/>
      <c r="B448" s="1177"/>
      <c r="C448" s="1177"/>
      <c r="D448" s="1177"/>
      <c r="E448" s="1177"/>
      <c r="F448" s="1177"/>
      <c r="G448" s="1177"/>
      <c r="H448" s="1177"/>
      <c r="I448" s="1177"/>
      <c r="J448" s="1203"/>
      <c r="K448" s="1204" t="s">
        <v>626</v>
      </c>
      <c r="L448" s="1205"/>
      <c r="M448" s="1205"/>
      <c r="N448" s="1205"/>
      <c r="O448" s="1206"/>
      <c r="P448" s="451"/>
      <c r="Q448" s="487"/>
      <c r="R448" s="440" t="str">
        <f>IF(COUNTBLANK(P448:Q448)=2,"Please enter response.",IF(COUNTBLANK(P448:Q448)&lt;&gt;1,"Please VERIFY response.",""))</f>
        <v>Please enter response.</v>
      </c>
      <c r="S448" s="452" t="str">
        <f>IF(AND(ISBLANK(P448),ISBLANK(Q448)),"",IF(ISBLANK(P448),0,1))</f>
        <v/>
      </c>
      <c r="T448" s="251" t="s">
        <v>595</v>
      </c>
      <c r="U448" s="213"/>
      <c r="V448" s="213"/>
      <c r="W448" s="466"/>
      <c r="X448" s="466"/>
      <c r="Y448" s="466"/>
      <c r="Z448" s="466"/>
      <c r="AA448" s="210"/>
      <c r="AB448" s="210"/>
      <c r="AC448" s="210"/>
      <c r="AD448" s="210"/>
      <c r="AL448" s="134"/>
    </row>
    <row r="449" spans="1:38" ht="26.25" customHeight="1" x14ac:dyDescent="0.2">
      <c r="A449" s="1207" t="s">
        <v>627</v>
      </c>
      <c r="B449" s="1208"/>
      <c r="C449" s="1208"/>
      <c r="D449" s="1208"/>
      <c r="E449" s="1208"/>
      <c r="F449" s="1208"/>
      <c r="G449" s="1208"/>
      <c r="H449" s="1208"/>
      <c r="I449" s="1208"/>
      <c r="J449" s="1208"/>
      <c r="K449" s="1208"/>
      <c r="L449" s="1208"/>
      <c r="M449" s="1208"/>
      <c r="N449" s="1208"/>
      <c r="O449" s="1208"/>
      <c r="P449" s="1208"/>
      <c r="Q449" s="1209"/>
      <c r="R449" s="454"/>
      <c r="S449" s="463"/>
      <c r="T449" s="454"/>
      <c r="U449" s="454"/>
      <c r="V449" s="454"/>
      <c r="W449" s="466"/>
      <c r="X449" s="466"/>
      <c r="Y449" s="466"/>
      <c r="Z449" s="466"/>
      <c r="AA449" s="210"/>
      <c r="AB449" s="210"/>
      <c r="AC449" s="210"/>
      <c r="AD449" s="436"/>
      <c r="AL449" s="134"/>
    </row>
    <row r="450" spans="1:38" ht="26.25" customHeight="1" x14ac:dyDescent="0.25">
      <c r="A450" s="1210" t="s">
        <v>628</v>
      </c>
      <c r="B450" s="1211"/>
      <c r="C450" s="1211"/>
      <c r="D450" s="1211"/>
      <c r="E450" s="1211" t="s">
        <v>629</v>
      </c>
      <c r="F450" s="1211"/>
      <c r="G450" s="1211"/>
      <c r="H450" s="1211"/>
      <c r="I450" s="1211" t="s">
        <v>630</v>
      </c>
      <c r="J450" s="1211"/>
      <c r="K450" s="1211"/>
      <c r="L450" s="1211"/>
      <c r="M450" s="1212" t="s">
        <v>631</v>
      </c>
      <c r="N450" s="1211"/>
      <c r="O450" s="1211"/>
      <c r="P450" s="1211"/>
      <c r="Q450" s="1213"/>
      <c r="R450" s="459"/>
      <c r="S450" s="1195" t="s">
        <v>632</v>
      </c>
      <c r="T450" s="1195"/>
      <c r="U450" s="1195"/>
      <c r="V450" s="1195"/>
      <c r="W450" s="466"/>
      <c r="X450" s="474"/>
      <c r="Y450" s="474"/>
      <c r="Z450" s="474"/>
      <c r="AA450" s="431"/>
      <c r="AB450" s="431"/>
      <c r="AC450" s="431"/>
      <c r="AD450" s="471"/>
      <c r="AL450" s="134"/>
    </row>
    <row r="451" spans="1:38" ht="26.25" customHeight="1" thickBot="1" x14ac:dyDescent="0.25">
      <c r="A451" s="1196"/>
      <c r="B451" s="815"/>
      <c r="C451" s="815"/>
      <c r="D451" s="815"/>
      <c r="E451" s="815"/>
      <c r="F451" s="815"/>
      <c r="G451" s="815"/>
      <c r="H451" s="815"/>
      <c r="I451" s="815"/>
      <c r="J451" s="815"/>
      <c r="K451" s="815"/>
      <c r="L451" s="815"/>
      <c r="M451" s="1197"/>
      <c r="N451" s="1197"/>
      <c r="O451" s="1197"/>
      <c r="P451" s="1197"/>
      <c r="Q451" s="1198"/>
      <c r="R451" s="454"/>
      <c r="S451" s="467" t="str">
        <f>IF(ISBLANK(A451),"",VLOOKUP(A451,VProjType,2,FALSE))</f>
        <v/>
      </c>
      <c r="T451" s="467" t="str">
        <f>IF(ISBLANK(E451),"",VLOOKUP(E451,VSubtype1,2,FALSE))</f>
        <v/>
      </c>
      <c r="U451" s="467" t="str">
        <f>IF(ISBLANK(I451),"",VLOOKUP(I451,VSubtype2,2,FALSE))</f>
        <v/>
      </c>
      <c r="V451" s="467" t="str">
        <f>IF(ISBLANK(M451),"",VLOOKUP(M451,VSubtype3,2,FALSE))</f>
        <v/>
      </c>
      <c r="W451" s="466"/>
      <c r="X451" s="464"/>
      <c r="Y451" s="464"/>
      <c r="Z451" s="464"/>
      <c r="AA451" s="466"/>
      <c r="AB451" s="466"/>
      <c r="AC451" s="466"/>
      <c r="AD451" s="210"/>
      <c r="AL451" s="134"/>
    </row>
    <row r="452" spans="1:38" ht="26.25" customHeight="1" x14ac:dyDescent="0.25">
      <c r="A452" s="1199" t="s">
        <v>634</v>
      </c>
      <c r="B452" s="1200"/>
      <c r="C452" s="1200"/>
      <c r="D452" s="1200"/>
      <c r="E452" s="1200"/>
      <c r="F452" s="1200"/>
      <c r="G452" s="1200"/>
      <c r="H452" s="1200"/>
      <c r="I452" s="1200"/>
      <c r="J452" s="1200"/>
      <c r="K452" s="1200"/>
      <c r="L452" s="1200"/>
      <c r="M452" s="1200"/>
      <c r="N452" s="1200"/>
      <c r="O452" s="1200"/>
      <c r="P452" s="1200"/>
      <c r="Q452" s="1201"/>
      <c r="R452" s="464"/>
      <c r="S452" s="468" t="s">
        <v>635</v>
      </c>
      <c r="T452" s="464"/>
      <c r="U452" s="464"/>
      <c r="V452" s="464"/>
      <c r="W452" s="466"/>
      <c r="X452" s="466"/>
      <c r="Y452" s="466"/>
      <c r="Z452" s="466"/>
      <c r="AA452" s="466"/>
      <c r="AB452" s="466"/>
      <c r="AC452" s="466"/>
      <c r="AD452" s="471"/>
      <c r="AL452" s="213"/>
    </row>
    <row r="453" spans="1:38" ht="26.25" customHeight="1" x14ac:dyDescent="0.25">
      <c r="A453" s="1166" t="s">
        <v>636</v>
      </c>
      <c r="B453" s="1167"/>
      <c r="C453" s="1167"/>
      <c r="D453" s="1167"/>
      <c r="E453" s="1167"/>
      <c r="F453" s="1167"/>
      <c r="G453" s="1167"/>
      <c r="H453" s="1167"/>
      <c r="I453" s="1167"/>
      <c r="J453" s="1167"/>
      <c r="K453" s="1167"/>
      <c r="L453" s="1168"/>
      <c r="M453" s="1169"/>
      <c r="N453" s="1170"/>
      <c r="O453" s="1170"/>
      <c r="P453" s="1170"/>
      <c r="Q453" s="1171"/>
      <c r="R453" s="464"/>
      <c r="S453" s="469" t="str">
        <f>IF(ISBLANK(M453),"",VLOOKUP(M453,VRemote,2,FALSE))</f>
        <v/>
      </c>
      <c r="T453" s="470" t="s">
        <v>637</v>
      </c>
      <c r="U453" s="464"/>
      <c r="V453" s="464"/>
      <c r="W453" s="466"/>
      <c r="X453" s="466"/>
      <c r="Y453" s="466"/>
      <c r="Z453" s="466"/>
      <c r="AA453" s="466"/>
      <c r="AB453" s="466"/>
      <c r="AC453" s="466"/>
      <c r="AD453" s="471"/>
    </row>
    <row r="454" spans="1:38" ht="26.25" customHeight="1" x14ac:dyDescent="0.25">
      <c r="A454" s="1166" t="s">
        <v>638</v>
      </c>
      <c r="B454" s="1167"/>
      <c r="C454" s="1167"/>
      <c r="D454" s="1167"/>
      <c r="E454" s="1167"/>
      <c r="F454" s="1167"/>
      <c r="G454" s="1167"/>
      <c r="H454" s="1167"/>
      <c r="I454" s="1167"/>
      <c r="J454" s="1167"/>
      <c r="K454" s="1167"/>
      <c r="L454" s="1167"/>
      <c r="M454" s="1169"/>
      <c r="N454" s="1170"/>
      <c r="O454" s="1170"/>
      <c r="P454" s="1170"/>
      <c r="Q454" s="1171"/>
      <c r="R454" s="466"/>
      <c r="S454" s="469" t="str">
        <f>IF(ISBLANK(M454),"",VLOOKUP(M454,VCapacity,2,FALSE))</f>
        <v/>
      </c>
      <c r="T454" s="162" t="s">
        <v>639</v>
      </c>
      <c r="U454" s="466"/>
      <c r="V454" s="466"/>
      <c r="W454" s="474"/>
      <c r="X454" s="466"/>
      <c r="Y454" s="466"/>
      <c r="Z454" s="466"/>
      <c r="AA454" s="466"/>
      <c r="AB454" s="466"/>
      <c r="AC454" s="466"/>
      <c r="AD454" s="471"/>
    </row>
    <row r="455" spans="1:38" ht="26.25" customHeight="1" x14ac:dyDescent="0.25">
      <c r="A455" s="1166" t="s">
        <v>640</v>
      </c>
      <c r="B455" s="1167"/>
      <c r="C455" s="1167"/>
      <c r="D455" s="1167"/>
      <c r="E455" s="1167"/>
      <c r="F455" s="1167"/>
      <c r="G455" s="1167"/>
      <c r="H455" s="1167"/>
      <c r="I455" s="1167"/>
      <c r="J455" s="1167"/>
      <c r="K455" s="1167"/>
      <c r="L455" s="1167"/>
      <c r="M455" s="1169"/>
      <c r="N455" s="1170"/>
      <c r="O455" s="1170"/>
      <c r="P455" s="1170"/>
      <c r="Q455" s="1171"/>
      <c r="R455" s="466"/>
      <c r="S455" s="469" t="str">
        <f>IF(ISBLANK(M455),"",VLOOKUP(M455,VPriorCap,2,FALSE))</f>
        <v/>
      </c>
      <c r="T455" s="162" t="s">
        <v>641</v>
      </c>
      <c r="U455" s="466"/>
      <c r="V455" s="466"/>
      <c r="W455" s="464"/>
      <c r="X455" s="466"/>
      <c r="Y455" s="466"/>
      <c r="Z455" s="466"/>
      <c r="AA455" s="466"/>
      <c r="AB455" s="466"/>
      <c r="AC455" s="466"/>
      <c r="AD455" s="471"/>
    </row>
    <row r="456" spans="1:38" ht="26.25" customHeight="1" x14ac:dyDescent="0.25">
      <c r="A456" s="1183" t="s">
        <v>643</v>
      </c>
      <c r="B456" s="1184"/>
      <c r="C456" s="1184"/>
      <c r="D456" s="1184"/>
      <c r="E456" s="1184"/>
      <c r="F456" s="1184"/>
      <c r="G456" s="1184"/>
      <c r="H456" s="1184"/>
      <c r="I456" s="1184"/>
      <c r="J456" s="1184"/>
      <c r="K456" s="1184"/>
      <c r="L456" s="1184"/>
      <c r="M456" s="1184"/>
      <c r="N456" s="1184"/>
      <c r="O456" s="1184"/>
      <c r="P456" s="1184"/>
      <c r="Q456" s="1185"/>
      <c r="R456" s="466"/>
      <c r="S456" s="472" t="str">
        <f>IF(ISBLANK(A457),"",A457)</f>
        <v/>
      </c>
      <c r="T456" s="162" t="s">
        <v>589</v>
      </c>
      <c r="U456" s="466"/>
      <c r="V456" s="466"/>
      <c r="W456" s="466"/>
      <c r="X456" s="466"/>
      <c r="Y456" s="466"/>
      <c r="Z456" s="466"/>
      <c r="AA456" s="466"/>
      <c r="AB456" s="466"/>
      <c r="AC456" s="466"/>
      <c r="AD456" s="471"/>
    </row>
    <row r="457" spans="1:38" ht="26.25" customHeight="1" x14ac:dyDescent="0.25">
      <c r="A457" s="1175"/>
      <c r="B457" s="1152"/>
      <c r="C457" s="1152"/>
      <c r="D457" s="1152"/>
      <c r="E457" s="1152"/>
      <c r="F457" s="1152"/>
      <c r="G457" s="1152"/>
      <c r="H457" s="1152"/>
      <c r="I457" s="1152"/>
      <c r="J457" s="1152"/>
      <c r="K457" s="1152"/>
      <c r="L457" s="1152"/>
      <c r="M457" s="1152"/>
      <c r="N457" s="1152"/>
      <c r="O457" s="1152"/>
      <c r="P457" s="1152"/>
      <c r="Q457" s="1182"/>
      <c r="R457" s="466"/>
      <c r="S457" s="466"/>
      <c r="T457" s="466"/>
      <c r="U457" s="466"/>
      <c r="V457" s="466"/>
      <c r="W457" s="466"/>
      <c r="X457" s="466"/>
      <c r="Y457" s="466"/>
      <c r="Z457" s="466"/>
      <c r="AA457" s="466"/>
      <c r="AB457" s="466"/>
      <c r="AC457" s="466"/>
      <c r="AD457" s="471"/>
    </row>
    <row r="458" spans="1:38" ht="25.9" customHeight="1" x14ac:dyDescent="0.25">
      <c r="A458" s="1186"/>
      <c r="B458" s="1187"/>
      <c r="C458" s="1187"/>
      <c r="D458" s="1187"/>
      <c r="E458" s="1187"/>
      <c r="F458" s="1187"/>
      <c r="G458" s="1187"/>
      <c r="H458" s="1187"/>
      <c r="I458" s="1187"/>
      <c r="J458" s="1187"/>
      <c r="K458" s="1187"/>
      <c r="L458" s="1187"/>
      <c r="M458" s="1187"/>
      <c r="N458" s="1187"/>
      <c r="O458" s="1187"/>
      <c r="P458" s="1187"/>
      <c r="Q458" s="1188"/>
      <c r="R458" s="466"/>
      <c r="S458" s="466"/>
      <c r="T458" s="466"/>
      <c r="U458" s="466"/>
      <c r="V458" s="466"/>
      <c r="W458" s="466"/>
      <c r="X458" s="466"/>
      <c r="Y458" s="466"/>
      <c r="Z458" s="466"/>
      <c r="AA458" s="466"/>
      <c r="AB458" s="466"/>
      <c r="AC458" s="466"/>
      <c r="AD458" s="471"/>
    </row>
    <row r="459" spans="1:38" ht="26.25" customHeight="1" x14ac:dyDescent="0.25">
      <c r="A459" s="1189" t="s">
        <v>645</v>
      </c>
      <c r="B459" s="1190"/>
      <c r="C459" s="1190"/>
      <c r="D459" s="1190"/>
      <c r="E459" s="1190"/>
      <c r="F459" s="1190"/>
      <c r="G459" s="1190"/>
      <c r="H459" s="1190"/>
      <c r="I459" s="1190"/>
      <c r="J459" s="1190"/>
      <c r="K459" s="1190"/>
      <c r="L459" s="1190"/>
      <c r="M459" s="1190"/>
      <c r="N459" s="1190"/>
      <c r="O459" s="1190"/>
      <c r="P459" s="1190"/>
      <c r="Q459" s="1191"/>
      <c r="R459" s="468"/>
      <c r="S459" s="468"/>
      <c r="T459" s="468"/>
      <c r="U459" s="468"/>
      <c r="V459" s="468"/>
      <c r="W459" s="466"/>
      <c r="X459" s="466"/>
      <c r="Y459" s="466"/>
      <c r="Z459" s="466"/>
      <c r="AA459" s="466"/>
      <c r="AB459" s="466"/>
      <c r="AC459" s="466"/>
      <c r="AD459" s="471"/>
    </row>
    <row r="460" spans="1:38" ht="26.25" customHeight="1" x14ac:dyDescent="0.25">
      <c r="A460" s="1175"/>
      <c r="B460" s="1152"/>
      <c r="C460" s="1152"/>
      <c r="D460" s="1152"/>
      <c r="E460" s="1152"/>
      <c r="F460" s="1152"/>
      <c r="G460" s="1152"/>
      <c r="H460" s="1152"/>
      <c r="I460" s="1152"/>
      <c r="J460" s="1152"/>
      <c r="K460" s="1152"/>
      <c r="L460" s="1152"/>
      <c r="M460" s="1152"/>
      <c r="N460" s="1152"/>
      <c r="O460" s="1152"/>
      <c r="P460" s="1152"/>
      <c r="Q460" s="1153"/>
      <c r="R460" s="466"/>
      <c r="S460" s="472" t="str">
        <f>IF(ISBLANK(A460),"",A460)</f>
        <v/>
      </c>
      <c r="T460" s="438" t="s">
        <v>194</v>
      </c>
      <c r="U460" s="466"/>
      <c r="V460" s="466"/>
      <c r="W460" s="466"/>
      <c r="X460" s="466"/>
      <c r="Y460" s="466"/>
      <c r="Z460" s="466"/>
      <c r="AA460" s="210"/>
      <c r="AB460" s="210"/>
      <c r="AC460" s="210"/>
      <c r="AD460" s="471"/>
    </row>
    <row r="461" spans="1:38" ht="26.25" customHeight="1" thickBot="1" x14ac:dyDescent="0.3">
      <c r="A461" s="1163"/>
      <c r="B461" s="1164"/>
      <c r="C461" s="1164"/>
      <c r="D461" s="1164"/>
      <c r="E461" s="1164"/>
      <c r="F461" s="1164"/>
      <c r="G461" s="1164"/>
      <c r="H461" s="1164"/>
      <c r="I461" s="1164"/>
      <c r="J461" s="1164"/>
      <c r="K461" s="1164"/>
      <c r="L461" s="1164"/>
      <c r="M461" s="1164"/>
      <c r="N461" s="1164"/>
      <c r="O461" s="1164"/>
      <c r="P461" s="1164"/>
      <c r="Q461" s="1165"/>
      <c r="R461" s="466"/>
      <c r="S461" s="466"/>
      <c r="T461" s="438"/>
      <c r="U461" s="466"/>
      <c r="V461" s="466"/>
      <c r="W461" s="466"/>
      <c r="X461" s="210"/>
      <c r="Y461" s="210"/>
      <c r="Z461" s="210"/>
      <c r="AA461" s="464"/>
      <c r="AB461" s="464"/>
      <c r="AC461" s="464"/>
      <c r="AD461" s="471"/>
    </row>
    <row r="462" spans="1:38" ht="26.25" customHeight="1" x14ac:dyDescent="0.2">
      <c r="A462" s="1157" t="s">
        <v>647</v>
      </c>
      <c r="B462" s="1158"/>
      <c r="C462" s="1158"/>
      <c r="D462" s="1158"/>
      <c r="E462" s="1158"/>
      <c r="F462" s="1158"/>
      <c r="G462" s="1158"/>
      <c r="H462" s="1158"/>
      <c r="I462" s="1158"/>
      <c r="J462" s="1158"/>
      <c r="K462" s="1158"/>
      <c r="L462" s="1158"/>
      <c r="M462" s="1158"/>
      <c r="N462" s="1158"/>
      <c r="O462" s="1158"/>
      <c r="P462" s="1158"/>
      <c r="Q462" s="1159"/>
      <c r="R462" s="464"/>
      <c r="S462" s="468" t="s">
        <v>648</v>
      </c>
      <c r="T462" s="464"/>
      <c r="U462" s="464"/>
      <c r="V462" s="464"/>
      <c r="W462" s="466"/>
      <c r="X462" s="468"/>
      <c r="Y462" s="468"/>
      <c r="Z462" s="468"/>
      <c r="AA462" s="466"/>
      <c r="AB462" s="466"/>
      <c r="AC462" s="466"/>
      <c r="AD462" s="210"/>
    </row>
    <row r="463" spans="1:38" ht="26.25" customHeight="1" x14ac:dyDescent="0.25">
      <c r="A463" s="1192" t="s">
        <v>649</v>
      </c>
      <c r="B463" s="1193"/>
      <c r="C463" s="1193"/>
      <c r="D463" s="1193"/>
      <c r="E463" s="1193"/>
      <c r="F463" s="1193"/>
      <c r="G463" s="1193"/>
      <c r="H463" s="1193"/>
      <c r="I463" s="1193"/>
      <c r="J463" s="1193"/>
      <c r="K463" s="1193"/>
      <c r="L463" s="1194"/>
      <c r="M463" s="1169"/>
      <c r="N463" s="1170"/>
      <c r="O463" s="1170"/>
      <c r="P463" s="1170"/>
      <c r="Q463" s="1171"/>
      <c r="R463" s="466"/>
      <c r="S463" s="473" t="str">
        <f>IF(ISBLANK(M463),"",VLOOKUP(M463,VImpact,2,FALSE))</f>
        <v/>
      </c>
      <c r="T463" s="162" t="s">
        <v>650</v>
      </c>
      <c r="U463" s="466"/>
      <c r="V463" s="466"/>
      <c r="W463" s="466"/>
      <c r="X463" s="466"/>
      <c r="Y463" s="466"/>
      <c r="Z463" s="466"/>
      <c r="AA463" s="466"/>
      <c r="AB463" s="466"/>
      <c r="AC463" s="466"/>
      <c r="AD463" s="471"/>
    </row>
    <row r="464" spans="1:38" ht="26.25" customHeight="1" x14ac:dyDescent="0.25">
      <c r="A464" s="1166" t="s">
        <v>651</v>
      </c>
      <c r="B464" s="1167"/>
      <c r="C464" s="1167"/>
      <c r="D464" s="1167"/>
      <c r="E464" s="1167"/>
      <c r="F464" s="1167"/>
      <c r="G464" s="1167"/>
      <c r="H464" s="1167"/>
      <c r="I464" s="1167"/>
      <c r="J464" s="1167"/>
      <c r="K464" s="1167"/>
      <c r="L464" s="1168"/>
      <c r="M464" s="1169"/>
      <c r="N464" s="1170"/>
      <c r="O464" s="1170"/>
      <c r="P464" s="1170"/>
      <c r="Q464" s="1171"/>
      <c r="R464" s="466"/>
      <c r="S464" s="473" t="str">
        <f>IF(ISBLANK(M464),"",VLOOKUP(M464,VEvidence,2,FALSE))</f>
        <v/>
      </c>
      <c r="T464" s="251" t="s">
        <v>652</v>
      </c>
      <c r="U464" s="466"/>
      <c r="V464" s="466"/>
      <c r="W464" s="466"/>
      <c r="X464" s="466"/>
      <c r="Y464" s="466"/>
      <c r="Z464" s="466"/>
      <c r="AA464" s="466"/>
      <c r="AB464" s="466"/>
      <c r="AC464" s="466"/>
      <c r="AD464" s="471"/>
    </row>
    <row r="465" spans="1:30" ht="26.25" customHeight="1" x14ac:dyDescent="0.25">
      <c r="A465" s="1172" t="s">
        <v>653</v>
      </c>
      <c r="B465" s="1173"/>
      <c r="C465" s="1173"/>
      <c r="D465" s="1173"/>
      <c r="E465" s="1173"/>
      <c r="F465" s="1173"/>
      <c r="G465" s="1173"/>
      <c r="H465" s="1173"/>
      <c r="I465" s="1173"/>
      <c r="J465" s="1173"/>
      <c r="K465" s="1173"/>
      <c r="L465" s="1173"/>
      <c r="M465" s="1173"/>
      <c r="N465" s="1173"/>
      <c r="O465" s="1173"/>
      <c r="P465" s="1173"/>
      <c r="Q465" s="1174"/>
      <c r="R465" s="466"/>
      <c r="S465" s="472" t="str">
        <f>IF(ISBLANK(A466),"",A466)</f>
        <v/>
      </c>
      <c r="T465" s="438" t="s">
        <v>193</v>
      </c>
      <c r="U465" s="466"/>
      <c r="V465" s="466"/>
      <c r="W465" s="210"/>
      <c r="X465" s="466"/>
      <c r="Y465" s="466"/>
      <c r="Z465" s="466"/>
      <c r="AA465" s="466"/>
      <c r="AB465" s="466"/>
      <c r="AC465" s="466"/>
      <c r="AD465" s="471"/>
    </row>
    <row r="466" spans="1:30" ht="26.25" customHeight="1" x14ac:dyDescent="0.25">
      <c r="A466" s="1175"/>
      <c r="B466" s="1152"/>
      <c r="C466" s="1152"/>
      <c r="D466" s="1152"/>
      <c r="E466" s="1152"/>
      <c r="F466" s="1152"/>
      <c r="G466" s="1152"/>
      <c r="H466" s="1152"/>
      <c r="I466" s="1152"/>
      <c r="J466" s="1152"/>
      <c r="K466" s="1152"/>
      <c r="L466" s="1152"/>
      <c r="M466" s="1152"/>
      <c r="N466" s="1152"/>
      <c r="O466" s="1152"/>
      <c r="P466" s="1152"/>
      <c r="Q466" s="1153"/>
      <c r="R466" s="466"/>
      <c r="S466" s="466"/>
      <c r="T466" s="475"/>
      <c r="U466" s="466"/>
      <c r="V466" s="466"/>
      <c r="W466" s="468"/>
      <c r="X466" s="466"/>
      <c r="Y466" s="466"/>
      <c r="Z466" s="466"/>
      <c r="AA466" s="466"/>
      <c r="AB466" s="466"/>
      <c r="AC466" s="466"/>
      <c r="AD466" s="471"/>
    </row>
    <row r="467" spans="1:30" ht="26.25" customHeight="1" x14ac:dyDescent="0.25">
      <c r="A467" s="1176"/>
      <c r="B467" s="1177"/>
      <c r="C467" s="1177"/>
      <c r="D467" s="1177"/>
      <c r="E467" s="1177"/>
      <c r="F467" s="1177"/>
      <c r="G467" s="1177"/>
      <c r="H467" s="1177"/>
      <c r="I467" s="1177"/>
      <c r="J467" s="1177"/>
      <c r="K467" s="1177"/>
      <c r="L467" s="1177"/>
      <c r="M467" s="1177"/>
      <c r="N467" s="1177"/>
      <c r="O467" s="1177"/>
      <c r="P467" s="1177"/>
      <c r="Q467" s="1178"/>
      <c r="R467" s="466"/>
      <c r="S467" s="466"/>
      <c r="T467" s="475"/>
      <c r="U467" s="466"/>
      <c r="V467" s="466"/>
      <c r="W467" s="466"/>
      <c r="X467" s="466"/>
      <c r="Y467" s="466"/>
      <c r="Z467" s="466"/>
      <c r="AA467" s="466"/>
      <c r="AB467" s="466"/>
      <c r="AC467" s="466"/>
      <c r="AD467" s="471"/>
    </row>
    <row r="468" spans="1:30" ht="26.25" customHeight="1" x14ac:dyDescent="0.25">
      <c r="A468" s="1179" t="s">
        <v>654</v>
      </c>
      <c r="B468" s="1180"/>
      <c r="C468" s="1180"/>
      <c r="D468" s="1180"/>
      <c r="E468" s="1180"/>
      <c r="F468" s="1180"/>
      <c r="G468" s="1180"/>
      <c r="H468" s="1180"/>
      <c r="I468" s="1180"/>
      <c r="J468" s="1180"/>
      <c r="K468" s="1180"/>
      <c r="L468" s="1180"/>
      <c r="M468" s="1180"/>
      <c r="N468" s="1180"/>
      <c r="O468" s="1180"/>
      <c r="P468" s="1180"/>
      <c r="Q468" s="1181"/>
      <c r="R468" s="466"/>
      <c r="S468" s="472" t="str">
        <f>IF(ISBLANK(A469),"",A469)</f>
        <v/>
      </c>
      <c r="T468" s="475" t="s">
        <v>590</v>
      </c>
      <c r="U468" s="466"/>
      <c r="V468" s="466"/>
      <c r="W468" s="466"/>
      <c r="X468" s="466"/>
      <c r="Y468" s="466"/>
      <c r="Z468" s="466"/>
      <c r="AA468" s="466"/>
      <c r="AB468" s="466"/>
      <c r="AC468" s="466"/>
      <c r="AD468" s="471"/>
    </row>
    <row r="469" spans="1:30" ht="26.25" customHeight="1" x14ac:dyDescent="0.25">
      <c r="A469" s="1175"/>
      <c r="B469" s="1152"/>
      <c r="C469" s="1152"/>
      <c r="D469" s="1152"/>
      <c r="E469" s="1152"/>
      <c r="F469" s="1152"/>
      <c r="G469" s="1152"/>
      <c r="H469" s="1152"/>
      <c r="I469" s="1152"/>
      <c r="J469" s="1152"/>
      <c r="K469" s="1152"/>
      <c r="L469" s="1152"/>
      <c r="M469" s="1152"/>
      <c r="N469" s="1152"/>
      <c r="O469" s="1152"/>
      <c r="P469" s="1152"/>
      <c r="Q469" s="1182"/>
      <c r="R469" s="466"/>
      <c r="U469" s="466"/>
      <c r="V469" s="466"/>
      <c r="W469" s="466"/>
      <c r="X469" s="466"/>
      <c r="Y469" s="466"/>
      <c r="Z469" s="466"/>
      <c r="AA469" s="466"/>
      <c r="AB469" s="466"/>
      <c r="AC469" s="466"/>
      <c r="AD469" s="471"/>
    </row>
    <row r="470" spans="1:30" ht="26.25" customHeight="1" thickBot="1" x14ac:dyDescent="0.3">
      <c r="A470" s="1154"/>
      <c r="B470" s="1155"/>
      <c r="C470" s="1155"/>
      <c r="D470" s="1155"/>
      <c r="E470" s="1155"/>
      <c r="F470" s="1155"/>
      <c r="G470" s="1155"/>
      <c r="H470" s="1155"/>
      <c r="I470" s="1155"/>
      <c r="J470" s="1155"/>
      <c r="K470" s="1155"/>
      <c r="L470" s="1155"/>
      <c r="M470" s="1155"/>
      <c r="N470" s="1155"/>
      <c r="O470" s="1155"/>
      <c r="P470" s="1155"/>
      <c r="Q470" s="1156"/>
      <c r="R470" s="466"/>
      <c r="S470" s="466"/>
      <c r="T470" s="466"/>
      <c r="U470" s="466"/>
      <c r="V470" s="466"/>
      <c r="W470" s="466"/>
      <c r="X470" s="466"/>
      <c r="Y470" s="466"/>
      <c r="Z470" s="466"/>
      <c r="AA470" s="466"/>
      <c r="AB470" s="466"/>
      <c r="AC470" s="466"/>
      <c r="AD470" s="471"/>
    </row>
    <row r="471" spans="1:30" ht="26.25" customHeight="1" x14ac:dyDescent="0.25">
      <c r="A471" s="1148" t="s">
        <v>656</v>
      </c>
      <c r="B471" s="1149"/>
      <c r="C471" s="1149"/>
      <c r="D471" s="1149"/>
      <c r="E471" s="1149"/>
      <c r="F471" s="1149"/>
      <c r="G471" s="1149"/>
      <c r="H471" s="1149"/>
      <c r="I471" s="1149"/>
      <c r="J471" s="1149"/>
      <c r="K471" s="1149"/>
      <c r="L471" s="1149"/>
      <c r="M471" s="1149"/>
      <c r="N471" s="1149"/>
      <c r="O471" s="1149"/>
      <c r="P471" s="1149"/>
      <c r="Q471" s="1150"/>
      <c r="S471" s="478" t="str">
        <f>IF(ISBLANK(A472),"",A472)</f>
        <v/>
      </c>
      <c r="T471" s="479" t="s">
        <v>657</v>
      </c>
      <c r="W471" s="466"/>
      <c r="X471" s="466"/>
      <c r="Y471" s="466"/>
      <c r="Z471" s="466"/>
      <c r="AA471" s="474"/>
      <c r="AB471" s="474"/>
      <c r="AC471" s="474"/>
      <c r="AD471" s="471"/>
    </row>
    <row r="472" spans="1:30" ht="26.25" customHeight="1" x14ac:dyDescent="0.25">
      <c r="A472" s="1151"/>
      <c r="B472" s="1152"/>
      <c r="C472" s="1152"/>
      <c r="D472" s="1152"/>
      <c r="E472" s="1152"/>
      <c r="F472" s="1152"/>
      <c r="G472" s="1152"/>
      <c r="H472" s="1152"/>
      <c r="I472" s="1152"/>
      <c r="J472" s="1152"/>
      <c r="K472" s="1152"/>
      <c r="L472" s="1152"/>
      <c r="M472" s="1152"/>
      <c r="N472" s="1152"/>
      <c r="O472" s="1152"/>
      <c r="P472" s="1152"/>
      <c r="Q472" s="1153"/>
      <c r="W472" s="466"/>
      <c r="X472" s="210"/>
      <c r="Y472" s="210"/>
      <c r="Z472" s="210"/>
      <c r="AA472" s="464"/>
      <c r="AB472" s="464"/>
      <c r="AC472" s="464"/>
      <c r="AD472" s="471"/>
    </row>
    <row r="473" spans="1:30" ht="26.25" customHeight="1" thickBot="1" x14ac:dyDescent="0.25">
      <c r="A473" s="1154"/>
      <c r="B473" s="1155"/>
      <c r="C473" s="1155"/>
      <c r="D473" s="1155"/>
      <c r="E473" s="1155"/>
      <c r="F473" s="1155"/>
      <c r="G473" s="1155"/>
      <c r="H473" s="1155"/>
      <c r="I473" s="1155"/>
      <c r="J473" s="1155"/>
      <c r="K473" s="1155"/>
      <c r="L473" s="1155"/>
      <c r="M473" s="1155"/>
      <c r="N473" s="1155"/>
      <c r="O473" s="1155"/>
      <c r="P473" s="1155"/>
      <c r="Q473" s="1156"/>
      <c r="R473" s="436"/>
      <c r="S473" s="436"/>
      <c r="T473" s="436"/>
      <c r="U473" s="436"/>
      <c r="V473" s="436"/>
      <c r="W473" s="466"/>
      <c r="X473" s="464"/>
      <c r="Y473" s="464"/>
      <c r="Z473" s="464"/>
      <c r="AA473" s="466"/>
      <c r="AB473" s="466"/>
      <c r="AC473" s="466"/>
      <c r="AD473" s="210"/>
    </row>
    <row r="474" spans="1:30" ht="26.25" customHeight="1" x14ac:dyDescent="0.25">
      <c r="A474" s="1157" t="s">
        <v>658</v>
      </c>
      <c r="B474" s="1158"/>
      <c r="C474" s="1158"/>
      <c r="D474" s="1158"/>
      <c r="E474" s="1158"/>
      <c r="F474" s="1158"/>
      <c r="G474" s="1158"/>
      <c r="H474" s="1158"/>
      <c r="I474" s="1158"/>
      <c r="J474" s="1158"/>
      <c r="K474" s="1158"/>
      <c r="L474" s="1158"/>
      <c r="M474" s="1158"/>
      <c r="N474" s="1158"/>
      <c r="O474" s="1158"/>
      <c r="P474" s="1158"/>
      <c r="Q474" s="1159"/>
      <c r="R474" s="476"/>
      <c r="S474" s="481"/>
      <c r="T474" s="482"/>
      <c r="U474" s="476"/>
      <c r="V474" s="476"/>
      <c r="W474" s="466"/>
      <c r="X474" s="466"/>
      <c r="Y474" s="466"/>
      <c r="Z474" s="466"/>
      <c r="AA474" s="466"/>
      <c r="AB474" s="466"/>
      <c r="AC474" s="466"/>
      <c r="AD474" s="471"/>
    </row>
    <row r="475" spans="1:30" ht="26.25" customHeight="1" x14ac:dyDescent="0.25">
      <c r="A475" s="1160"/>
      <c r="B475" s="1161"/>
      <c r="C475" s="1161"/>
      <c r="D475" s="1161"/>
      <c r="E475" s="1161"/>
      <c r="F475" s="1161"/>
      <c r="G475" s="1161"/>
      <c r="H475" s="1161"/>
      <c r="I475" s="1161"/>
      <c r="J475" s="1161"/>
      <c r="K475" s="1161"/>
      <c r="L475" s="1161"/>
      <c r="M475" s="1161"/>
      <c r="N475" s="1161"/>
      <c r="O475" s="1161"/>
      <c r="P475" s="1161"/>
      <c r="Q475" s="1162"/>
      <c r="R475" s="195"/>
      <c r="S475" s="483" t="str">
        <f>IF(ISBLANK(A475),"",CONCATENATE(S474,A475))</f>
        <v/>
      </c>
      <c r="T475" s="438" t="s">
        <v>195</v>
      </c>
      <c r="U475" s="195"/>
      <c r="V475" s="195"/>
      <c r="W475" s="466"/>
      <c r="X475" s="466"/>
      <c r="Y475" s="466"/>
      <c r="Z475" s="466"/>
      <c r="AA475" s="466"/>
      <c r="AB475" s="466"/>
      <c r="AC475" s="466"/>
      <c r="AD475" s="471"/>
    </row>
    <row r="476" spans="1:30" ht="26.25" customHeight="1" thickBot="1" x14ac:dyDescent="0.25">
      <c r="A476" s="1163"/>
      <c r="B476" s="1164"/>
      <c r="C476" s="1164"/>
      <c r="D476" s="1164"/>
      <c r="E476" s="1164"/>
      <c r="F476" s="1164"/>
      <c r="G476" s="1164"/>
      <c r="H476" s="1164"/>
      <c r="I476" s="1164"/>
      <c r="J476" s="1164"/>
      <c r="K476" s="1164"/>
      <c r="L476" s="1164"/>
      <c r="M476" s="1164"/>
      <c r="N476" s="1164"/>
      <c r="O476" s="1164"/>
      <c r="P476" s="1164"/>
      <c r="Q476" s="1165"/>
      <c r="R476" s="195"/>
      <c r="S476" s="210"/>
      <c r="T476" s="210"/>
      <c r="U476" s="210"/>
      <c r="V476" s="210"/>
      <c r="W476" s="210"/>
      <c r="X476" s="466"/>
      <c r="Y476" s="466"/>
      <c r="Z476" s="466"/>
      <c r="AA476" s="466"/>
      <c r="AB476" s="466"/>
      <c r="AC476" s="466"/>
      <c r="AD476" s="210"/>
    </row>
    <row r="477" spans="1:30" ht="26.25" customHeight="1" x14ac:dyDescent="0.2">
      <c r="A477" s="484" t="e">
        <f>$A$1</f>
        <v>#N/A</v>
      </c>
      <c r="B477" s="210"/>
      <c r="C477" s="210"/>
      <c r="D477" s="210"/>
      <c r="E477" s="210"/>
      <c r="F477" s="210"/>
      <c r="G477" s="210"/>
      <c r="H477" s="210"/>
      <c r="I477" s="210"/>
      <c r="J477" s="210"/>
      <c r="K477" s="210"/>
      <c r="L477" s="210"/>
      <c r="M477" s="210"/>
      <c r="N477" s="210"/>
      <c r="O477" s="210"/>
      <c r="P477" s="954"/>
      <c r="Q477" s="954"/>
      <c r="R477" s="474"/>
      <c r="S477" s="474"/>
      <c r="T477" s="474"/>
      <c r="U477" s="474"/>
      <c r="V477" s="474"/>
      <c r="W477" s="464"/>
      <c r="X477" s="466"/>
      <c r="Y477" s="466"/>
      <c r="Z477" s="466"/>
      <c r="AA477" s="466"/>
      <c r="AB477" s="466"/>
      <c r="AC477" s="466"/>
      <c r="AD477" s="210"/>
    </row>
    <row r="478" spans="1:30" ht="26.25" customHeight="1" thickBot="1" x14ac:dyDescent="0.25">
      <c r="A478" s="1259" t="s">
        <v>644</v>
      </c>
      <c r="B478" s="1260"/>
      <c r="C478" s="1260"/>
      <c r="D478" s="1260"/>
      <c r="E478" s="1260"/>
      <c r="F478" s="1260"/>
      <c r="G478" s="1260"/>
      <c r="H478" s="1260"/>
      <c r="I478" s="1260"/>
      <c r="J478" s="1260"/>
      <c r="K478" s="1260"/>
      <c r="L478" s="1260"/>
      <c r="M478" s="1260"/>
      <c r="N478" s="1261" t="str">
        <f>$N$5</f>
        <v>2019 Report Year</v>
      </c>
      <c r="O478" s="1262"/>
      <c r="P478" s="1262"/>
      <c r="Q478" s="1262"/>
      <c r="R478" s="480"/>
      <c r="S478" s="480"/>
      <c r="T478" s="480"/>
      <c r="U478" s="480"/>
      <c r="V478" s="480"/>
      <c r="W478" s="466"/>
      <c r="X478" s="466"/>
      <c r="Y478" s="466"/>
      <c r="Z478" s="466"/>
      <c r="AA478" s="466"/>
      <c r="AB478" s="466"/>
      <c r="AC478" s="466"/>
      <c r="AD478" s="210"/>
    </row>
    <row r="479" spans="1:30" ht="26.25" customHeight="1" x14ac:dyDescent="0.2">
      <c r="A479" s="1246" t="e">
        <f>IF(AND(OR(ISNA(cap_exp_contact),TRIM(cap_exp_contact)=""),NOT(ISBLANK(code_7594))),"The Capital Expenditure Contact information has NOT been provided.  Please complete this information now.","")</f>
        <v>#N/A</v>
      </c>
      <c r="B479" s="1247"/>
      <c r="C479" s="1247"/>
      <c r="D479" s="1247"/>
      <c r="E479" s="1247"/>
      <c r="F479" s="1247"/>
      <c r="G479" s="1247"/>
      <c r="H479" s="1247"/>
      <c r="I479" s="1247"/>
      <c r="J479" s="1247"/>
      <c r="K479" s="1247"/>
      <c r="L479" s="1247"/>
      <c r="M479" s="1247"/>
      <c r="N479" s="422" t="s">
        <v>609</v>
      </c>
      <c r="O479" s="423" t="e">
        <f>$O$6</f>
        <v>#N/A</v>
      </c>
      <c r="P479" s="424" t="s">
        <v>610</v>
      </c>
      <c r="Q479" s="425"/>
      <c r="R479" s="325"/>
      <c r="S479" s="210"/>
      <c r="T479" s="210"/>
      <c r="U479" s="210"/>
      <c r="V479" s="210"/>
      <c r="W479" s="466"/>
      <c r="X479" s="466"/>
      <c r="Y479" s="466"/>
      <c r="Z479" s="466"/>
      <c r="AA479" s="466"/>
      <c r="AB479" s="466"/>
      <c r="AC479" s="466"/>
      <c r="AD479" s="210"/>
    </row>
    <row r="480" spans="1:30" ht="26.25" customHeight="1" thickBot="1" x14ac:dyDescent="0.25">
      <c r="A480" s="1248" t="s">
        <v>197</v>
      </c>
      <c r="B480" s="1249"/>
      <c r="C480" s="1249"/>
      <c r="D480" s="1249"/>
      <c r="E480" s="1250"/>
      <c r="F480" s="1251"/>
      <c r="G480" s="1251"/>
      <c r="H480" s="1251"/>
      <c r="I480" s="1251"/>
      <c r="J480" s="1251"/>
      <c r="K480" s="1251"/>
      <c r="L480" s="1252"/>
      <c r="M480" s="427"/>
      <c r="N480" s="1253" t="s">
        <v>611</v>
      </c>
      <c r="O480" s="1254"/>
      <c r="P480" s="1254"/>
      <c r="Q480" s="1255"/>
      <c r="R480" s="325"/>
      <c r="S480" s="428" t="str">
        <f>IF(ISBLANK(E480),"",E480)</f>
        <v/>
      </c>
      <c r="T480" s="154" t="s">
        <v>501</v>
      </c>
      <c r="U480" s="325"/>
      <c r="V480" s="325"/>
      <c r="W480" s="466"/>
      <c r="X480" s="466"/>
      <c r="Y480" s="466"/>
      <c r="Z480" s="466"/>
      <c r="AA480" s="466"/>
      <c r="AB480" s="466"/>
      <c r="AC480" s="466"/>
      <c r="AD480" s="210"/>
    </row>
    <row r="481" spans="1:30" ht="26.25" customHeight="1" x14ac:dyDescent="0.2">
      <c r="A481" s="1256" t="s">
        <v>612</v>
      </c>
      <c r="B481" s="1257"/>
      <c r="C481" s="1257"/>
      <c r="D481" s="1258"/>
      <c r="E481" s="1234"/>
      <c r="F481" s="1235"/>
      <c r="G481" s="1235"/>
      <c r="H481" s="1235"/>
      <c r="I481" s="1235"/>
      <c r="J481" s="1235"/>
      <c r="K481" s="1235"/>
      <c r="L481" s="1236"/>
      <c r="M481" s="1237" t="str">
        <f>IF(AND(ISBLANK(E481),OR(NOT(ISBLANK(E482)),NOT(ISBLANK(E483)),NOT(ISBLANK(E484)),NOT(ISBLANK(I485)),NOT(ISBLANK(A487)))),"This information is required.","")</f>
        <v/>
      </c>
      <c r="N481" s="1238"/>
      <c r="O481" s="1238"/>
      <c r="P481" s="1238"/>
      <c r="Q481" s="429"/>
      <c r="R481" s="325"/>
      <c r="S481" s="428" t="str">
        <f>IF(ISBLANK(E481),"",E481)</f>
        <v/>
      </c>
      <c r="T481" s="154" t="s">
        <v>185</v>
      </c>
      <c r="U481" s="325"/>
      <c r="V481" s="325"/>
      <c r="W481" s="466"/>
      <c r="X481" s="466"/>
      <c r="Y481" s="466"/>
      <c r="Z481" s="466"/>
      <c r="AA481" s="466"/>
      <c r="AB481" s="466"/>
      <c r="AC481" s="466"/>
      <c r="AD481" s="210"/>
    </row>
    <row r="482" spans="1:30" ht="26.25" customHeight="1" x14ac:dyDescent="0.2">
      <c r="A482" s="1222" t="s">
        <v>613</v>
      </c>
      <c r="B482" s="1223"/>
      <c r="C482" s="1223"/>
      <c r="D482" s="1224"/>
      <c r="E482" s="1234"/>
      <c r="F482" s="1235"/>
      <c r="G482" s="1235"/>
      <c r="H482" s="1235"/>
      <c r="I482" s="1235"/>
      <c r="J482" s="1235"/>
      <c r="K482" s="1235"/>
      <c r="L482" s="1236"/>
      <c r="M482" s="1237" t="str">
        <f>IF(AND(ISBLANK(E482),OR(NOT(ISBLANK(E481)),NOT(ISBLANK(E483)),NOT(ISBLANK(E484)),NOT(ISBLANK(I485)),NOT(ISBLANK(A487)))),"This information is required.","")</f>
        <v/>
      </c>
      <c r="N482" s="1238"/>
      <c r="O482" s="1238"/>
      <c r="P482" s="1238"/>
      <c r="Q482" s="429"/>
      <c r="R482" s="325"/>
      <c r="S482" s="428" t="str">
        <f>IF(ISBLANK(E482),"",E482)</f>
        <v/>
      </c>
      <c r="T482" s="154" t="s">
        <v>186</v>
      </c>
      <c r="U482" s="325"/>
      <c r="V482" s="325"/>
      <c r="W482" s="466"/>
      <c r="X482" s="466"/>
      <c r="Y482" s="466"/>
      <c r="Z482" s="466"/>
      <c r="AA482" s="210"/>
      <c r="AB482" s="210"/>
      <c r="AC482" s="210"/>
      <c r="AD482" s="210"/>
    </row>
    <row r="483" spans="1:30" ht="26.25" customHeight="1" x14ac:dyDescent="0.2">
      <c r="A483" s="1239" t="s">
        <v>614</v>
      </c>
      <c r="B483" s="1240"/>
      <c r="C483" s="1240"/>
      <c r="D483" s="1241"/>
      <c r="E483" s="1242"/>
      <c r="F483" s="1243"/>
      <c r="G483" s="1244" t="s">
        <v>615</v>
      </c>
      <c r="H483" s="1244"/>
      <c r="I483" s="1244"/>
      <c r="J483" s="1244"/>
      <c r="K483" s="1244"/>
      <c r="L483" s="1244"/>
      <c r="M483" s="1245" t="str">
        <f>IF(AND(ISBLANK(E483),OR(NOT(ISBLANK(E481)),NOT(ISBLANK(E482)),NOT(ISBLANK(E484)),NOT(ISBLANK(I485)),NOT(ISBLANK(A487)))),"This information is required.","")</f>
        <v/>
      </c>
      <c r="N483" s="1089"/>
      <c r="O483" s="1089"/>
      <c r="P483" s="1089"/>
      <c r="Q483" s="430"/>
      <c r="R483" s="431"/>
      <c r="S483" s="432" t="str">
        <f>IF(ISBLANK(E483),"",E483)</f>
        <v/>
      </c>
      <c r="T483" s="433" t="s">
        <v>188</v>
      </c>
      <c r="U483" s="431"/>
      <c r="V483" s="431"/>
      <c r="W483" s="466"/>
      <c r="X483" s="474"/>
      <c r="Y483" s="474"/>
      <c r="Z483" s="474"/>
      <c r="AA483" s="468"/>
      <c r="AB483" s="468"/>
      <c r="AC483" s="468"/>
      <c r="AD483" s="210"/>
    </row>
    <row r="484" spans="1:30" ht="26.25" customHeight="1" x14ac:dyDescent="0.2">
      <c r="A484" s="1222" t="s">
        <v>616</v>
      </c>
      <c r="B484" s="1223"/>
      <c r="C484" s="1223"/>
      <c r="D484" s="1224"/>
      <c r="E484" s="1225"/>
      <c r="F484" s="1226"/>
      <c r="G484" s="434"/>
      <c r="H484" s="435"/>
      <c r="I484" s="436"/>
      <c r="J484" s="431"/>
      <c r="K484" s="431"/>
      <c r="L484" s="431"/>
      <c r="M484" s="1089" t="str">
        <f>IF(AND(ISBLANK(E484),OR(NOT(ISBLANK(E481)),NOT(ISBLANK(E482)),NOT(ISBLANK(E483)),NOT(ISBLANK(I485)),NOT(ISBLANK(A487)))),"This information is required.","")</f>
        <v/>
      </c>
      <c r="N484" s="1089"/>
      <c r="O484" s="1089"/>
      <c r="P484" s="1089"/>
      <c r="Q484" s="430"/>
      <c r="R484" s="392"/>
      <c r="S484" s="437" t="str">
        <f>IF(ISBLANK(E484),"",E484)</f>
        <v/>
      </c>
      <c r="T484" s="438" t="s">
        <v>189</v>
      </c>
      <c r="U484" s="392"/>
      <c r="V484" s="392"/>
      <c r="W484" s="466"/>
      <c r="X484" s="480"/>
      <c r="Y484" s="480"/>
      <c r="Z484" s="480"/>
      <c r="AA484" s="466"/>
      <c r="AB484" s="466"/>
      <c r="AC484" s="466"/>
      <c r="AD484" s="210"/>
    </row>
    <row r="485" spans="1:30" ht="26.25" customHeight="1" thickBot="1" x14ac:dyDescent="0.25">
      <c r="A485" s="1227" t="s">
        <v>617</v>
      </c>
      <c r="B485" s="1228"/>
      <c r="C485" s="1228"/>
      <c r="D485" s="1228"/>
      <c r="E485" s="1229"/>
      <c r="F485" s="1229"/>
      <c r="G485" s="1229"/>
      <c r="H485" s="1229"/>
      <c r="I485" s="1230"/>
      <c r="J485" s="1230"/>
      <c r="K485" s="1231" t="s">
        <v>618</v>
      </c>
      <c r="L485" s="1232"/>
      <c r="M485" s="1233" t="str">
        <f>IF(AND(ISBLANK(I485),OR(NOT(ISBLANK(E481)),NOT(ISBLANK(E482)),NOT(ISBLANK(E483)),NOT(ISBLANK(E484)),NOT(ISBLANK(A487)))),"This information is required!","")</f>
        <v/>
      </c>
      <c r="N485" s="1233"/>
      <c r="O485" s="1233"/>
      <c r="P485" s="1233"/>
      <c r="Q485" s="439"/>
      <c r="R485" s="392"/>
      <c r="S485" s="437" t="str">
        <f>IF(ISBLANK(I485),"",I485)</f>
        <v/>
      </c>
      <c r="T485" s="438" t="s">
        <v>190</v>
      </c>
      <c r="U485" s="440"/>
      <c r="V485" s="440"/>
      <c r="W485" s="466"/>
      <c r="X485" s="210"/>
      <c r="Y485" s="210"/>
      <c r="Z485" s="210"/>
      <c r="AA485" s="466"/>
      <c r="AB485" s="466"/>
      <c r="AC485" s="466"/>
      <c r="AD485" s="210"/>
    </row>
    <row r="486" spans="1:30" ht="26.25" customHeight="1" x14ac:dyDescent="0.2">
      <c r="A486" s="1148" t="s">
        <v>620</v>
      </c>
      <c r="B486" s="1149"/>
      <c r="C486" s="1149"/>
      <c r="D486" s="1149"/>
      <c r="E486" s="1149"/>
      <c r="F486" s="1149"/>
      <c r="G486" s="1149"/>
      <c r="H486" s="1149"/>
      <c r="I486" s="1149"/>
      <c r="J486" s="1214"/>
      <c r="K486" s="1215" t="s">
        <v>693</v>
      </c>
      <c r="L486" s="1215"/>
      <c r="M486" s="1215"/>
      <c r="N486" s="1215"/>
      <c r="O486" s="1217" t="s">
        <v>621</v>
      </c>
      <c r="P486" s="1217"/>
      <c r="Q486" s="1218"/>
      <c r="R486" s="431"/>
      <c r="S486" s="437" t="str">
        <f>IF(ISBLANK(A487),"",A487)</f>
        <v/>
      </c>
      <c r="T486" s="438" t="s">
        <v>191</v>
      </c>
      <c r="U486" s="442"/>
      <c r="V486" s="442"/>
      <c r="W486" s="466"/>
      <c r="X486" s="210"/>
      <c r="Y486" s="210"/>
      <c r="Z486" s="210"/>
      <c r="AA486" s="466"/>
      <c r="AB486" s="466"/>
      <c r="AC486" s="466"/>
      <c r="AD486" s="210"/>
    </row>
    <row r="487" spans="1:30" ht="26.25" customHeight="1" x14ac:dyDescent="0.2">
      <c r="A487" s="1160"/>
      <c r="B487" s="1161"/>
      <c r="C487" s="1161"/>
      <c r="D487" s="1161"/>
      <c r="E487" s="1161"/>
      <c r="F487" s="1161"/>
      <c r="G487" s="1161"/>
      <c r="H487" s="1161"/>
      <c r="I487" s="1161"/>
      <c r="J487" s="1202"/>
      <c r="K487" s="1216"/>
      <c r="L487" s="1216"/>
      <c r="M487" s="1216"/>
      <c r="N487" s="1216"/>
      <c r="O487" s="443"/>
      <c r="P487" s="229" t="s">
        <v>269</v>
      </c>
      <c r="Q487" s="444" t="s">
        <v>270</v>
      </c>
      <c r="R487" s="431"/>
      <c r="S487" s="437" t="str">
        <f>IF(ISBLANK(A490),"",A490)</f>
        <v/>
      </c>
      <c r="T487" s="445" t="s">
        <v>192</v>
      </c>
      <c r="U487" s="442"/>
      <c r="V487" s="442"/>
      <c r="W487" s="474"/>
      <c r="X487" s="210"/>
      <c r="Y487" s="210"/>
      <c r="Z487" s="210"/>
      <c r="AA487" s="466"/>
      <c r="AB487" s="466"/>
      <c r="AC487" s="466"/>
      <c r="AD487" s="210"/>
    </row>
    <row r="488" spans="1:30" ht="26.25" customHeight="1" x14ac:dyDescent="0.2">
      <c r="A488" s="1176"/>
      <c r="B488" s="1177"/>
      <c r="C488" s="1177"/>
      <c r="D488" s="1177"/>
      <c r="E488" s="1177"/>
      <c r="F488" s="1177"/>
      <c r="G488" s="1177"/>
      <c r="H488" s="1177"/>
      <c r="I488" s="1177"/>
      <c r="J488" s="1203"/>
      <c r="K488" s="1204" t="s">
        <v>622</v>
      </c>
      <c r="L488" s="1205"/>
      <c r="M488" s="1205"/>
      <c r="N488" s="1205"/>
      <c r="O488" s="1206"/>
      <c r="P488" s="451"/>
      <c r="Q488" s="487"/>
      <c r="R488" s="440" t="str">
        <f>IF(COUNTBLANK(P488:Q488)=2,"Please enter response.",IF(COUNTBLANK(P488:Q488)&lt;&gt;1,"Please VERIFY response.",""))</f>
        <v>Please enter response.</v>
      </c>
      <c r="S488" s="452" t="str">
        <f>IF(AND(ISBLANK(P488),ISBLANK(Q488)),"",IF(ISBLANK(P488),0,1))</f>
        <v/>
      </c>
      <c r="T488" s="251" t="s">
        <v>592</v>
      </c>
      <c r="U488" s="213"/>
      <c r="V488" s="213"/>
      <c r="W488" s="480"/>
      <c r="X488" s="210"/>
      <c r="Y488" s="210"/>
      <c r="Z488" s="210"/>
      <c r="AA488" s="466"/>
      <c r="AB488" s="466"/>
      <c r="AC488" s="466"/>
      <c r="AD488" s="210"/>
    </row>
    <row r="489" spans="1:30" ht="26.25" customHeight="1" x14ac:dyDescent="0.2">
      <c r="A489" s="1219" t="s">
        <v>623</v>
      </c>
      <c r="B489" s="1220"/>
      <c r="C489" s="1220"/>
      <c r="D489" s="1220"/>
      <c r="E489" s="1220"/>
      <c r="F489" s="1220"/>
      <c r="G489" s="1220"/>
      <c r="H489" s="1220"/>
      <c r="I489" s="1220"/>
      <c r="J489" s="1221"/>
      <c r="K489" s="1204" t="s">
        <v>624</v>
      </c>
      <c r="L489" s="1205"/>
      <c r="M489" s="1205"/>
      <c r="N489" s="1205"/>
      <c r="O489" s="1206"/>
      <c r="P489" s="451"/>
      <c r="Q489" s="487"/>
      <c r="R489" s="440" t="str">
        <f>IF(COUNTBLANK(P489:Q489)=2,"Please enter response.",IF(COUNTBLANK(P489:Q489)&lt;&gt;1,"Please VERIFY response.",""))</f>
        <v>Please enter response.</v>
      </c>
      <c r="S489" s="452" t="str">
        <f>IF(AND(ISBLANK(P489),ISBLANK(Q489)),"",IF(ISBLANK(P489),0,1))</f>
        <v/>
      </c>
      <c r="T489" s="251" t="s">
        <v>593</v>
      </c>
      <c r="U489" s="213"/>
      <c r="V489" s="213"/>
      <c r="W489" s="210"/>
      <c r="X489" s="210"/>
      <c r="Y489" s="210"/>
      <c r="Z489" s="210"/>
      <c r="AA489" s="466"/>
      <c r="AB489" s="466"/>
      <c r="AC489" s="466"/>
      <c r="AD489" s="210"/>
    </row>
    <row r="490" spans="1:30" ht="26.25" customHeight="1" x14ac:dyDescent="0.2">
      <c r="A490" s="1160"/>
      <c r="B490" s="1161"/>
      <c r="C490" s="1161"/>
      <c r="D490" s="1161"/>
      <c r="E490" s="1161"/>
      <c r="F490" s="1161"/>
      <c r="G490" s="1161"/>
      <c r="H490" s="1161"/>
      <c r="I490" s="1161"/>
      <c r="J490" s="1202"/>
      <c r="K490" s="1204" t="s">
        <v>625</v>
      </c>
      <c r="L490" s="1205"/>
      <c r="M490" s="1205"/>
      <c r="N490" s="1205"/>
      <c r="O490" s="1206"/>
      <c r="P490" s="451"/>
      <c r="Q490" s="487"/>
      <c r="R490" s="440" t="str">
        <f>IF(COUNTBLANK(P490:Q490)=2,"Please enter response.",IF(COUNTBLANK(P490:Q490)&lt;&gt;1,"Please VERIFY response.",""))</f>
        <v>Please enter response.</v>
      </c>
      <c r="S490" s="452" t="str">
        <f>IF(AND(ISBLANK(P490),ISBLANK(Q490)),"",IF(ISBLANK(P490),0,1))</f>
        <v/>
      </c>
      <c r="T490" s="251" t="s">
        <v>594</v>
      </c>
      <c r="U490" s="213"/>
      <c r="V490" s="213"/>
      <c r="W490" s="210"/>
      <c r="X490" s="431"/>
      <c r="Y490" s="431"/>
      <c r="Z490" s="431"/>
      <c r="AA490" s="466"/>
      <c r="AB490" s="466"/>
      <c r="AC490" s="466"/>
      <c r="AD490" s="210"/>
    </row>
    <row r="491" spans="1:30" ht="26.25" customHeight="1" x14ac:dyDescent="0.2">
      <c r="A491" s="1176"/>
      <c r="B491" s="1177"/>
      <c r="C491" s="1177"/>
      <c r="D491" s="1177"/>
      <c r="E491" s="1177"/>
      <c r="F491" s="1177"/>
      <c r="G491" s="1177"/>
      <c r="H491" s="1177"/>
      <c r="I491" s="1177"/>
      <c r="J491" s="1203"/>
      <c r="K491" s="1204" t="s">
        <v>626</v>
      </c>
      <c r="L491" s="1205"/>
      <c r="M491" s="1205"/>
      <c r="N491" s="1205"/>
      <c r="O491" s="1206"/>
      <c r="P491" s="451"/>
      <c r="Q491" s="487"/>
      <c r="R491" s="440" t="str">
        <f>IF(COUNTBLANK(P491:Q491)=2,"Please enter response.",IF(COUNTBLANK(P491:Q491)&lt;&gt;1,"Please VERIFY response.",""))</f>
        <v>Please enter response.</v>
      </c>
      <c r="S491" s="452" t="str">
        <f>IF(AND(ISBLANK(P491),ISBLANK(Q491)),"",IF(ISBLANK(P491),0,1))</f>
        <v/>
      </c>
      <c r="T491" s="251" t="s">
        <v>595</v>
      </c>
      <c r="U491" s="213"/>
      <c r="V491" s="213"/>
      <c r="W491" s="210"/>
      <c r="X491" s="210"/>
      <c r="Y491" s="210"/>
      <c r="Z491" s="210"/>
      <c r="AA491" s="466"/>
      <c r="AB491" s="466"/>
      <c r="AC491" s="466"/>
      <c r="AD491" s="210"/>
    </row>
    <row r="492" spans="1:30" ht="26.25" customHeight="1" x14ac:dyDescent="0.2">
      <c r="A492" s="1207" t="s">
        <v>627</v>
      </c>
      <c r="B492" s="1208"/>
      <c r="C492" s="1208"/>
      <c r="D492" s="1208"/>
      <c r="E492" s="1208"/>
      <c r="F492" s="1208"/>
      <c r="G492" s="1208"/>
      <c r="H492" s="1208"/>
      <c r="I492" s="1208"/>
      <c r="J492" s="1208"/>
      <c r="K492" s="1208"/>
      <c r="L492" s="1208"/>
      <c r="M492" s="1208"/>
      <c r="N492" s="1208"/>
      <c r="O492" s="1208"/>
      <c r="P492" s="1208"/>
      <c r="Q492" s="1209"/>
      <c r="R492" s="454"/>
      <c r="S492" s="463"/>
      <c r="T492" s="454"/>
      <c r="U492" s="454"/>
      <c r="V492" s="454"/>
      <c r="W492" s="210"/>
      <c r="X492" s="210"/>
      <c r="Y492" s="210"/>
      <c r="Z492" s="210"/>
      <c r="AA492" s="466"/>
      <c r="AB492" s="466"/>
      <c r="AC492" s="466"/>
      <c r="AD492" s="210"/>
    </row>
    <row r="493" spans="1:30" ht="26.25" customHeight="1" x14ac:dyDescent="0.2">
      <c r="A493" s="1210" t="s">
        <v>628</v>
      </c>
      <c r="B493" s="1211"/>
      <c r="C493" s="1211"/>
      <c r="D493" s="1211"/>
      <c r="E493" s="1211" t="s">
        <v>629</v>
      </c>
      <c r="F493" s="1211"/>
      <c r="G493" s="1211"/>
      <c r="H493" s="1211"/>
      <c r="I493" s="1211" t="s">
        <v>630</v>
      </c>
      <c r="J493" s="1211"/>
      <c r="K493" s="1211"/>
      <c r="L493" s="1211"/>
      <c r="M493" s="1212" t="s">
        <v>631</v>
      </c>
      <c r="N493" s="1211"/>
      <c r="O493" s="1211"/>
      <c r="P493" s="1211"/>
      <c r="Q493" s="1213"/>
      <c r="R493" s="459"/>
      <c r="S493" s="1195" t="s">
        <v>632</v>
      </c>
      <c r="T493" s="1195"/>
      <c r="U493" s="1195"/>
      <c r="V493" s="1195"/>
      <c r="W493" s="210"/>
      <c r="X493" s="210"/>
      <c r="Y493" s="210"/>
      <c r="Z493" s="210"/>
      <c r="AA493" s="210"/>
      <c r="AB493" s="210"/>
      <c r="AC493" s="210"/>
      <c r="AD493" s="210"/>
    </row>
    <row r="494" spans="1:30" ht="26.25" customHeight="1" thickBot="1" x14ac:dyDescent="0.25">
      <c r="A494" s="1196"/>
      <c r="B494" s="815"/>
      <c r="C494" s="815"/>
      <c r="D494" s="815"/>
      <c r="E494" s="815"/>
      <c r="F494" s="815"/>
      <c r="G494" s="815"/>
      <c r="H494" s="815"/>
      <c r="I494" s="815"/>
      <c r="J494" s="815"/>
      <c r="K494" s="815"/>
      <c r="L494" s="815"/>
      <c r="M494" s="1197"/>
      <c r="N494" s="1197"/>
      <c r="O494" s="1197"/>
      <c r="P494" s="1197"/>
      <c r="Q494" s="1198"/>
      <c r="R494" s="454"/>
      <c r="S494" s="467" t="str">
        <f>IF(ISBLANK(A494),"",VLOOKUP(A494,VProjType,2,FALSE))</f>
        <v/>
      </c>
      <c r="T494" s="467" t="str">
        <f>IF(ISBLANK(E494),"",VLOOKUP(E494,VSubtype1,2,FALSE))</f>
        <v/>
      </c>
      <c r="U494" s="467" t="str">
        <f>IF(ISBLANK(I494),"",VLOOKUP(I494,VSubtype2,2,FALSE))</f>
        <v/>
      </c>
      <c r="V494" s="467" t="str">
        <f>IF(ISBLANK(M494),"",VLOOKUP(M494,VSubtype3,2,FALSE))</f>
        <v/>
      </c>
      <c r="W494" s="431"/>
      <c r="X494" s="431"/>
      <c r="Y494" s="431"/>
      <c r="Z494" s="431"/>
      <c r="AA494" s="464"/>
      <c r="AB494" s="464"/>
      <c r="AC494" s="464"/>
      <c r="AD494" s="210"/>
    </row>
    <row r="495" spans="1:30" ht="26.25" customHeight="1" x14ac:dyDescent="0.2">
      <c r="A495" s="1199" t="s">
        <v>634</v>
      </c>
      <c r="B495" s="1200"/>
      <c r="C495" s="1200"/>
      <c r="D495" s="1200"/>
      <c r="E495" s="1200"/>
      <c r="F495" s="1200"/>
      <c r="G495" s="1200"/>
      <c r="H495" s="1200"/>
      <c r="I495" s="1200"/>
      <c r="J495" s="1200"/>
      <c r="K495" s="1200"/>
      <c r="L495" s="1200"/>
      <c r="M495" s="1200"/>
      <c r="N495" s="1200"/>
      <c r="O495" s="1200"/>
      <c r="P495" s="1200"/>
      <c r="Q495" s="1201"/>
      <c r="R495" s="464"/>
      <c r="S495" s="468" t="s">
        <v>635</v>
      </c>
      <c r="T495" s="464"/>
      <c r="U495" s="464"/>
      <c r="V495" s="464"/>
      <c r="W495" s="210"/>
      <c r="X495" s="466"/>
      <c r="Y495" s="466"/>
      <c r="Z495" s="466"/>
      <c r="AA495" s="466"/>
      <c r="AB495" s="466"/>
      <c r="AC495" s="466"/>
      <c r="AD495" s="210"/>
    </row>
    <row r="496" spans="1:30" ht="26.25" customHeight="1" x14ac:dyDescent="0.2">
      <c r="A496" s="1166" t="s">
        <v>636</v>
      </c>
      <c r="B496" s="1167"/>
      <c r="C496" s="1167"/>
      <c r="D496" s="1167"/>
      <c r="E496" s="1167"/>
      <c r="F496" s="1167"/>
      <c r="G496" s="1167"/>
      <c r="H496" s="1167"/>
      <c r="I496" s="1167"/>
      <c r="J496" s="1167"/>
      <c r="K496" s="1167"/>
      <c r="L496" s="1168"/>
      <c r="M496" s="1169"/>
      <c r="N496" s="1170"/>
      <c r="O496" s="1170"/>
      <c r="P496" s="1170"/>
      <c r="Q496" s="1171"/>
      <c r="R496" s="464"/>
      <c r="S496" s="469" t="str">
        <f>IF(ISBLANK(M496),"",VLOOKUP(M496,VRemote,2,FALSE))</f>
        <v/>
      </c>
      <c r="T496" s="470" t="s">
        <v>637</v>
      </c>
      <c r="U496" s="464"/>
      <c r="V496" s="464"/>
      <c r="W496" s="210"/>
      <c r="X496" s="466"/>
      <c r="Y496" s="466"/>
      <c r="Z496" s="466"/>
      <c r="AA496" s="466"/>
      <c r="AB496" s="466"/>
      <c r="AC496" s="466"/>
      <c r="AD496" s="210"/>
    </row>
    <row r="497" spans="1:38" ht="26.25" customHeight="1" x14ac:dyDescent="0.2">
      <c r="A497" s="1166" t="s">
        <v>638</v>
      </c>
      <c r="B497" s="1167"/>
      <c r="C497" s="1167"/>
      <c r="D497" s="1167"/>
      <c r="E497" s="1167"/>
      <c r="F497" s="1167"/>
      <c r="G497" s="1167"/>
      <c r="H497" s="1167"/>
      <c r="I497" s="1167"/>
      <c r="J497" s="1167"/>
      <c r="K497" s="1167"/>
      <c r="L497" s="1167"/>
      <c r="M497" s="1169"/>
      <c r="N497" s="1170"/>
      <c r="O497" s="1170"/>
      <c r="P497" s="1170"/>
      <c r="Q497" s="1171"/>
      <c r="R497" s="466"/>
      <c r="S497" s="469" t="str">
        <f>IF(ISBLANK(M497),"",VLOOKUP(M497,VCapacity,2,FALSE))</f>
        <v/>
      </c>
      <c r="T497" s="162" t="s">
        <v>639</v>
      </c>
      <c r="U497" s="466"/>
      <c r="V497" s="466"/>
      <c r="W497" s="210"/>
      <c r="X497" s="466"/>
      <c r="Y497" s="466"/>
      <c r="Z497" s="466"/>
      <c r="AA497" s="466"/>
      <c r="AB497" s="466"/>
      <c r="AC497" s="466"/>
      <c r="AD497" s="210"/>
    </row>
    <row r="498" spans="1:38" ht="26.25" customHeight="1" x14ac:dyDescent="0.2">
      <c r="A498" s="1166" t="s">
        <v>640</v>
      </c>
      <c r="B498" s="1167"/>
      <c r="C498" s="1167"/>
      <c r="D498" s="1167"/>
      <c r="E498" s="1167"/>
      <c r="F498" s="1167"/>
      <c r="G498" s="1167"/>
      <c r="H498" s="1167"/>
      <c r="I498" s="1167"/>
      <c r="J498" s="1167"/>
      <c r="K498" s="1167"/>
      <c r="L498" s="1167"/>
      <c r="M498" s="1169"/>
      <c r="N498" s="1170"/>
      <c r="O498" s="1170"/>
      <c r="P498" s="1170"/>
      <c r="Q498" s="1171"/>
      <c r="R498" s="466"/>
      <c r="S498" s="469" t="str">
        <f>IF(ISBLANK(M498),"",VLOOKUP(M498,VPriorCap,2,FALSE))</f>
        <v/>
      </c>
      <c r="T498" s="162" t="s">
        <v>641</v>
      </c>
      <c r="U498" s="466"/>
      <c r="V498" s="466"/>
      <c r="W498" s="431"/>
      <c r="X498" s="466"/>
      <c r="Y498" s="466"/>
      <c r="Z498" s="466"/>
      <c r="AA498" s="466"/>
      <c r="AB498" s="466"/>
      <c r="AC498" s="466"/>
      <c r="AD498" s="210"/>
    </row>
    <row r="499" spans="1:38" ht="26.25" customHeight="1" x14ac:dyDescent="0.2">
      <c r="A499" s="1183" t="s">
        <v>643</v>
      </c>
      <c r="B499" s="1184"/>
      <c r="C499" s="1184"/>
      <c r="D499" s="1184"/>
      <c r="E499" s="1184"/>
      <c r="F499" s="1184"/>
      <c r="G499" s="1184"/>
      <c r="H499" s="1184"/>
      <c r="I499" s="1184"/>
      <c r="J499" s="1184"/>
      <c r="K499" s="1184"/>
      <c r="L499" s="1184"/>
      <c r="M499" s="1184"/>
      <c r="N499" s="1184"/>
      <c r="O499" s="1184"/>
      <c r="P499" s="1184"/>
      <c r="Q499" s="1185"/>
      <c r="R499" s="466"/>
      <c r="S499" s="472" t="str">
        <f>IF(ISBLANK(A500),"",A500)</f>
        <v/>
      </c>
      <c r="T499" s="162" t="s">
        <v>589</v>
      </c>
      <c r="U499" s="466"/>
      <c r="V499" s="466"/>
      <c r="W499" s="466"/>
      <c r="X499" s="466"/>
      <c r="Y499" s="466"/>
      <c r="Z499" s="466"/>
      <c r="AA499" s="466"/>
      <c r="AB499" s="466"/>
      <c r="AC499" s="466"/>
      <c r="AD499" s="210"/>
    </row>
    <row r="500" spans="1:38" ht="26.25" customHeight="1" x14ac:dyDescent="0.2">
      <c r="A500" s="1175"/>
      <c r="B500" s="1152"/>
      <c r="C500" s="1152"/>
      <c r="D500" s="1152"/>
      <c r="E500" s="1152"/>
      <c r="F500" s="1152"/>
      <c r="G500" s="1152"/>
      <c r="H500" s="1152"/>
      <c r="I500" s="1152"/>
      <c r="J500" s="1152"/>
      <c r="K500" s="1152"/>
      <c r="L500" s="1152"/>
      <c r="M500" s="1152"/>
      <c r="N500" s="1152"/>
      <c r="O500" s="1152"/>
      <c r="P500" s="1152"/>
      <c r="Q500" s="1182"/>
      <c r="R500" s="466"/>
      <c r="S500" s="466"/>
      <c r="T500" s="466"/>
      <c r="U500" s="466"/>
      <c r="V500" s="466"/>
      <c r="W500" s="466"/>
      <c r="X500" s="466"/>
      <c r="Y500" s="466"/>
      <c r="Z500" s="466"/>
      <c r="AA500" s="466"/>
      <c r="AB500" s="466"/>
      <c r="AC500" s="466"/>
      <c r="AD500" s="210"/>
    </row>
    <row r="501" spans="1:38" ht="26.25" customHeight="1" x14ac:dyDescent="0.2">
      <c r="A501" s="1186"/>
      <c r="B501" s="1187"/>
      <c r="C501" s="1187"/>
      <c r="D501" s="1187"/>
      <c r="E501" s="1187"/>
      <c r="F501" s="1187"/>
      <c r="G501" s="1187"/>
      <c r="H501" s="1187"/>
      <c r="I501" s="1187"/>
      <c r="J501" s="1187"/>
      <c r="K501" s="1187"/>
      <c r="L501" s="1187"/>
      <c r="M501" s="1187"/>
      <c r="N501" s="1187"/>
      <c r="O501" s="1187"/>
      <c r="P501" s="1187"/>
      <c r="Q501" s="1188"/>
      <c r="R501" s="466"/>
      <c r="S501" s="466"/>
      <c r="T501" s="466"/>
      <c r="U501" s="466"/>
      <c r="V501" s="466"/>
      <c r="W501" s="466"/>
      <c r="X501" s="466"/>
      <c r="Y501" s="466"/>
      <c r="Z501" s="466"/>
      <c r="AA501" s="466"/>
      <c r="AB501" s="466"/>
      <c r="AC501" s="466"/>
      <c r="AD501" s="210"/>
    </row>
    <row r="502" spans="1:38" ht="26.25" customHeight="1" x14ac:dyDescent="0.2">
      <c r="A502" s="1189" t="s">
        <v>645</v>
      </c>
      <c r="B502" s="1190"/>
      <c r="C502" s="1190"/>
      <c r="D502" s="1190"/>
      <c r="E502" s="1190"/>
      <c r="F502" s="1190"/>
      <c r="G502" s="1190"/>
      <c r="H502" s="1190"/>
      <c r="I502" s="1190"/>
      <c r="J502" s="1190"/>
      <c r="K502" s="1190"/>
      <c r="L502" s="1190"/>
      <c r="M502" s="1190"/>
      <c r="N502" s="1190"/>
      <c r="O502" s="1190"/>
      <c r="P502" s="1190"/>
      <c r="Q502" s="1191"/>
      <c r="R502" s="468"/>
      <c r="S502" s="468"/>
      <c r="T502" s="468"/>
      <c r="U502" s="468"/>
      <c r="V502" s="468"/>
      <c r="W502" s="466"/>
      <c r="X502" s="466"/>
      <c r="Y502" s="466"/>
      <c r="Z502" s="466"/>
      <c r="AA502" s="466"/>
      <c r="AB502" s="466"/>
      <c r="AC502" s="466"/>
      <c r="AD502" s="210"/>
    </row>
    <row r="503" spans="1:38" ht="26.25" customHeight="1" x14ac:dyDescent="0.2">
      <c r="A503" s="1175"/>
      <c r="B503" s="1152"/>
      <c r="C503" s="1152"/>
      <c r="D503" s="1152"/>
      <c r="E503" s="1152"/>
      <c r="F503" s="1152"/>
      <c r="G503" s="1152"/>
      <c r="H503" s="1152"/>
      <c r="I503" s="1152"/>
      <c r="J503" s="1152"/>
      <c r="K503" s="1152"/>
      <c r="L503" s="1152"/>
      <c r="M503" s="1152"/>
      <c r="N503" s="1152"/>
      <c r="O503" s="1152"/>
      <c r="P503" s="1152"/>
      <c r="Q503" s="1153"/>
      <c r="R503" s="466"/>
      <c r="S503" s="472" t="str">
        <f>IF(ISBLANK(A503),"",A503)</f>
        <v/>
      </c>
      <c r="T503" s="438" t="s">
        <v>194</v>
      </c>
      <c r="U503" s="466"/>
      <c r="V503" s="466"/>
      <c r="W503" s="466"/>
      <c r="X503" s="466"/>
      <c r="Y503" s="466"/>
      <c r="Z503" s="466"/>
      <c r="AA503" s="466"/>
      <c r="AB503" s="466"/>
      <c r="AC503" s="466"/>
      <c r="AD503" s="210"/>
    </row>
    <row r="504" spans="1:38" ht="26.25" customHeight="1" thickBot="1" x14ac:dyDescent="0.25">
      <c r="A504" s="1163"/>
      <c r="B504" s="1164"/>
      <c r="C504" s="1164"/>
      <c r="D504" s="1164"/>
      <c r="E504" s="1164"/>
      <c r="F504" s="1164"/>
      <c r="G504" s="1164"/>
      <c r="H504" s="1164"/>
      <c r="I504" s="1164"/>
      <c r="J504" s="1164"/>
      <c r="K504" s="1164"/>
      <c r="L504" s="1164"/>
      <c r="M504" s="1164"/>
      <c r="N504" s="1164"/>
      <c r="O504" s="1164"/>
      <c r="P504" s="1164"/>
      <c r="Q504" s="1165"/>
      <c r="R504" s="466"/>
      <c r="S504" s="466"/>
      <c r="T504" s="438"/>
      <c r="U504" s="466"/>
      <c r="V504" s="466"/>
      <c r="W504" s="466"/>
      <c r="X504" s="210"/>
      <c r="Y504" s="210"/>
      <c r="Z504" s="210"/>
      <c r="AA504" s="474"/>
      <c r="AB504" s="474"/>
      <c r="AC504" s="474"/>
      <c r="AD504" s="436"/>
    </row>
    <row r="505" spans="1:38" ht="26.25" customHeight="1" x14ac:dyDescent="0.2">
      <c r="A505" s="1157" t="s">
        <v>647</v>
      </c>
      <c r="B505" s="1158"/>
      <c r="C505" s="1158"/>
      <c r="D505" s="1158"/>
      <c r="E505" s="1158"/>
      <c r="F505" s="1158"/>
      <c r="G505" s="1158"/>
      <c r="H505" s="1158"/>
      <c r="I505" s="1158"/>
      <c r="J505" s="1158"/>
      <c r="K505" s="1158"/>
      <c r="L505" s="1158"/>
      <c r="M505" s="1158"/>
      <c r="N505" s="1158"/>
      <c r="O505" s="1158"/>
      <c r="P505" s="1158"/>
      <c r="Q505" s="1159"/>
      <c r="R505" s="464"/>
      <c r="S505" s="468" t="s">
        <v>648</v>
      </c>
      <c r="T505" s="464"/>
      <c r="U505" s="464"/>
      <c r="V505" s="464"/>
      <c r="W505" s="466"/>
      <c r="X505" s="464"/>
      <c r="Y505" s="464"/>
      <c r="Z505" s="464"/>
      <c r="AA505" s="480"/>
      <c r="AB505" s="480"/>
      <c r="AC505" s="480"/>
      <c r="AD505" s="436"/>
    </row>
    <row r="506" spans="1:38" ht="26.25" customHeight="1" x14ac:dyDescent="0.2">
      <c r="A506" s="1192" t="s">
        <v>649</v>
      </c>
      <c r="B506" s="1193"/>
      <c r="C506" s="1193"/>
      <c r="D506" s="1193"/>
      <c r="E506" s="1193"/>
      <c r="F506" s="1193"/>
      <c r="G506" s="1193"/>
      <c r="H506" s="1193"/>
      <c r="I506" s="1193"/>
      <c r="J506" s="1193"/>
      <c r="K506" s="1193"/>
      <c r="L506" s="1194"/>
      <c r="M506" s="1169"/>
      <c r="N506" s="1170"/>
      <c r="O506" s="1170"/>
      <c r="P506" s="1170"/>
      <c r="Q506" s="1171"/>
      <c r="R506" s="466"/>
      <c r="S506" s="473" t="str">
        <f>IF(ISBLANK(M506),"",VLOOKUP(M506,VImpact,2,FALSE))</f>
        <v/>
      </c>
      <c r="T506" s="162" t="s">
        <v>650</v>
      </c>
      <c r="U506" s="466"/>
      <c r="V506" s="466"/>
      <c r="W506" s="466"/>
      <c r="X506" s="466"/>
      <c r="Y506" s="466"/>
      <c r="Z506" s="466"/>
      <c r="AA506" s="210"/>
      <c r="AB506" s="210"/>
      <c r="AC506" s="210"/>
      <c r="AD506" s="436"/>
    </row>
    <row r="507" spans="1:38" ht="26.25" customHeight="1" x14ac:dyDescent="0.2">
      <c r="A507" s="1166" t="s">
        <v>651</v>
      </c>
      <c r="B507" s="1167"/>
      <c r="C507" s="1167"/>
      <c r="D507" s="1167"/>
      <c r="E507" s="1167"/>
      <c r="F507" s="1167"/>
      <c r="G507" s="1167"/>
      <c r="H507" s="1167"/>
      <c r="I507" s="1167"/>
      <c r="J507" s="1167"/>
      <c r="K507" s="1167"/>
      <c r="L507" s="1168"/>
      <c r="M507" s="1169"/>
      <c r="N507" s="1170"/>
      <c r="O507" s="1170"/>
      <c r="P507" s="1170"/>
      <c r="Q507" s="1171"/>
      <c r="R507" s="466"/>
      <c r="S507" s="473" t="str">
        <f>IF(ISBLANK(M507),"",VLOOKUP(M507,VEvidence,2,FALSE))</f>
        <v/>
      </c>
      <c r="T507" s="251" t="s">
        <v>652</v>
      </c>
      <c r="U507" s="466"/>
      <c r="V507" s="466"/>
      <c r="W507" s="466"/>
      <c r="X507" s="466"/>
      <c r="Y507" s="466"/>
      <c r="Z507" s="466"/>
      <c r="AA507" s="210"/>
      <c r="AB507" s="210"/>
      <c r="AC507" s="210"/>
      <c r="AD507" s="436"/>
      <c r="AL507" s="213"/>
    </row>
    <row r="508" spans="1:38" ht="26.25" customHeight="1" x14ac:dyDescent="0.2">
      <c r="A508" s="1172" t="s">
        <v>653</v>
      </c>
      <c r="B508" s="1173"/>
      <c r="C508" s="1173"/>
      <c r="D508" s="1173"/>
      <c r="E508" s="1173"/>
      <c r="F508" s="1173"/>
      <c r="G508" s="1173"/>
      <c r="H508" s="1173"/>
      <c r="I508" s="1173"/>
      <c r="J508" s="1173"/>
      <c r="K508" s="1173"/>
      <c r="L508" s="1173"/>
      <c r="M508" s="1173"/>
      <c r="N508" s="1173"/>
      <c r="O508" s="1173"/>
      <c r="P508" s="1173"/>
      <c r="Q508" s="1174"/>
      <c r="R508" s="466"/>
      <c r="S508" s="472" t="str">
        <f>IF(ISBLANK(A509),"",A509)</f>
        <v/>
      </c>
      <c r="T508" s="438" t="s">
        <v>193</v>
      </c>
      <c r="U508" s="466"/>
      <c r="V508" s="466"/>
      <c r="W508" s="210"/>
      <c r="X508" s="466"/>
      <c r="Y508" s="466"/>
      <c r="Z508" s="466"/>
      <c r="AA508" s="210"/>
      <c r="AB508" s="210"/>
      <c r="AC508" s="210"/>
      <c r="AD508" s="210"/>
      <c r="AL508" s="134"/>
    </row>
    <row r="509" spans="1:38" ht="26.25" customHeight="1" x14ac:dyDescent="0.2">
      <c r="A509" s="1175"/>
      <c r="B509" s="1152"/>
      <c r="C509" s="1152"/>
      <c r="D509" s="1152"/>
      <c r="E509" s="1152"/>
      <c r="F509" s="1152"/>
      <c r="G509" s="1152"/>
      <c r="H509" s="1152"/>
      <c r="I509" s="1152"/>
      <c r="J509" s="1152"/>
      <c r="K509" s="1152"/>
      <c r="L509" s="1152"/>
      <c r="M509" s="1152"/>
      <c r="N509" s="1152"/>
      <c r="O509" s="1152"/>
      <c r="P509" s="1152"/>
      <c r="Q509" s="1153"/>
      <c r="R509" s="466"/>
      <c r="S509" s="466"/>
      <c r="T509" s="475"/>
      <c r="U509" s="466"/>
      <c r="V509" s="466"/>
      <c r="W509" s="464"/>
      <c r="X509" s="466"/>
      <c r="Y509" s="466"/>
      <c r="Z509" s="466"/>
      <c r="AA509" s="210"/>
      <c r="AB509" s="210"/>
      <c r="AC509" s="210"/>
      <c r="AD509" s="210"/>
      <c r="AL509" s="134"/>
    </row>
    <row r="510" spans="1:38" ht="26.25" customHeight="1" x14ac:dyDescent="0.2">
      <c r="A510" s="1176"/>
      <c r="B510" s="1177"/>
      <c r="C510" s="1177"/>
      <c r="D510" s="1177"/>
      <c r="E510" s="1177"/>
      <c r="F510" s="1177"/>
      <c r="G510" s="1177"/>
      <c r="H510" s="1177"/>
      <c r="I510" s="1177"/>
      <c r="J510" s="1177"/>
      <c r="K510" s="1177"/>
      <c r="L510" s="1177"/>
      <c r="M510" s="1177"/>
      <c r="N510" s="1177"/>
      <c r="O510" s="1177"/>
      <c r="P510" s="1177"/>
      <c r="Q510" s="1178"/>
      <c r="R510" s="466"/>
      <c r="S510" s="466"/>
      <c r="T510" s="475"/>
      <c r="U510" s="466"/>
      <c r="V510" s="466"/>
      <c r="W510" s="466"/>
      <c r="X510" s="466"/>
      <c r="Y510" s="466"/>
      <c r="Z510" s="466"/>
      <c r="AA510" s="210"/>
      <c r="AB510" s="210"/>
      <c r="AC510" s="210"/>
      <c r="AD510" s="210"/>
      <c r="AL510" s="134"/>
    </row>
    <row r="511" spans="1:38" ht="26.25" customHeight="1" x14ac:dyDescent="0.2">
      <c r="A511" s="1179" t="s">
        <v>654</v>
      </c>
      <c r="B511" s="1180"/>
      <c r="C511" s="1180"/>
      <c r="D511" s="1180"/>
      <c r="E511" s="1180"/>
      <c r="F511" s="1180"/>
      <c r="G511" s="1180"/>
      <c r="H511" s="1180"/>
      <c r="I511" s="1180"/>
      <c r="J511" s="1180"/>
      <c r="K511" s="1180"/>
      <c r="L511" s="1180"/>
      <c r="M511" s="1180"/>
      <c r="N511" s="1180"/>
      <c r="O511" s="1180"/>
      <c r="P511" s="1180"/>
      <c r="Q511" s="1181"/>
      <c r="R511" s="466"/>
      <c r="S511" s="472" t="str">
        <f>IF(ISBLANK(A512),"",A512)</f>
        <v/>
      </c>
      <c r="T511" s="475" t="s">
        <v>590</v>
      </c>
      <c r="U511" s="466"/>
      <c r="V511" s="466"/>
      <c r="W511" s="466"/>
      <c r="X511" s="466"/>
      <c r="Y511" s="466"/>
      <c r="Z511" s="466"/>
      <c r="AA511" s="431"/>
      <c r="AB511" s="431"/>
      <c r="AC511" s="431"/>
      <c r="AD511" s="486"/>
      <c r="AL511" s="134"/>
    </row>
    <row r="512" spans="1:38" ht="26.25" customHeight="1" x14ac:dyDescent="0.2">
      <c r="A512" s="1175"/>
      <c r="B512" s="1152"/>
      <c r="C512" s="1152"/>
      <c r="D512" s="1152"/>
      <c r="E512" s="1152"/>
      <c r="F512" s="1152"/>
      <c r="G512" s="1152"/>
      <c r="H512" s="1152"/>
      <c r="I512" s="1152"/>
      <c r="J512" s="1152"/>
      <c r="K512" s="1152"/>
      <c r="L512" s="1152"/>
      <c r="M512" s="1152"/>
      <c r="N512" s="1152"/>
      <c r="O512" s="1152"/>
      <c r="P512" s="1152"/>
      <c r="Q512" s="1182"/>
      <c r="R512" s="466"/>
      <c r="U512" s="466"/>
      <c r="V512" s="466"/>
      <c r="W512" s="466"/>
      <c r="X512" s="466"/>
      <c r="Y512" s="466"/>
      <c r="Z512" s="466"/>
      <c r="AA512" s="210"/>
      <c r="AB512" s="210"/>
      <c r="AC512" s="210"/>
      <c r="AD512" s="210"/>
      <c r="AL512" s="134"/>
    </row>
    <row r="513" spans="1:38" ht="26.25" customHeight="1" thickBot="1" x14ac:dyDescent="0.25">
      <c r="A513" s="1154"/>
      <c r="B513" s="1155"/>
      <c r="C513" s="1155"/>
      <c r="D513" s="1155"/>
      <c r="E513" s="1155"/>
      <c r="F513" s="1155"/>
      <c r="G513" s="1155"/>
      <c r="H513" s="1155"/>
      <c r="I513" s="1155"/>
      <c r="J513" s="1155"/>
      <c r="K513" s="1155"/>
      <c r="L513" s="1155"/>
      <c r="M513" s="1155"/>
      <c r="N513" s="1155"/>
      <c r="O513" s="1155"/>
      <c r="P513" s="1155"/>
      <c r="Q513" s="1156"/>
      <c r="R513" s="466"/>
      <c r="S513" s="466"/>
      <c r="T513" s="466"/>
      <c r="U513" s="466"/>
      <c r="V513" s="466"/>
      <c r="W513" s="466"/>
      <c r="X513" s="466"/>
      <c r="Y513" s="466"/>
      <c r="Z513" s="466"/>
      <c r="AA513" s="210"/>
      <c r="AB513" s="210"/>
      <c r="AC513" s="210"/>
      <c r="AD513" s="210"/>
      <c r="AL513" s="134"/>
    </row>
    <row r="514" spans="1:38" ht="26.25" customHeight="1" x14ac:dyDescent="0.2">
      <c r="A514" s="1148" t="s">
        <v>656</v>
      </c>
      <c r="B514" s="1149"/>
      <c r="C514" s="1149"/>
      <c r="D514" s="1149"/>
      <c r="E514" s="1149"/>
      <c r="F514" s="1149"/>
      <c r="G514" s="1149"/>
      <c r="H514" s="1149"/>
      <c r="I514" s="1149"/>
      <c r="J514" s="1149"/>
      <c r="K514" s="1149"/>
      <c r="L514" s="1149"/>
      <c r="M514" s="1149"/>
      <c r="N514" s="1149"/>
      <c r="O514" s="1149"/>
      <c r="P514" s="1149"/>
      <c r="Q514" s="1150"/>
      <c r="S514" s="478" t="str">
        <f>IF(ISBLANK(A515),"",A515)</f>
        <v/>
      </c>
      <c r="T514" s="479" t="s">
        <v>657</v>
      </c>
      <c r="W514" s="466"/>
      <c r="X514" s="466"/>
      <c r="Y514" s="466"/>
      <c r="Z514" s="466"/>
      <c r="AA514" s="210"/>
      <c r="AB514" s="210"/>
      <c r="AC514" s="210"/>
      <c r="AD514" s="436"/>
      <c r="AL514" s="134"/>
    </row>
    <row r="515" spans="1:38" ht="26.25" customHeight="1" x14ac:dyDescent="0.25">
      <c r="A515" s="1151"/>
      <c r="B515" s="1152"/>
      <c r="C515" s="1152"/>
      <c r="D515" s="1152"/>
      <c r="E515" s="1152"/>
      <c r="F515" s="1152"/>
      <c r="G515" s="1152"/>
      <c r="H515" s="1152"/>
      <c r="I515" s="1152"/>
      <c r="J515" s="1152"/>
      <c r="K515" s="1152"/>
      <c r="L515" s="1152"/>
      <c r="M515" s="1152"/>
      <c r="N515" s="1152"/>
      <c r="O515" s="1152"/>
      <c r="P515" s="1152"/>
      <c r="Q515" s="1153"/>
      <c r="W515" s="466"/>
      <c r="X515" s="474"/>
      <c r="Y515" s="474"/>
      <c r="Z515" s="474"/>
      <c r="AA515" s="431"/>
      <c r="AB515" s="431"/>
      <c r="AC515" s="431"/>
      <c r="AD515" s="471"/>
      <c r="AL515" s="134"/>
    </row>
    <row r="516" spans="1:38" ht="26.25" customHeight="1" thickBot="1" x14ac:dyDescent="0.25">
      <c r="A516" s="1154"/>
      <c r="B516" s="1155"/>
      <c r="C516" s="1155"/>
      <c r="D516" s="1155"/>
      <c r="E516" s="1155"/>
      <c r="F516" s="1155"/>
      <c r="G516" s="1155"/>
      <c r="H516" s="1155"/>
      <c r="I516" s="1155"/>
      <c r="J516" s="1155"/>
      <c r="K516" s="1155"/>
      <c r="L516" s="1155"/>
      <c r="M516" s="1155"/>
      <c r="N516" s="1155"/>
      <c r="O516" s="1155"/>
      <c r="P516" s="1155"/>
      <c r="Q516" s="1156"/>
      <c r="R516" s="436"/>
      <c r="S516" s="436"/>
      <c r="T516" s="436"/>
      <c r="U516" s="436"/>
      <c r="V516" s="436"/>
      <c r="W516" s="466"/>
      <c r="X516" s="464"/>
      <c r="Y516" s="464"/>
      <c r="Z516" s="464"/>
      <c r="AA516" s="466"/>
      <c r="AB516" s="466"/>
      <c r="AC516" s="466"/>
      <c r="AD516" s="210"/>
      <c r="AL516" s="134"/>
    </row>
    <row r="517" spans="1:38" ht="26.25" customHeight="1" x14ac:dyDescent="0.25">
      <c r="A517" s="1157" t="s">
        <v>658</v>
      </c>
      <c r="B517" s="1158"/>
      <c r="C517" s="1158"/>
      <c r="D517" s="1158"/>
      <c r="E517" s="1158"/>
      <c r="F517" s="1158"/>
      <c r="G517" s="1158"/>
      <c r="H517" s="1158"/>
      <c r="I517" s="1158"/>
      <c r="J517" s="1158"/>
      <c r="K517" s="1158"/>
      <c r="L517" s="1158"/>
      <c r="M517" s="1158"/>
      <c r="N517" s="1158"/>
      <c r="O517" s="1158"/>
      <c r="P517" s="1158"/>
      <c r="Q517" s="1159"/>
      <c r="R517" s="476"/>
      <c r="S517" s="481"/>
      <c r="T517" s="482"/>
      <c r="U517" s="476"/>
      <c r="V517" s="476"/>
      <c r="W517" s="466"/>
      <c r="X517" s="466"/>
      <c r="Y517" s="466"/>
      <c r="Z517" s="466"/>
      <c r="AA517" s="466"/>
      <c r="AB517" s="466"/>
      <c r="AC517" s="466"/>
      <c r="AD517" s="471"/>
      <c r="AL517" s="213"/>
    </row>
    <row r="518" spans="1:38" ht="26.25" customHeight="1" x14ac:dyDescent="0.25">
      <c r="A518" s="1160"/>
      <c r="B518" s="1161"/>
      <c r="C518" s="1161"/>
      <c r="D518" s="1161"/>
      <c r="E518" s="1161"/>
      <c r="F518" s="1161"/>
      <c r="G518" s="1161"/>
      <c r="H518" s="1161"/>
      <c r="I518" s="1161"/>
      <c r="J518" s="1161"/>
      <c r="K518" s="1161"/>
      <c r="L518" s="1161"/>
      <c r="M518" s="1161"/>
      <c r="N518" s="1161"/>
      <c r="O518" s="1161"/>
      <c r="P518" s="1161"/>
      <c r="Q518" s="1162"/>
      <c r="R518" s="195"/>
      <c r="S518" s="483" t="str">
        <f>IF(ISBLANK(A518),"",CONCATENATE(S517,A518))</f>
        <v/>
      </c>
      <c r="T518" s="438" t="s">
        <v>195</v>
      </c>
      <c r="U518" s="195"/>
      <c r="V518" s="195"/>
      <c r="W518" s="466"/>
      <c r="X518" s="466"/>
      <c r="Y518" s="466"/>
      <c r="Z518" s="466"/>
      <c r="AA518" s="466"/>
      <c r="AB518" s="466"/>
      <c r="AC518" s="466"/>
      <c r="AD518" s="471"/>
    </row>
    <row r="519" spans="1:38" ht="26.25" customHeight="1" thickBot="1" x14ac:dyDescent="0.3">
      <c r="A519" s="1163"/>
      <c r="B519" s="1164"/>
      <c r="C519" s="1164"/>
      <c r="D519" s="1164"/>
      <c r="E519" s="1164"/>
      <c r="F519" s="1164"/>
      <c r="G519" s="1164"/>
      <c r="H519" s="1164"/>
      <c r="I519" s="1164"/>
      <c r="J519" s="1164"/>
      <c r="K519" s="1164"/>
      <c r="L519" s="1164"/>
      <c r="M519" s="1164"/>
      <c r="N519" s="1164"/>
      <c r="O519" s="1164"/>
      <c r="P519" s="1164"/>
      <c r="Q519" s="1165"/>
      <c r="R519" s="195"/>
      <c r="S519" s="210"/>
      <c r="T519" s="210"/>
      <c r="U519" s="210"/>
      <c r="V519" s="210"/>
      <c r="W519" s="474"/>
      <c r="X519" s="466"/>
      <c r="Y519" s="466"/>
      <c r="Z519" s="466"/>
      <c r="AA519" s="466"/>
      <c r="AB519" s="466"/>
      <c r="AC519" s="466"/>
      <c r="AD519" s="471"/>
    </row>
    <row r="520" spans="1:38" ht="26.25" customHeight="1" x14ac:dyDescent="0.2">
      <c r="A520" s="436"/>
      <c r="B520" s="436"/>
      <c r="C520" s="436"/>
      <c r="D520" s="436"/>
      <c r="E520" s="436"/>
      <c r="F520" s="436"/>
      <c r="G520" s="436"/>
      <c r="H520" s="436"/>
      <c r="I520" s="436"/>
      <c r="J520" s="436"/>
      <c r="K520" s="436"/>
      <c r="L520" s="436"/>
      <c r="M520" s="436"/>
      <c r="N520" s="436"/>
      <c r="O520" s="436"/>
      <c r="P520" s="436"/>
      <c r="Q520" s="436"/>
      <c r="R520" s="436"/>
      <c r="S520" s="436"/>
      <c r="T520" s="436"/>
      <c r="U520" s="436"/>
      <c r="V520" s="436"/>
    </row>
    <row r="521" spans="1:38" ht="26.25" customHeight="1" x14ac:dyDescent="0.2">
      <c r="A521" s="436"/>
      <c r="B521" s="436"/>
      <c r="C521" s="436"/>
      <c r="D521" s="436"/>
      <c r="E521" s="436"/>
      <c r="F521" s="436"/>
      <c r="G521" s="436"/>
      <c r="H521" s="436"/>
      <c r="I521" s="436"/>
      <c r="J521" s="436"/>
      <c r="K521" s="436"/>
      <c r="L521" s="436"/>
      <c r="M521" s="436"/>
      <c r="N521" s="436"/>
      <c r="O521" s="436"/>
      <c r="P521" s="436"/>
      <c r="Q521" s="436"/>
      <c r="R521" s="436"/>
      <c r="S521" s="436"/>
      <c r="T521" s="436"/>
      <c r="U521" s="436"/>
      <c r="V521" s="436"/>
    </row>
    <row r="522" spans="1:38" ht="26.25" customHeight="1" x14ac:dyDescent="0.2">
      <c r="A522" s="436"/>
      <c r="B522" s="436"/>
      <c r="C522" s="436"/>
      <c r="D522" s="436"/>
      <c r="E522" s="436"/>
      <c r="F522" s="436"/>
      <c r="G522" s="436"/>
      <c r="H522" s="436"/>
      <c r="I522" s="436"/>
      <c r="J522" s="436"/>
      <c r="K522" s="436"/>
      <c r="L522" s="436"/>
      <c r="M522" s="436"/>
      <c r="N522" s="436"/>
      <c r="O522" s="436"/>
      <c r="P522" s="436"/>
      <c r="Q522" s="436"/>
      <c r="R522" s="436"/>
      <c r="S522" s="436"/>
      <c r="T522" s="436"/>
      <c r="U522" s="436"/>
      <c r="V522" s="436"/>
    </row>
    <row r="523" spans="1:38" ht="26.25" customHeight="1" x14ac:dyDescent="0.2">
      <c r="A523" s="436"/>
      <c r="B523" s="436"/>
      <c r="C523" s="436"/>
      <c r="D523" s="436"/>
      <c r="E523" s="436"/>
      <c r="F523" s="436"/>
      <c r="G523" s="436"/>
      <c r="H523" s="436"/>
      <c r="I523" s="436"/>
      <c r="J523" s="436"/>
      <c r="K523" s="436"/>
      <c r="L523" s="436"/>
      <c r="M523" s="436"/>
      <c r="N523" s="436"/>
      <c r="O523" s="436"/>
      <c r="P523" s="436"/>
      <c r="Q523" s="436"/>
      <c r="R523" s="436"/>
      <c r="S523" s="436"/>
      <c r="T523" s="436"/>
      <c r="U523" s="436"/>
      <c r="V523" s="436"/>
    </row>
    <row r="524" spans="1:38" ht="26.25" customHeight="1" x14ac:dyDescent="0.2">
      <c r="A524" s="436"/>
      <c r="B524" s="436"/>
      <c r="C524" s="436"/>
      <c r="D524" s="436"/>
      <c r="E524" s="436"/>
      <c r="F524" s="436"/>
      <c r="G524" s="436"/>
      <c r="H524" s="436"/>
      <c r="I524" s="436"/>
      <c r="J524" s="436"/>
      <c r="K524" s="436"/>
      <c r="L524" s="436"/>
      <c r="M524" s="436"/>
      <c r="N524" s="436"/>
      <c r="O524" s="436"/>
      <c r="P524" s="436"/>
      <c r="Q524" s="436"/>
      <c r="R524" s="436"/>
      <c r="S524" s="436"/>
      <c r="T524" s="436"/>
      <c r="U524" s="436"/>
      <c r="V524" s="436"/>
    </row>
    <row r="525" spans="1:38" ht="26.25" customHeight="1" x14ac:dyDescent="0.2">
      <c r="A525" s="436"/>
      <c r="B525" s="436"/>
      <c r="C525" s="436"/>
      <c r="D525" s="436"/>
      <c r="E525" s="436"/>
      <c r="F525" s="436"/>
      <c r="G525" s="436"/>
      <c r="H525" s="436"/>
      <c r="I525" s="436"/>
      <c r="J525" s="436"/>
      <c r="K525" s="436"/>
      <c r="L525" s="436"/>
      <c r="M525" s="436"/>
      <c r="N525" s="436"/>
      <c r="O525" s="436"/>
      <c r="P525" s="436"/>
      <c r="Q525" s="436"/>
      <c r="R525" s="436"/>
      <c r="S525" s="436"/>
      <c r="T525" s="436"/>
      <c r="U525" s="436"/>
      <c r="V525" s="436"/>
    </row>
    <row r="526" spans="1:38" ht="26.25" customHeight="1" x14ac:dyDescent="0.2">
      <c r="A526" s="436"/>
      <c r="B526" s="436"/>
      <c r="C526" s="436"/>
      <c r="D526" s="436"/>
      <c r="E526" s="436"/>
      <c r="F526" s="436"/>
      <c r="G526" s="436"/>
      <c r="H526" s="436"/>
      <c r="I526" s="436"/>
      <c r="J526" s="436"/>
      <c r="K526" s="436"/>
      <c r="L526" s="436"/>
      <c r="M526" s="436"/>
      <c r="N526" s="436"/>
      <c r="O526" s="436"/>
      <c r="P526" s="436"/>
      <c r="Q526" s="436"/>
      <c r="R526" s="436"/>
      <c r="S526" s="436"/>
      <c r="T526" s="436"/>
      <c r="U526" s="436"/>
      <c r="V526" s="436"/>
    </row>
    <row r="527" spans="1:38" ht="26.25" customHeight="1" x14ac:dyDescent="0.2">
      <c r="A527" s="436"/>
      <c r="B527" s="436"/>
      <c r="C527" s="436"/>
      <c r="D527" s="436"/>
      <c r="E527" s="436"/>
      <c r="F527" s="436"/>
      <c r="G527" s="436"/>
      <c r="H527" s="436"/>
      <c r="I527" s="436"/>
      <c r="J527" s="436"/>
      <c r="K527" s="436"/>
      <c r="L527" s="436"/>
      <c r="M527" s="436"/>
      <c r="N527" s="436"/>
      <c r="O527" s="436"/>
      <c r="P527" s="436"/>
      <c r="Q527" s="436"/>
      <c r="R527" s="436"/>
      <c r="S527" s="436"/>
      <c r="T527" s="436"/>
      <c r="U527" s="436"/>
      <c r="V527" s="436"/>
    </row>
    <row r="528" spans="1:38" ht="26.25" customHeight="1" x14ac:dyDescent="0.2">
      <c r="A528" s="436"/>
      <c r="B528" s="436"/>
      <c r="C528" s="436"/>
      <c r="D528" s="436"/>
      <c r="E528" s="436"/>
      <c r="F528" s="436"/>
      <c r="G528" s="436"/>
      <c r="H528" s="436"/>
      <c r="I528" s="436"/>
      <c r="J528" s="436"/>
      <c r="K528" s="436"/>
      <c r="L528" s="436"/>
      <c r="M528" s="436"/>
      <c r="N528" s="436"/>
      <c r="O528" s="436"/>
      <c r="P528" s="436"/>
      <c r="Q528" s="436"/>
      <c r="R528" s="436"/>
      <c r="S528" s="436"/>
      <c r="T528" s="436"/>
      <c r="U528" s="436"/>
      <c r="V528" s="436"/>
    </row>
    <row r="529" spans="1:22" ht="26.25" customHeight="1" x14ac:dyDescent="0.2">
      <c r="A529" s="436"/>
      <c r="B529" s="436"/>
      <c r="C529" s="436"/>
      <c r="D529" s="436"/>
      <c r="E529" s="436"/>
      <c r="F529" s="436"/>
      <c r="G529" s="436"/>
      <c r="H529" s="436"/>
      <c r="I529" s="436"/>
      <c r="J529" s="436"/>
      <c r="K529" s="436"/>
      <c r="L529" s="436"/>
      <c r="M529" s="436"/>
      <c r="N529" s="436"/>
      <c r="O529" s="436"/>
      <c r="P529" s="436"/>
      <c r="Q529" s="436"/>
      <c r="R529" s="436"/>
      <c r="S529" s="436"/>
      <c r="T529" s="436"/>
      <c r="U529" s="436"/>
      <c r="V529" s="436"/>
    </row>
    <row r="530" spans="1:22" ht="26.25" customHeight="1" x14ac:dyDescent="0.2">
      <c r="A530" s="436"/>
      <c r="B530" s="436"/>
      <c r="C530" s="436"/>
      <c r="D530" s="436"/>
      <c r="E530" s="436"/>
      <c r="F530" s="436"/>
      <c r="G530" s="436"/>
      <c r="H530" s="436"/>
      <c r="I530" s="436"/>
      <c r="J530" s="436"/>
      <c r="K530" s="436"/>
      <c r="L530" s="436"/>
      <c r="M530" s="436"/>
      <c r="N530" s="436"/>
      <c r="O530" s="436"/>
      <c r="P530" s="436"/>
      <c r="Q530" s="436"/>
      <c r="R530" s="436"/>
      <c r="S530" s="436"/>
      <c r="T530" s="436"/>
      <c r="U530" s="436"/>
      <c r="V530" s="436"/>
    </row>
    <row r="531" spans="1:22" ht="26.25" customHeight="1" x14ac:dyDescent="0.2">
      <c r="A531" s="436"/>
      <c r="B531" s="436"/>
      <c r="C531" s="436"/>
      <c r="D531" s="436"/>
      <c r="E531" s="436"/>
      <c r="F531" s="436"/>
      <c r="G531" s="436"/>
      <c r="H531" s="436"/>
      <c r="I531" s="436"/>
      <c r="J531" s="436"/>
      <c r="K531" s="436"/>
      <c r="L531" s="436"/>
      <c r="M531" s="436"/>
      <c r="N531" s="436"/>
      <c r="O531" s="436"/>
      <c r="P531" s="436"/>
      <c r="Q531" s="436"/>
      <c r="R531" s="436"/>
      <c r="S531" s="436"/>
      <c r="T531" s="436"/>
      <c r="U531" s="436"/>
      <c r="V531" s="436"/>
    </row>
    <row r="532" spans="1:22" ht="26.25" customHeight="1" x14ac:dyDescent="0.2">
      <c r="A532" s="436"/>
      <c r="B532" s="436"/>
      <c r="C532" s="436"/>
      <c r="D532" s="436"/>
      <c r="E532" s="436"/>
      <c r="F532" s="436"/>
      <c r="G532" s="436"/>
      <c r="H532" s="436"/>
      <c r="I532" s="436"/>
      <c r="J532" s="436"/>
      <c r="K532" s="436"/>
      <c r="L532" s="436"/>
      <c r="M532" s="436"/>
      <c r="N532" s="436"/>
      <c r="O532" s="436"/>
      <c r="P532" s="436"/>
      <c r="Q532" s="436"/>
      <c r="R532" s="436"/>
      <c r="S532" s="436"/>
      <c r="T532" s="436"/>
      <c r="U532" s="436"/>
      <c r="V532" s="436"/>
    </row>
    <row r="533" spans="1:22" ht="26.25" customHeight="1" x14ac:dyDescent="0.2">
      <c r="A533" s="436"/>
      <c r="B533" s="436"/>
      <c r="C533" s="436"/>
      <c r="D533" s="436"/>
      <c r="E533" s="436"/>
      <c r="F533" s="436"/>
      <c r="G533" s="436"/>
      <c r="H533" s="436"/>
      <c r="I533" s="436"/>
      <c r="J533" s="436"/>
      <c r="K533" s="436"/>
      <c r="L533" s="436"/>
      <c r="M533" s="436"/>
      <c r="N533" s="436"/>
      <c r="O533" s="436"/>
      <c r="P533" s="436"/>
      <c r="Q533" s="436"/>
      <c r="R533" s="436"/>
      <c r="S533" s="436"/>
      <c r="T533" s="436"/>
      <c r="U533" s="436"/>
      <c r="V533" s="436"/>
    </row>
    <row r="534" spans="1:22" ht="26.25" customHeight="1" x14ac:dyDescent="0.2">
      <c r="A534" s="436"/>
      <c r="B534" s="436"/>
      <c r="C534" s="436"/>
      <c r="D534" s="436"/>
      <c r="E534" s="436"/>
      <c r="F534" s="436"/>
      <c r="G534" s="436"/>
      <c r="H534" s="436"/>
      <c r="I534" s="436"/>
      <c r="J534" s="436"/>
      <c r="K534" s="436"/>
      <c r="L534" s="436"/>
      <c r="M534" s="436"/>
      <c r="N534" s="436"/>
      <c r="O534" s="436"/>
      <c r="P534" s="436"/>
      <c r="Q534" s="436"/>
      <c r="R534" s="436"/>
      <c r="S534" s="436"/>
      <c r="T534" s="436"/>
      <c r="U534" s="436"/>
      <c r="V534" s="436"/>
    </row>
    <row r="535" spans="1:22" ht="26.25" customHeight="1" x14ac:dyDescent="0.2">
      <c r="A535" s="436"/>
      <c r="B535" s="436"/>
      <c r="C535" s="436"/>
      <c r="D535" s="436"/>
      <c r="E535" s="436"/>
      <c r="F535" s="436"/>
      <c r="G535" s="436"/>
      <c r="H535" s="436"/>
      <c r="I535" s="436"/>
      <c r="J535" s="436"/>
      <c r="K535" s="436"/>
      <c r="L535" s="436"/>
      <c r="M535" s="436"/>
      <c r="N535" s="436"/>
      <c r="O535" s="436"/>
      <c r="P535" s="436"/>
      <c r="Q535" s="436"/>
      <c r="R535" s="436"/>
      <c r="S535" s="436"/>
      <c r="T535" s="436"/>
      <c r="U535" s="436"/>
      <c r="V535" s="436"/>
    </row>
    <row r="536" spans="1:22" ht="26.25" customHeight="1" x14ac:dyDescent="0.2">
      <c r="A536" s="436"/>
      <c r="B536" s="436"/>
      <c r="C536" s="436"/>
      <c r="D536" s="436"/>
      <c r="E536" s="436"/>
      <c r="F536" s="436"/>
      <c r="G536" s="436"/>
      <c r="H536" s="436"/>
      <c r="I536" s="436"/>
      <c r="J536" s="436"/>
      <c r="K536" s="436"/>
      <c r="L536" s="436"/>
      <c r="M536" s="436"/>
      <c r="N536" s="436"/>
      <c r="O536" s="436"/>
      <c r="P536" s="436"/>
      <c r="Q536" s="436"/>
      <c r="R536" s="436"/>
      <c r="S536" s="436"/>
      <c r="T536" s="436"/>
      <c r="U536" s="436"/>
      <c r="V536" s="436"/>
    </row>
    <row r="537" spans="1:22" ht="26.25" customHeight="1" x14ac:dyDescent="0.2">
      <c r="A537" s="436"/>
      <c r="B537" s="436"/>
      <c r="C537" s="436"/>
      <c r="D537" s="436"/>
      <c r="E537" s="436"/>
      <c r="F537" s="436"/>
      <c r="G537" s="436"/>
      <c r="H537" s="436"/>
      <c r="I537" s="436"/>
      <c r="J537" s="436"/>
      <c r="K537" s="436"/>
      <c r="L537" s="436"/>
      <c r="M537" s="436"/>
      <c r="N537" s="436"/>
      <c r="O537" s="436"/>
      <c r="P537" s="436"/>
      <c r="Q537" s="436"/>
      <c r="R537" s="436"/>
      <c r="S537" s="436"/>
      <c r="T537" s="436"/>
      <c r="U537" s="436"/>
      <c r="V537" s="436"/>
    </row>
    <row r="538" spans="1:22" ht="26.25" customHeight="1" x14ac:dyDescent="0.2">
      <c r="A538" s="436"/>
      <c r="B538" s="436"/>
      <c r="C538" s="436"/>
      <c r="D538" s="436"/>
      <c r="E538" s="436"/>
      <c r="F538" s="436"/>
      <c r="G538" s="436"/>
      <c r="H538" s="436"/>
      <c r="I538" s="436"/>
      <c r="J538" s="436"/>
      <c r="K538" s="436"/>
      <c r="L538" s="436"/>
      <c r="M538" s="436"/>
      <c r="N538" s="436"/>
      <c r="O538" s="436"/>
      <c r="P538" s="436"/>
      <c r="Q538" s="436"/>
      <c r="R538" s="436"/>
      <c r="S538" s="436"/>
      <c r="T538" s="436"/>
      <c r="U538" s="436"/>
      <c r="V538" s="436"/>
    </row>
    <row r="539" spans="1:22" ht="26.25" customHeight="1" x14ac:dyDescent="0.2">
      <c r="A539" s="436"/>
      <c r="B539" s="436"/>
      <c r="C539" s="436"/>
      <c r="D539" s="436"/>
      <c r="E539" s="436"/>
      <c r="F539" s="436"/>
      <c r="G539" s="436"/>
      <c r="H539" s="436"/>
      <c r="I539" s="436"/>
      <c r="J539" s="436"/>
      <c r="K539" s="436"/>
      <c r="L539" s="436"/>
      <c r="M539" s="436"/>
      <c r="N539" s="436"/>
      <c r="O539" s="436"/>
      <c r="P539" s="436"/>
      <c r="Q539" s="436"/>
      <c r="R539" s="436"/>
      <c r="S539" s="436"/>
      <c r="T539" s="436"/>
      <c r="U539" s="436"/>
      <c r="V539" s="436"/>
    </row>
    <row r="540" spans="1:22" ht="26.25" customHeight="1" x14ac:dyDescent="0.2">
      <c r="A540" s="436"/>
      <c r="B540" s="436"/>
      <c r="C540" s="436"/>
      <c r="D540" s="436"/>
      <c r="E540" s="436"/>
      <c r="F540" s="436"/>
      <c r="G540" s="436"/>
      <c r="H540" s="436"/>
      <c r="I540" s="436"/>
      <c r="J540" s="436"/>
      <c r="K540" s="436"/>
      <c r="L540" s="436"/>
      <c r="M540" s="436"/>
      <c r="N540" s="436"/>
      <c r="O540" s="436"/>
      <c r="P540" s="436"/>
      <c r="Q540" s="436"/>
      <c r="R540" s="436"/>
      <c r="S540" s="436"/>
      <c r="T540" s="436"/>
      <c r="U540" s="436"/>
      <c r="V540" s="436"/>
    </row>
    <row r="541" spans="1:22" ht="26.25" customHeight="1" x14ac:dyDescent="0.2">
      <c r="A541" s="436"/>
      <c r="B541" s="436"/>
      <c r="C541" s="436"/>
      <c r="D541" s="436"/>
      <c r="E541" s="436"/>
      <c r="F541" s="436"/>
      <c r="G541" s="436"/>
      <c r="H541" s="436"/>
      <c r="I541" s="436"/>
      <c r="J541" s="436"/>
      <c r="K541" s="436"/>
      <c r="L541" s="436"/>
      <c r="M541" s="436"/>
      <c r="N541" s="436"/>
      <c r="O541" s="436"/>
      <c r="P541" s="436"/>
      <c r="Q541" s="436"/>
      <c r="R541" s="436"/>
      <c r="S541" s="436"/>
      <c r="T541" s="436"/>
      <c r="U541" s="436"/>
      <c r="V541" s="436"/>
    </row>
    <row r="542" spans="1:22" ht="26.25" customHeight="1" x14ac:dyDescent="0.2">
      <c r="A542" s="436"/>
      <c r="B542" s="436"/>
      <c r="C542" s="436"/>
      <c r="D542" s="436"/>
      <c r="E542" s="436"/>
      <c r="F542" s="436"/>
      <c r="G542" s="436"/>
      <c r="H542" s="436"/>
      <c r="I542" s="436"/>
      <c r="J542" s="436"/>
      <c r="K542" s="436"/>
      <c r="L542" s="436"/>
      <c r="M542" s="436"/>
      <c r="N542" s="436"/>
      <c r="O542" s="436"/>
      <c r="P542" s="436"/>
      <c r="Q542" s="436"/>
      <c r="R542" s="436"/>
      <c r="S542" s="436"/>
      <c r="T542" s="436"/>
      <c r="U542" s="436"/>
      <c r="V542" s="436"/>
    </row>
    <row r="543" spans="1:22" ht="26.25" customHeight="1" x14ac:dyDescent="0.2">
      <c r="A543" s="436"/>
      <c r="B543" s="436"/>
      <c r="C543" s="436"/>
      <c r="D543" s="436"/>
      <c r="E543" s="436"/>
      <c r="F543" s="436"/>
      <c r="G543" s="436"/>
      <c r="H543" s="436"/>
      <c r="I543" s="436"/>
      <c r="J543" s="436"/>
      <c r="K543" s="436"/>
      <c r="L543" s="436"/>
      <c r="M543" s="436"/>
      <c r="N543" s="436"/>
      <c r="O543" s="436"/>
      <c r="P543" s="436"/>
      <c r="Q543" s="436"/>
      <c r="R543" s="436"/>
      <c r="S543" s="436"/>
      <c r="T543" s="436"/>
      <c r="U543" s="436"/>
      <c r="V543" s="436"/>
    </row>
    <row r="544" spans="1:22" ht="26.25" customHeight="1" x14ac:dyDescent="0.2">
      <c r="A544" s="436"/>
      <c r="B544" s="436"/>
      <c r="C544" s="436"/>
      <c r="D544" s="436"/>
      <c r="E544" s="436"/>
      <c r="F544" s="436"/>
      <c r="G544" s="436"/>
      <c r="H544" s="436"/>
      <c r="I544" s="436"/>
      <c r="J544" s="436"/>
      <c r="K544" s="436"/>
      <c r="L544" s="436"/>
      <c r="M544" s="436"/>
      <c r="N544" s="436"/>
      <c r="O544" s="436"/>
      <c r="P544" s="436"/>
      <c r="Q544" s="436"/>
      <c r="R544" s="436"/>
      <c r="S544" s="436"/>
      <c r="T544" s="436"/>
      <c r="U544" s="436"/>
      <c r="V544" s="436"/>
    </row>
    <row r="545" spans="1:22" ht="26.25" customHeight="1" x14ac:dyDescent="0.2">
      <c r="A545" s="436"/>
      <c r="B545" s="436"/>
      <c r="C545" s="436"/>
      <c r="D545" s="436"/>
      <c r="E545" s="436"/>
      <c r="F545" s="436"/>
      <c r="G545" s="436"/>
      <c r="H545" s="436"/>
      <c r="I545" s="436"/>
      <c r="J545" s="436"/>
      <c r="K545" s="436"/>
      <c r="L545" s="436"/>
      <c r="M545" s="436"/>
      <c r="N545" s="436"/>
      <c r="O545" s="436"/>
      <c r="P545" s="436"/>
      <c r="Q545" s="436"/>
      <c r="R545" s="436"/>
      <c r="S545" s="436"/>
      <c r="T545" s="436"/>
      <c r="U545" s="436"/>
      <c r="V545" s="436"/>
    </row>
    <row r="546" spans="1:22" ht="26.25" customHeight="1" x14ac:dyDescent="0.2">
      <c r="A546" s="436"/>
      <c r="B546" s="436"/>
      <c r="C546" s="436"/>
      <c r="D546" s="436"/>
      <c r="E546" s="436"/>
      <c r="F546" s="436"/>
      <c r="G546" s="436"/>
      <c r="H546" s="436"/>
      <c r="I546" s="436"/>
      <c r="J546" s="436"/>
      <c r="K546" s="436"/>
      <c r="L546" s="436"/>
      <c r="M546" s="436"/>
      <c r="N546" s="436"/>
      <c r="O546" s="436"/>
      <c r="P546" s="436"/>
      <c r="Q546" s="436"/>
      <c r="R546" s="436"/>
      <c r="S546" s="436"/>
      <c r="T546" s="436"/>
      <c r="U546" s="436"/>
      <c r="V546" s="436"/>
    </row>
    <row r="547" spans="1:22" ht="26.25" customHeight="1" x14ac:dyDescent="0.2">
      <c r="A547" s="436"/>
      <c r="B547" s="436"/>
      <c r="C547" s="436"/>
      <c r="D547" s="436"/>
      <c r="E547" s="436"/>
      <c r="F547" s="436"/>
      <c r="G547" s="436"/>
      <c r="H547" s="436"/>
      <c r="I547" s="436"/>
      <c r="J547" s="436"/>
      <c r="K547" s="436"/>
      <c r="L547" s="436"/>
      <c r="M547" s="436"/>
      <c r="N547" s="436"/>
      <c r="O547" s="436"/>
      <c r="P547" s="436"/>
      <c r="Q547" s="436"/>
      <c r="R547" s="436"/>
      <c r="S547" s="436"/>
      <c r="T547" s="436"/>
      <c r="U547" s="436"/>
      <c r="V547" s="436"/>
    </row>
    <row r="548" spans="1:22" ht="26.25" customHeight="1" x14ac:dyDescent="0.2">
      <c r="A548" s="436"/>
      <c r="B548" s="436"/>
      <c r="C548" s="436"/>
      <c r="D548" s="436"/>
      <c r="E548" s="436"/>
      <c r="F548" s="436"/>
      <c r="G548" s="436"/>
      <c r="H548" s="436"/>
      <c r="I548" s="436"/>
      <c r="J548" s="436"/>
      <c r="K548" s="436"/>
      <c r="L548" s="436"/>
      <c r="M548" s="436"/>
      <c r="N548" s="436"/>
      <c r="O548" s="436"/>
      <c r="P548" s="436"/>
      <c r="Q548" s="436"/>
      <c r="R548" s="436"/>
      <c r="S548" s="436"/>
      <c r="T548" s="436"/>
      <c r="U548" s="436"/>
      <c r="V548" s="436"/>
    </row>
    <row r="549" spans="1:22" ht="26.25" customHeight="1" x14ac:dyDescent="0.2">
      <c r="A549" s="436"/>
      <c r="B549" s="436"/>
      <c r="C549" s="436"/>
      <c r="D549" s="436"/>
      <c r="E549" s="436"/>
      <c r="F549" s="436"/>
      <c r="G549" s="436"/>
      <c r="H549" s="436"/>
      <c r="I549" s="436"/>
      <c r="J549" s="436"/>
      <c r="K549" s="436"/>
      <c r="L549" s="436"/>
      <c r="M549" s="436"/>
      <c r="N549" s="436"/>
      <c r="O549" s="436"/>
      <c r="P549" s="436"/>
      <c r="Q549" s="436"/>
      <c r="R549" s="436"/>
      <c r="S549" s="436"/>
      <c r="T549" s="436"/>
      <c r="U549" s="436"/>
      <c r="V549" s="436"/>
    </row>
    <row r="550" spans="1:22" ht="26.25" customHeight="1" x14ac:dyDescent="0.2">
      <c r="A550" s="436"/>
      <c r="B550" s="436"/>
      <c r="C550" s="436"/>
      <c r="D550" s="436"/>
      <c r="E550" s="436"/>
      <c r="F550" s="436"/>
      <c r="G550" s="436"/>
      <c r="H550" s="436"/>
      <c r="I550" s="436"/>
      <c r="J550" s="436"/>
      <c r="K550" s="436"/>
      <c r="L550" s="436"/>
      <c r="M550" s="436"/>
      <c r="N550" s="436"/>
      <c r="O550" s="436"/>
      <c r="P550" s="436"/>
      <c r="Q550" s="436"/>
      <c r="R550" s="436"/>
      <c r="S550" s="436"/>
      <c r="T550" s="436"/>
      <c r="U550" s="436"/>
      <c r="V550" s="436"/>
    </row>
    <row r="551" spans="1:22" ht="26.25" customHeight="1" x14ac:dyDescent="0.2">
      <c r="A551" s="436"/>
      <c r="B551" s="436"/>
      <c r="C551" s="436"/>
      <c r="D551" s="436"/>
      <c r="E551" s="436"/>
      <c r="F551" s="436"/>
      <c r="G551" s="436"/>
      <c r="H551" s="436"/>
      <c r="I551" s="436"/>
      <c r="J551" s="436"/>
      <c r="K551" s="436"/>
      <c r="L551" s="436"/>
      <c r="M551" s="436"/>
      <c r="N551" s="436"/>
      <c r="O551" s="436"/>
      <c r="P551" s="436"/>
      <c r="Q551" s="436"/>
      <c r="R551" s="436"/>
      <c r="S551" s="436"/>
      <c r="T551" s="436"/>
      <c r="U551" s="436"/>
      <c r="V551" s="436"/>
    </row>
    <row r="552" spans="1:22" ht="26.25" customHeight="1" x14ac:dyDescent="0.2">
      <c r="A552" s="436"/>
      <c r="B552" s="436"/>
      <c r="C552" s="436"/>
      <c r="D552" s="436"/>
      <c r="E552" s="436"/>
      <c r="F552" s="436"/>
      <c r="G552" s="436"/>
      <c r="H552" s="436"/>
      <c r="I552" s="436"/>
      <c r="J552" s="436"/>
      <c r="K552" s="436"/>
      <c r="L552" s="436"/>
      <c r="M552" s="436"/>
      <c r="N552" s="436"/>
      <c r="O552" s="436"/>
      <c r="P552" s="436"/>
      <c r="Q552" s="436"/>
      <c r="R552" s="436"/>
      <c r="S552" s="436"/>
      <c r="T552" s="436"/>
      <c r="U552" s="436"/>
      <c r="V552" s="436"/>
    </row>
    <row r="553" spans="1:22" ht="26.25" customHeight="1" x14ac:dyDescent="0.2">
      <c r="A553" s="436"/>
      <c r="B553" s="436"/>
      <c r="C553" s="436"/>
      <c r="D553" s="436"/>
      <c r="E553" s="436"/>
      <c r="F553" s="436"/>
      <c r="G553" s="436"/>
      <c r="H553" s="436"/>
      <c r="I553" s="436"/>
      <c r="J553" s="436"/>
      <c r="K553" s="436"/>
      <c r="L553" s="436"/>
      <c r="M553" s="436"/>
      <c r="N553" s="436"/>
      <c r="O553" s="436"/>
      <c r="P553" s="436"/>
      <c r="Q553" s="436"/>
      <c r="R553" s="436"/>
      <c r="S553" s="436"/>
      <c r="T553" s="436"/>
      <c r="U553" s="436"/>
      <c r="V553" s="436"/>
    </row>
    <row r="554" spans="1:22" ht="26.25" customHeight="1" x14ac:dyDescent="0.2">
      <c r="A554" s="436"/>
      <c r="B554" s="436"/>
      <c r="C554" s="436"/>
      <c r="D554" s="436"/>
      <c r="E554" s="436"/>
      <c r="F554" s="436"/>
      <c r="G554" s="436"/>
      <c r="H554" s="436"/>
      <c r="I554" s="436"/>
      <c r="J554" s="436"/>
      <c r="K554" s="436"/>
      <c r="L554" s="436"/>
      <c r="M554" s="436"/>
      <c r="N554" s="436"/>
      <c r="O554" s="436"/>
      <c r="P554" s="436"/>
      <c r="Q554" s="436"/>
      <c r="R554" s="436"/>
      <c r="S554" s="436"/>
      <c r="T554" s="436"/>
      <c r="U554" s="436"/>
      <c r="V554" s="436"/>
    </row>
    <row r="555" spans="1:22" ht="26.25" customHeight="1" x14ac:dyDescent="0.2">
      <c r="A555" s="436"/>
      <c r="B555" s="436"/>
      <c r="C555" s="436"/>
      <c r="D555" s="436"/>
      <c r="E555" s="436"/>
      <c r="F555" s="436"/>
      <c r="G555" s="436"/>
      <c r="H555" s="436"/>
      <c r="I555" s="436"/>
      <c r="J555" s="436"/>
      <c r="K555" s="436"/>
      <c r="L555" s="436"/>
      <c r="M555" s="436"/>
      <c r="N555" s="436"/>
      <c r="O555" s="436"/>
      <c r="P555" s="436"/>
      <c r="Q555" s="436"/>
      <c r="R555" s="436"/>
      <c r="S555" s="436"/>
      <c r="T555" s="436"/>
      <c r="U555" s="436"/>
      <c r="V555" s="436"/>
    </row>
    <row r="556" spans="1:22" ht="26.25" customHeight="1" x14ac:dyDescent="0.2">
      <c r="A556" s="436"/>
      <c r="B556" s="436"/>
      <c r="C556" s="436"/>
      <c r="D556" s="436"/>
      <c r="E556" s="436"/>
      <c r="F556" s="436"/>
      <c r="G556" s="436"/>
      <c r="H556" s="436"/>
      <c r="I556" s="436"/>
      <c r="J556" s="436"/>
      <c r="K556" s="436"/>
      <c r="L556" s="436"/>
      <c r="M556" s="436"/>
      <c r="N556" s="436"/>
      <c r="O556" s="436"/>
      <c r="P556" s="436"/>
      <c r="Q556" s="436"/>
      <c r="R556" s="436"/>
      <c r="S556" s="436"/>
      <c r="T556" s="436"/>
      <c r="U556" s="436"/>
      <c r="V556" s="436"/>
    </row>
    <row r="557" spans="1:22" ht="26.25" customHeight="1" x14ac:dyDescent="0.2">
      <c r="A557" s="436"/>
      <c r="B557" s="436"/>
      <c r="C557" s="436"/>
      <c r="D557" s="436"/>
      <c r="E557" s="436"/>
      <c r="F557" s="436"/>
      <c r="G557" s="436"/>
      <c r="H557" s="436"/>
      <c r="I557" s="436"/>
      <c r="J557" s="436"/>
      <c r="K557" s="436"/>
      <c r="L557" s="436"/>
      <c r="M557" s="436"/>
      <c r="N557" s="436"/>
      <c r="O557" s="436"/>
      <c r="P557" s="436"/>
      <c r="Q557" s="436"/>
      <c r="R557" s="436"/>
      <c r="S557" s="436"/>
      <c r="T557" s="436"/>
      <c r="U557" s="436"/>
      <c r="V557" s="436"/>
    </row>
    <row r="558" spans="1:22" ht="26.25" customHeight="1" x14ac:dyDescent="0.2">
      <c r="A558" s="436"/>
      <c r="B558" s="436"/>
      <c r="C558" s="436"/>
      <c r="D558" s="436"/>
      <c r="E558" s="436"/>
      <c r="F558" s="436"/>
      <c r="G558" s="436"/>
      <c r="H558" s="436"/>
      <c r="I558" s="436"/>
      <c r="J558" s="436"/>
      <c r="K558" s="436"/>
      <c r="L558" s="436"/>
      <c r="M558" s="436"/>
      <c r="N558" s="436"/>
      <c r="O558" s="436"/>
      <c r="P558" s="436"/>
      <c r="Q558" s="436"/>
      <c r="R558" s="436"/>
      <c r="S558" s="436"/>
      <c r="T558" s="436"/>
      <c r="U558" s="436"/>
      <c r="V558" s="436"/>
    </row>
    <row r="559" spans="1:22" ht="26.25" customHeight="1" x14ac:dyDescent="0.2">
      <c r="A559" s="436"/>
      <c r="B559" s="436"/>
      <c r="C559" s="436"/>
      <c r="D559" s="436"/>
      <c r="E559" s="436"/>
      <c r="F559" s="436"/>
      <c r="G559" s="436"/>
      <c r="H559" s="436"/>
      <c r="I559" s="436"/>
      <c r="J559" s="436"/>
      <c r="K559" s="436"/>
      <c r="L559" s="436"/>
      <c r="M559" s="436"/>
      <c r="N559" s="436"/>
      <c r="O559" s="436"/>
      <c r="P559" s="436"/>
      <c r="Q559" s="436"/>
      <c r="R559" s="436"/>
      <c r="S559" s="436"/>
      <c r="T559" s="436"/>
      <c r="U559" s="436"/>
      <c r="V559" s="436"/>
    </row>
    <row r="560" spans="1:22" ht="26.25" customHeight="1" x14ac:dyDescent="0.2">
      <c r="A560" s="436"/>
      <c r="B560" s="436"/>
      <c r="C560" s="436"/>
      <c r="D560" s="436"/>
      <c r="E560" s="436"/>
      <c r="F560" s="436"/>
      <c r="G560" s="436"/>
      <c r="H560" s="436"/>
      <c r="I560" s="436"/>
      <c r="J560" s="436"/>
      <c r="K560" s="436"/>
      <c r="L560" s="436"/>
      <c r="M560" s="436"/>
      <c r="N560" s="436"/>
      <c r="O560" s="436"/>
      <c r="P560" s="436"/>
      <c r="Q560" s="436"/>
      <c r="R560" s="436"/>
      <c r="S560" s="436"/>
      <c r="T560" s="436"/>
      <c r="U560" s="436"/>
      <c r="V560" s="436"/>
    </row>
    <row r="561" spans="1:22" ht="26.25" customHeight="1" x14ac:dyDescent="0.2">
      <c r="A561" s="436"/>
      <c r="B561" s="436"/>
      <c r="C561" s="436"/>
      <c r="D561" s="436"/>
      <c r="E561" s="436"/>
      <c r="F561" s="436"/>
      <c r="G561" s="436"/>
      <c r="H561" s="436"/>
      <c r="I561" s="436"/>
      <c r="J561" s="436"/>
      <c r="K561" s="436"/>
      <c r="L561" s="436"/>
      <c r="M561" s="436"/>
      <c r="N561" s="436"/>
      <c r="O561" s="436"/>
      <c r="P561" s="436"/>
      <c r="Q561" s="436"/>
      <c r="R561" s="436"/>
      <c r="S561" s="436"/>
      <c r="T561" s="436"/>
      <c r="U561" s="436"/>
      <c r="V561" s="436"/>
    </row>
    <row r="562" spans="1:22" ht="26.25" customHeight="1" x14ac:dyDescent="0.2">
      <c r="A562" s="436"/>
      <c r="B562" s="436"/>
      <c r="C562" s="436"/>
      <c r="D562" s="436"/>
      <c r="E562" s="436"/>
      <c r="F562" s="436"/>
      <c r="G562" s="436"/>
      <c r="H562" s="436"/>
      <c r="I562" s="436"/>
      <c r="J562" s="436"/>
      <c r="K562" s="436"/>
      <c r="L562" s="436"/>
      <c r="M562" s="436"/>
      <c r="N562" s="436"/>
      <c r="O562" s="436"/>
      <c r="P562" s="436"/>
      <c r="Q562" s="436"/>
      <c r="R562" s="436"/>
      <c r="S562" s="436"/>
      <c r="T562" s="436"/>
      <c r="U562" s="436"/>
      <c r="V562" s="436"/>
    </row>
    <row r="563" spans="1:22" ht="26.25" customHeight="1" x14ac:dyDescent="0.2">
      <c r="A563" s="436"/>
      <c r="B563" s="436"/>
      <c r="C563" s="436"/>
      <c r="D563" s="436"/>
      <c r="E563" s="436"/>
      <c r="F563" s="436"/>
      <c r="G563" s="436"/>
      <c r="H563" s="436"/>
      <c r="I563" s="436"/>
      <c r="J563" s="436"/>
      <c r="K563" s="436"/>
      <c r="L563" s="436"/>
      <c r="M563" s="436"/>
      <c r="N563" s="436"/>
      <c r="O563" s="436"/>
      <c r="P563" s="436"/>
      <c r="Q563" s="436"/>
      <c r="R563" s="436"/>
      <c r="S563" s="436"/>
      <c r="T563" s="436"/>
      <c r="U563" s="436"/>
      <c r="V563" s="436"/>
    </row>
    <row r="564" spans="1:22" ht="26.25" customHeight="1" x14ac:dyDescent="0.2">
      <c r="A564" s="436"/>
      <c r="B564" s="436"/>
      <c r="C564" s="436"/>
      <c r="D564" s="436"/>
      <c r="E564" s="436"/>
      <c r="F564" s="436"/>
      <c r="G564" s="436"/>
      <c r="H564" s="436"/>
      <c r="I564" s="436"/>
      <c r="J564" s="436"/>
      <c r="K564" s="436"/>
      <c r="L564" s="436"/>
      <c r="M564" s="436"/>
      <c r="N564" s="436"/>
      <c r="O564" s="436"/>
      <c r="P564" s="436"/>
      <c r="Q564" s="436"/>
      <c r="R564" s="436"/>
      <c r="S564" s="436"/>
      <c r="T564" s="436"/>
      <c r="U564" s="436"/>
      <c r="V564" s="436"/>
    </row>
    <row r="565" spans="1:22" ht="26.25" customHeight="1" x14ac:dyDescent="0.2">
      <c r="A565" s="436"/>
      <c r="B565" s="436"/>
      <c r="C565" s="436"/>
      <c r="D565" s="436"/>
      <c r="E565" s="436"/>
      <c r="F565" s="436"/>
      <c r="G565" s="436"/>
      <c r="H565" s="436"/>
      <c r="I565" s="436"/>
      <c r="J565" s="436"/>
      <c r="K565" s="436"/>
      <c r="L565" s="436"/>
      <c r="M565" s="436"/>
      <c r="N565" s="436"/>
      <c r="O565" s="436"/>
      <c r="P565" s="436"/>
      <c r="Q565" s="436"/>
      <c r="R565" s="436"/>
      <c r="S565" s="436"/>
      <c r="T565" s="436"/>
      <c r="U565" s="436"/>
      <c r="V565" s="436"/>
    </row>
    <row r="566" spans="1:22" ht="26.25" customHeight="1" x14ac:dyDescent="0.2">
      <c r="A566" s="436"/>
      <c r="B566" s="436"/>
      <c r="C566" s="436"/>
      <c r="D566" s="436"/>
      <c r="E566" s="436"/>
      <c r="F566" s="436"/>
      <c r="G566" s="436"/>
      <c r="H566" s="436"/>
      <c r="I566" s="436"/>
      <c r="J566" s="436"/>
      <c r="K566" s="436"/>
      <c r="L566" s="436"/>
      <c r="M566" s="436"/>
      <c r="N566" s="436"/>
      <c r="O566" s="436"/>
      <c r="P566" s="436"/>
      <c r="Q566" s="436"/>
      <c r="R566" s="436"/>
      <c r="S566" s="436"/>
      <c r="T566" s="436"/>
      <c r="U566" s="436"/>
      <c r="V566" s="436"/>
    </row>
    <row r="567" spans="1:22" ht="26.25" customHeight="1" x14ac:dyDescent="0.2">
      <c r="A567" s="436"/>
      <c r="B567" s="436"/>
      <c r="C567" s="436"/>
      <c r="D567" s="436"/>
      <c r="E567" s="436"/>
      <c r="F567" s="436"/>
      <c r="G567" s="436"/>
      <c r="H567" s="436"/>
      <c r="I567" s="436"/>
      <c r="J567" s="436"/>
      <c r="K567" s="436"/>
      <c r="L567" s="436"/>
      <c r="M567" s="436"/>
      <c r="N567" s="436"/>
      <c r="O567" s="436"/>
      <c r="P567" s="436"/>
      <c r="Q567" s="436"/>
      <c r="R567" s="436"/>
      <c r="S567" s="436"/>
      <c r="T567" s="436"/>
      <c r="U567" s="436"/>
      <c r="V567" s="436"/>
    </row>
    <row r="568" spans="1:22" ht="26.25" customHeight="1" x14ac:dyDescent="0.2">
      <c r="A568" s="436"/>
      <c r="B568" s="436"/>
      <c r="C568" s="436"/>
      <c r="D568" s="436"/>
      <c r="E568" s="436"/>
      <c r="F568" s="436"/>
      <c r="G568" s="436"/>
      <c r="H568" s="436"/>
      <c r="I568" s="436"/>
      <c r="J568" s="436"/>
      <c r="K568" s="436"/>
      <c r="L568" s="436"/>
      <c r="M568" s="436"/>
      <c r="N568" s="436"/>
      <c r="O568" s="436"/>
      <c r="P568" s="436"/>
      <c r="Q568" s="436"/>
      <c r="R568" s="436"/>
      <c r="S568" s="436"/>
      <c r="T568" s="436"/>
      <c r="U568" s="436"/>
      <c r="V568" s="436"/>
    </row>
    <row r="569" spans="1:22" ht="26.25" customHeight="1" x14ac:dyDescent="0.2">
      <c r="A569" s="436"/>
      <c r="B569" s="436"/>
      <c r="C569" s="436"/>
      <c r="D569" s="436"/>
      <c r="E569" s="436"/>
      <c r="F569" s="436"/>
      <c r="G569" s="436"/>
      <c r="H569" s="436"/>
      <c r="I569" s="436"/>
      <c r="J569" s="436"/>
      <c r="K569" s="436"/>
      <c r="L569" s="436"/>
      <c r="M569" s="436"/>
      <c r="N569" s="436"/>
      <c r="O569" s="436"/>
      <c r="P569" s="436"/>
      <c r="Q569" s="436"/>
      <c r="R569" s="436"/>
      <c r="S569" s="436"/>
      <c r="T569" s="436"/>
      <c r="U569" s="436"/>
      <c r="V569" s="436"/>
    </row>
    <row r="570" spans="1:22" ht="26.25" customHeight="1" x14ac:dyDescent="0.2">
      <c r="A570" s="436"/>
      <c r="B570" s="436"/>
      <c r="C570" s="436"/>
      <c r="D570" s="436"/>
      <c r="E570" s="436"/>
      <c r="F570" s="436"/>
      <c r="G570" s="436"/>
      <c r="H570" s="436"/>
      <c r="I570" s="436"/>
      <c r="J570" s="436"/>
      <c r="K570" s="436"/>
      <c r="L570" s="436"/>
      <c r="M570" s="436"/>
      <c r="N570" s="436"/>
      <c r="O570" s="436"/>
      <c r="P570" s="436"/>
      <c r="Q570" s="436"/>
      <c r="R570" s="436"/>
      <c r="S570" s="436"/>
      <c r="T570" s="436"/>
      <c r="U570" s="436"/>
      <c r="V570" s="436"/>
    </row>
    <row r="571" spans="1:22" ht="26.25" customHeight="1" x14ac:dyDescent="0.2">
      <c r="A571" s="436"/>
      <c r="B571" s="436"/>
      <c r="C571" s="436"/>
      <c r="D571" s="436"/>
      <c r="E571" s="436"/>
      <c r="F571" s="436"/>
      <c r="G571" s="436"/>
      <c r="H571" s="436"/>
      <c r="I571" s="436"/>
      <c r="J571" s="436"/>
      <c r="K571" s="436"/>
      <c r="L571" s="436"/>
      <c r="M571" s="436"/>
      <c r="N571" s="436"/>
      <c r="O571" s="436"/>
      <c r="P571" s="436"/>
      <c r="Q571" s="436"/>
      <c r="R571" s="436"/>
      <c r="S571" s="436"/>
      <c r="T571" s="436"/>
      <c r="U571" s="436"/>
      <c r="V571" s="436"/>
    </row>
    <row r="572" spans="1:22" ht="26.25" customHeight="1" x14ac:dyDescent="0.2">
      <c r="A572" s="436"/>
      <c r="B572" s="436"/>
      <c r="C572" s="436"/>
      <c r="D572" s="436"/>
      <c r="E572" s="436"/>
      <c r="F572" s="436"/>
      <c r="G572" s="436"/>
      <c r="H572" s="436"/>
      <c r="I572" s="436"/>
      <c r="J572" s="436"/>
      <c r="K572" s="436"/>
      <c r="L572" s="436"/>
      <c r="M572" s="436"/>
      <c r="N572" s="436"/>
      <c r="O572" s="436"/>
      <c r="P572" s="436"/>
      <c r="Q572" s="436"/>
      <c r="R572" s="436"/>
      <c r="S572" s="436"/>
      <c r="T572" s="436"/>
      <c r="U572" s="436"/>
      <c r="V572" s="436"/>
    </row>
    <row r="573" spans="1:22" ht="26.25" customHeight="1" x14ac:dyDescent="0.2">
      <c r="A573" s="436"/>
      <c r="B573" s="436"/>
      <c r="C573" s="436"/>
      <c r="D573" s="436"/>
      <c r="E573" s="436"/>
      <c r="F573" s="436"/>
      <c r="G573" s="436"/>
      <c r="H573" s="436"/>
      <c r="I573" s="436"/>
      <c r="J573" s="436"/>
      <c r="K573" s="436"/>
      <c r="L573" s="436"/>
      <c r="M573" s="436"/>
      <c r="N573" s="436"/>
      <c r="O573" s="436"/>
      <c r="P573" s="436"/>
      <c r="Q573" s="436"/>
      <c r="R573" s="436"/>
      <c r="S573" s="436"/>
      <c r="T573" s="436"/>
      <c r="U573" s="436"/>
      <c r="V573" s="436"/>
    </row>
    <row r="574" spans="1:22" ht="26.25" customHeight="1" x14ac:dyDescent="0.2">
      <c r="A574" s="436"/>
      <c r="B574" s="436"/>
      <c r="C574" s="436"/>
      <c r="D574" s="436"/>
      <c r="E574" s="436"/>
      <c r="F574" s="436"/>
      <c r="G574" s="436"/>
      <c r="H574" s="436"/>
      <c r="I574" s="436"/>
      <c r="J574" s="436"/>
      <c r="K574" s="436"/>
      <c r="L574" s="436"/>
      <c r="M574" s="436"/>
      <c r="N574" s="436"/>
      <c r="O574" s="436"/>
      <c r="P574" s="436"/>
      <c r="Q574" s="436"/>
      <c r="R574" s="436"/>
      <c r="S574" s="436"/>
      <c r="T574" s="436"/>
      <c r="U574" s="436"/>
      <c r="V574" s="436"/>
    </row>
    <row r="575" spans="1:22" ht="26.25" customHeight="1" x14ac:dyDescent="0.2">
      <c r="A575" s="436"/>
      <c r="B575" s="436"/>
      <c r="C575" s="436"/>
      <c r="D575" s="436"/>
      <c r="E575" s="436"/>
      <c r="F575" s="436"/>
      <c r="G575" s="436"/>
      <c r="H575" s="436"/>
      <c r="I575" s="436"/>
      <c r="J575" s="436"/>
      <c r="K575" s="436"/>
      <c r="L575" s="436"/>
      <c r="M575" s="436"/>
      <c r="N575" s="436"/>
      <c r="O575" s="436"/>
      <c r="P575" s="436"/>
      <c r="Q575" s="436"/>
      <c r="R575" s="436"/>
      <c r="S575" s="436"/>
      <c r="T575" s="436"/>
      <c r="U575" s="436"/>
      <c r="V575" s="436"/>
    </row>
    <row r="576" spans="1:22" ht="26.25" customHeight="1" x14ac:dyDescent="0.2">
      <c r="A576" s="436"/>
      <c r="B576" s="436"/>
      <c r="C576" s="436"/>
      <c r="D576" s="436"/>
      <c r="E576" s="436"/>
      <c r="F576" s="436"/>
      <c r="G576" s="436"/>
      <c r="H576" s="436"/>
      <c r="I576" s="436"/>
      <c r="J576" s="436"/>
      <c r="K576" s="436"/>
      <c r="L576" s="436"/>
      <c r="M576" s="436"/>
      <c r="N576" s="436"/>
      <c r="O576" s="436"/>
      <c r="P576" s="436"/>
      <c r="Q576" s="436"/>
      <c r="R576" s="436"/>
      <c r="S576" s="436"/>
      <c r="T576" s="436"/>
      <c r="U576" s="436"/>
      <c r="V576" s="436"/>
    </row>
    <row r="577" spans="1:22" ht="26.25" customHeight="1" x14ac:dyDescent="0.2">
      <c r="A577" s="436"/>
      <c r="B577" s="436"/>
      <c r="C577" s="436"/>
      <c r="D577" s="436"/>
      <c r="E577" s="436"/>
      <c r="F577" s="436"/>
      <c r="G577" s="436"/>
      <c r="H577" s="436"/>
      <c r="I577" s="436"/>
      <c r="J577" s="436"/>
      <c r="K577" s="436"/>
      <c r="L577" s="436"/>
      <c r="M577" s="436"/>
      <c r="N577" s="436"/>
      <c r="O577" s="436"/>
      <c r="P577" s="436"/>
      <c r="Q577" s="436"/>
      <c r="R577" s="436"/>
      <c r="S577" s="436"/>
      <c r="T577" s="436"/>
      <c r="U577" s="436"/>
      <c r="V577" s="436"/>
    </row>
    <row r="578" spans="1:22" ht="26.25" customHeight="1" x14ac:dyDescent="0.2">
      <c r="A578" s="436"/>
      <c r="B578" s="436"/>
      <c r="C578" s="436"/>
      <c r="D578" s="436"/>
      <c r="E578" s="436"/>
      <c r="F578" s="436"/>
      <c r="G578" s="436"/>
      <c r="H578" s="436"/>
      <c r="I578" s="436"/>
      <c r="J578" s="436"/>
      <c r="K578" s="436"/>
      <c r="L578" s="436"/>
      <c r="M578" s="436"/>
      <c r="N578" s="436"/>
      <c r="O578" s="436"/>
      <c r="P578" s="436"/>
      <c r="Q578" s="436"/>
      <c r="R578" s="436"/>
      <c r="S578" s="436"/>
      <c r="T578" s="436"/>
      <c r="U578" s="436"/>
      <c r="V578" s="436"/>
    </row>
    <row r="579" spans="1:22" ht="26.25" customHeight="1" x14ac:dyDescent="0.2">
      <c r="A579" s="436"/>
      <c r="B579" s="436"/>
      <c r="C579" s="436"/>
      <c r="D579" s="436"/>
      <c r="E579" s="436"/>
      <c r="F579" s="436"/>
      <c r="G579" s="436"/>
      <c r="H579" s="436"/>
      <c r="I579" s="436"/>
      <c r="J579" s="436"/>
      <c r="K579" s="436"/>
      <c r="L579" s="436"/>
      <c r="M579" s="436"/>
      <c r="N579" s="436"/>
      <c r="O579" s="436"/>
      <c r="P579" s="436"/>
      <c r="Q579" s="436"/>
      <c r="R579" s="436"/>
      <c r="S579" s="436"/>
      <c r="T579" s="436"/>
      <c r="U579" s="436"/>
      <c r="V579" s="436"/>
    </row>
    <row r="580" spans="1:22" ht="26.25" customHeight="1" x14ac:dyDescent="0.2">
      <c r="A580" s="436"/>
      <c r="B580" s="436"/>
      <c r="C580" s="436"/>
      <c r="D580" s="436"/>
      <c r="E580" s="436"/>
      <c r="F580" s="436"/>
      <c r="G580" s="436"/>
      <c r="H580" s="436"/>
      <c r="I580" s="436"/>
      <c r="J580" s="436"/>
      <c r="K580" s="436"/>
      <c r="L580" s="436"/>
      <c r="M580" s="436"/>
      <c r="N580" s="436"/>
      <c r="O580" s="436"/>
      <c r="P580" s="436"/>
      <c r="Q580" s="436"/>
      <c r="R580" s="436"/>
      <c r="S580" s="436"/>
      <c r="T580" s="436"/>
      <c r="U580" s="436"/>
      <c r="V580" s="436"/>
    </row>
    <row r="581" spans="1:22" ht="26.25" customHeight="1" x14ac:dyDescent="0.2">
      <c r="A581" s="436"/>
      <c r="B581" s="436"/>
      <c r="C581" s="436"/>
      <c r="D581" s="436"/>
      <c r="E581" s="436"/>
      <c r="F581" s="436"/>
      <c r="G581" s="436"/>
      <c r="H581" s="436"/>
      <c r="I581" s="436"/>
      <c r="J581" s="436"/>
      <c r="K581" s="436"/>
      <c r="L581" s="436"/>
      <c r="M581" s="436"/>
      <c r="N581" s="436"/>
      <c r="O581" s="436"/>
      <c r="P581" s="436"/>
      <c r="Q581" s="436"/>
      <c r="R581" s="436"/>
      <c r="S581" s="436"/>
      <c r="T581" s="436"/>
      <c r="U581" s="436"/>
      <c r="V581" s="436"/>
    </row>
    <row r="582" spans="1:22" ht="26.25" customHeight="1" x14ac:dyDescent="0.2">
      <c r="A582" s="436"/>
      <c r="B582" s="436"/>
      <c r="C582" s="436"/>
      <c r="D582" s="436"/>
      <c r="E582" s="436"/>
      <c r="F582" s="436"/>
      <c r="G582" s="436"/>
      <c r="H582" s="436"/>
      <c r="I582" s="436"/>
      <c r="J582" s="436"/>
      <c r="K582" s="436"/>
      <c r="L582" s="436"/>
      <c r="M582" s="436"/>
      <c r="N582" s="436"/>
      <c r="O582" s="436"/>
      <c r="P582" s="436"/>
      <c r="Q582" s="436"/>
      <c r="R582" s="436"/>
      <c r="S582" s="436"/>
      <c r="T582" s="436"/>
      <c r="U582" s="436"/>
      <c r="V582" s="436"/>
    </row>
    <row r="583" spans="1:22" ht="26.25" customHeight="1" x14ac:dyDescent="0.2">
      <c r="A583" s="436"/>
      <c r="B583" s="436"/>
      <c r="C583" s="436"/>
      <c r="D583" s="436"/>
      <c r="E583" s="436"/>
      <c r="F583" s="436"/>
      <c r="G583" s="436"/>
      <c r="H583" s="436"/>
      <c r="I583" s="436"/>
      <c r="J583" s="436"/>
      <c r="K583" s="436"/>
      <c r="L583" s="436"/>
      <c r="M583" s="436"/>
      <c r="N583" s="436"/>
      <c r="O583" s="436"/>
      <c r="P583" s="436"/>
      <c r="Q583" s="436"/>
      <c r="R583" s="436"/>
      <c r="S583" s="436"/>
      <c r="T583" s="436"/>
      <c r="U583" s="436"/>
      <c r="V583" s="436"/>
    </row>
    <row r="584" spans="1:22" ht="26.25" customHeight="1" x14ac:dyDescent="0.2">
      <c r="A584" s="436"/>
      <c r="B584" s="436"/>
      <c r="C584" s="436"/>
      <c r="D584" s="436"/>
      <c r="E584" s="436"/>
      <c r="F584" s="436"/>
      <c r="G584" s="436"/>
      <c r="H584" s="436"/>
      <c r="I584" s="436"/>
      <c r="J584" s="436"/>
      <c r="K584" s="436"/>
      <c r="L584" s="436"/>
      <c r="M584" s="436"/>
      <c r="N584" s="436"/>
      <c r="O584" s="436"/>
      <c r="P584" s="436"/>
      <c r="Q584" s="436"/>
      <c r="R584" s="436"/>
      <c r="S584" s="436"/>
      <c r="T584" s="436"/>
      <c r="U584" s="436"/>
      <c r="V584" s="436"/>
    </row>
    <row r="585" spans="1:22" ht="26.25" customHeight="1" x14ac:dyDescent="0.2">
      <c r="A585" s="436"/>
      <c r="B585" s="436"/>
      <c r="C585" s="436"/>
      <c r="D585" s="436"/>
      <c r="E585" s="436"/>
      <c r="F585" s="436"/>
      <c r="G585" s="436"/>
      <c r="H585" s="436"/>
      <c r="I585" s="436"/>
      <c r="J585" s="436"/>
      <c r="K585" s="436"/>
      <c r="L585" s="436"/>
      <c r="M585" s="436"/>
      <c r="N585" s="436"/>
      <c r="O585" s="436"/>
      <c r="P585" s="436"/>
      <c r="Q585" s="436"/>
      <c r="R585" s="436"/>
      <c r="S585" s="436"/>
      <c r="T585" s="436"/>
      <c r="U585" s="436"/>
      <c r="V585" s="436"/>
    </row>
    <row r="586" spans="1:22" ht="26.25" customHeight="1" x14ac:dyDescent="0.2">
      <c r="A586" s="436"/>
      <c r="B586" s="436"/>
      <c r="C586" s="436"/>
      <c r="D586" s="436"/>
      <c r="E586" s="436"/>
      <c r="F586" s="436"/>
      <c r="G586" s="436"/>
      <c r="H586" s="436"/>
      <c r="I586" s="436"/>
      <c r="J586" s="436"/>
      <c r="K586" s="436"/>
      <c r="L586" s="436"/>
      <c r="M586" s="436"/>
      <c r="N586" s="436"/>
      <c r="O586" s="436"/>
      <c r="P586" s="436"/>
      <c r="Q586" s="436"/>
      <c r="R586" s="436"/>
      <c r="S586" s="436"/>
      <c r="T586" s="436"/>
      <c r="U586" s="436"/>
      <c r="V586" s="436"/>
    </row>
    <row r="587" spans="1:22" ht="26.25" customHeight="1" x14ac:dyDescent="0.2">
      <c r="A587" s="436"/>
      <c r="B587" s="436"/>
      <c r="C587" s="436"/>
      <c r="D587" s="436"/>
      <c r="E587" s="436"/>
      <c r="F587" s="436"/>
      <c r="G587" s="436"/>
      <c r="H587" s="436"/>
      <c r="I587" s="436"/>
      <c r="J587" s="436"/>
      <c r="K587" s="436"/>
      <c r="L587" s="436"/>
      <c r="M587" s="436"/>
      <c r="N587" s="436"/>
      <c r="O587" s="436"/>
      <c r="P587" s="436"/>
      <c r="Q587" s="436"/>
      <c r="R587" s="436"/>
      <c r="S587" s="436"/>
      <c r="T587" s="436"/>
      <c r="U587" s="436"/>
      <c r="V587" s="436"/>
    </row>
    <row r="588" spans="1:22" ht="26.25" customHeight="1" x14ac:dyDescent="0.2">
      <c r="A588" s="436"/>
      <c r="B588" s="436"/>
      <c r="C588" s="436"/>
      <c r="D588" s="436"/>
      <c r="E588" s="436"/>
      <c r="F588" s="436"/>
      <c r="G588" s="436"/>
      <c r="H588" s="436"/>
      <c r="I588" s="436"/>
      <c r="J588" s="436"/>
      <c r="K588" s="436"/>
      <c r="L588" s="436"/>
      <c r="M588" s="436"/>
      <c r="N588" s="436"/>
      <c r="O588" s="436"/>
      <c r="P588" s="436"/>
      <c r="Q588" s="436"/>
      <c r="R588" s="436"/>
      <c r="S588" s="436"/>
      <c r="T588" s="436"/>
      <c r="U588" s="436"/>
      <c r="V588" s="436"/>
    </row>
    <row r="589" spans="1:22" ht="26.25" customHeight="1" x14ac:dyDescent="0.2">
      <c r="A589" s="436"/>
      <c r="B589" s="436"/>
      <c r="C589" s="436"/>
      <c r="D589" s="436"/>
      <c r="E589" s="436"/>
      <c r="F589" s="436"/>
      <c r="G589" s="436"/>
      <c r="H589" s="436"/>
      <c r="I589" s="436"/>
      <c r="J589" s="436"/>
      <c r="K589" s="436"/>
      <c r="L589" s="436"/>
      <c r="M589" s="436"/>
      <c r="N589" s="436"/>
      <c r="O589" s="436"/>
      <c r="P589" s="436"/>
      <c r="Q589" s="436"/>
      <c r="R589" s="436"/>
      <c r="S589" s="436"/>
      <c r="T589" s="436"/>
      <c r="U589" s="436"/>
      <c r="V589" s="436"/>
    </row>
    <row r="590" spans="1:22" ht="26.25" customHeight="1" x14ac:dyDescent="0.2">
      <c r="A590" s="436"/>
      <c r="B590" s="436"/>
      <c r="C590" s="436"/>
      <c r="D590" s="436"/>
      <c r="E590" s="436"/>
      <c r="F590" s="436"/>
      <c r="G590" s="436"/>
      <c r="H590" s="436"/>
      <c r="I590" s="436"/>
      <c r="J590" s="436"/>
      <c r="K590" s="436"/>
      <c r="L590" s="436"/>
      <c r="M590" s="436"/>
      <c r="N590" s="436"/>
      <c r="O590" s="436"/>
      <c r="P590" s="436"/>
      <c r="Q590" s="436"/>
      <c r="R590" s="436"/>
      <c r="S590" s="436"/>
      <c r="T590" s="436"/>
      <c r="U590" s="436"/>
      <c r="V590" s="436"/>
    </row>
    <row r="591" spans="1:22" ht="26.25" customHeight="1" x14ac:dyDescent="0.2">
      <c r="A591" s="436"/>
      <c r="B591" s="436"/>
      <c r="C591" s="436"/>
      <c r="D591" s="436"/>
      <c r="E591" s="436"/>
      <c r="F591" s="436"/>
      <c r="G591" s="436"/>
      <c r="H591" s="436"/>
      <c r="I591" s="436"/>
      <c r="J591" s="436"/>
      <c r="K591" s="436"/>
      <c r="L591" s="436"/>
      <c r="M591" s="436"/>
      <c r="N591" s="436"/>
      <c r="O591" s="436"/>
      <c r="P591" s="436"/>
      <c r="Q591" s="436"/>
      <c r="R591" s="436"/>
      <c r="S591" s="436"/>
      <c r="T591" s="436"/>
      <c r="U591" s="436"/>
      <c r="V591" s="436"/>
    </row>
    <row r="592" spans="1:22" ht="26.25" customHeight="1" x14ac:dyDescent="0.2">
      <c r="A592" s="436"/>
      <c r="B592" s="436"/>
      <c r="C592" s="436"/>
      <c r="D592" s="436"/>
      <c r="E592" s="436"/>
      <c r="F592" s="436"/>
      <c r="G592" s="436"/>
      <c r="H592" s="436"/>
      <c r="I592" s="436"/>
      <c r="J592" s="436"/>
      <c r="K592" s="436"/>
      <c r="L592" s="436"/>
      <c r="M592" s="436"/>
      <c r="N592" s="436"/>
      <c r="O592" s="436"/>
      <c r="P592" s="436"/>
      <c r="Q592" s="436"/>
      <c r="R592" s="436"/>
      <c r="S592" s="436"/>
      <c r="T592" s="436"/>
      <c r="U592" s="436"/>
      <c r="V592" s="436"/>
    </row>
    <row r="593" spans="1:22" ht="26.25" customHeight="1" x14ac:dyDescent="0.2">
      <c r="A593" s="436"/>
      <c r="B593" s="436"/>
      <c r="C593" s="436"/>
      <c r="D593" s="436"/>
      <c r="E593" s="436"/>
      <c r="F593" s="436"/>
      <c r="G593" s="436"/>
      <c r="H593" s="436"/>
      <c r="I593" s="436"/>
      <c r="J593" s="436"/>
      <c r="K593" s="436"/>
      <c r="L593" s="436"/>
      <c r="M593" s="436"/>
      <c r="N593" s="436"/>
      <c r="O593" s="436"/>
      <c r="P593" s="436"/>
      <c r="Q593" s="436"/>
      <c r="R593" s="436"/>
      <c r="S593" s="436"/>
      <c r="T593" s="436"/>
      <c r="U593" s="436"/>
      <c r="V593" s="436"/>
    </row>
    <row r="594" spans="1:22" ht="26.25" customHeight="1" x14ac:dyDescent="0.2">
      <c r="A594" s="436"/>
      <c r="B594" s="436"/>
      <c r="C594" s="436"/>
      <c r="D594" s="436"/>
      <c r="E594" s="436"/>
      <c r="F594" s="436"/>
      <c r="G594" s="436"/>
      <c r="H594" s="436"/>
      <c r="I594" s="436"/>
      <c r="J594" s="436"/>
      <c r="K594" s="436"/>
      <c r="L594" s="436"/>
      <c r="M594" s="436"/>
      <c r="N594" s="436"/>
      <c r="O594" s="436"/>
      <c r="P594" s="436"/>
      <c r="Q594" s="436"/>
      <c r="R594" s="436"/>
      <c r="S594" s="436"/>
      <c r="T594" s="436"/>
      <c r="U594" s="436"/>
      <c r="V594" s="436"/>
    </row>
    <row r="595" spans="1:22" ht="26.25" customHeight="1" x14ac:dyDescent="0.2">
      <c r="A595" s="436"/>
      <c r="B595" s="436"/>
      <c r="C595" s="436"/>
      <c r="D595" s="436"/>
      <c r="E595" s="436"/>
      <c r="F595" s="436"/>
      <c r="G595" s="436"/>
      <c r="H595" s="436"/>
      <c r="I595" s="436"/>
      <c r="J595" s="436"/>
      <c r="K595" s="436"/>
      <c r="L595" s="436"/>
      <c r="M595" s="436"/>
      <c r="N595" s="436"/>
      <c r="O595" s="436"/>
      <c r="P595" s="436"/>
      <c r="Q595" s="436"/>
      <c r="R595" s="436"/>
      <c r="S595" s="436"/>
      <c r="T595" s="436"/>
      <c r="U595" s="436"/>
      <c r="V595" s="436"/>
    </row>
    <row r="596" spans="1:22" ht="26.25" customHeight="1" x14ac:dyDescent="0.2">
      <c r="A596" s="436"/>
      <c r="B596" s="436"/>
      <c r="C596" s="436"/>
      <c r="D596" s="436"/>
      <c r="E596" s="436"/>
      <c r="F596" s="436"/>
      <c r="G596" s="436"/>
      <c r="H596" s="436"/>
      <c r="I596" s="436"/>
      <c r="J596" s="436"/>
      <c r="K596" s="436"/>
      <c r="L596" s="436"/>
      <c r="M596" s="436"/>
      <c r="N596" s="436"/>
      <c r="O596" s="436"/>
      <c r="P596" s="436"/>
      <c r="Q596" s="436"/>
      <c r="R596" s="436"/>
      <c r="S596" s="436"/>
      <c r="T596" s="436"/>
      <c r="U596" s="436"/>
      <c r="V596" s="436"/>
    </row>
    <row r="597" spans="1:22" ht="26.25" customHeight="1" x14ac:dyDescent="0.2">
      <c r="A597" s="436"/>
      <c r="B597" s="436"/>
      <c r="C597" s="436"/>
      <c r="D597" s="436"/>
      <c r="E597" s="436"/>
      <c r="F597" s="436"/>
      <c r="G597" s="436"/>
      <c r="H597" s="436"/>
      <c r="I597" s="436"/>
      <c r="J597" s="436"/>
      <c r="K597" s="436"/>
      <c r="L597" s="436"/>
      <c r="M597" s="436"/>
      <c r="N597" s="436"/>
      <c r="O597" s="436"/>
      <c r="P597" s="436"/>
      <c r="Q597" s="436"/>
      <c r="R597" s="436"/>
      <c r="S597" s="436"/>
      <c r="T597" s="436"/>
      <c r="U597" s="436"/>
      <c r="V597" s="436"/>
    </row>
    <row r="598" spans="1:22" ht="26.25" customHeight="1" x14ac:dyDescent="0.2">
      <c r="A598" s="436"/>
      <c r="B598" s="436"/>
      <c r="C598" s="436"/>
      <c r="D598" s="436"/>
      <c r="E598" s="436"/>
      <c r="F598" s="436"/>
      <c r="G598" s="436"/>
      <c r="H598" s="436"/>
      <c r="I598" s="436"/>
      <c r="J598" s="436"/>
      <c r="K598" s="436"/>
      <c r="L598" s="436"/>
      <c r="M598" s="436"/>
      <c r="N598" s="436"/>
      <c r="O598" s="436"/>
      <c r="P598" s="436"/>
      <c r="Q598" s="436"/>
      <c r="R598" s="436"/>
      <c r="S598" s="436"/>
      <c r="T598" s="436"/>
      <c r="U598" s="436"/>
      <c r="V598" s="436"/>
    </row>
    <row r="599" spans="1:22" ht="26.25" customHeight="1" x14ac:dyDescent="0.2">
      <c r="A599" s="436"/>
      <c r="B599" s="436"/>
      <c r="C599" s="436"/>
      <c r="D599" s="436"/>
      <c r="E599" s="436"/>
      <c r="F599" s="436"/>
      <c r="G599" s="436"/>
      <c r="H599" s="436"/>
      <c r="I599" s="436"/>
      <c r="J599" s="436"/>
      <c r="K599" s="436"/>
      <c r="L599" s="436"/>
      <c r="M599" s="436"/>
      <c r="N599" s="436"/>
      <c r="O599" s="436"/>
      <c r="P599" s="436"/>
      <c r="Q599" s="436"/>
      <c r="R599" s="436"/>
      <c r="S599" s="436"/>
      <c r="T599" s="436"/>
      <c r="U599" s="436"/>
      <c r="V599" s="436"/>
    </row>
    <row r="600" spans="1:22" ht="26.25" customHeight="1" x14ac:dyDescent="0.2">
      <c r="A600" s="436"/>
      <c r="B600" s="436"/>
      <c r="C600" s="436"/>
      <c r="D600" s="436"/>
      <c r="E600" s="436"/>
      <c r="F600" s="436"/>
      <c r="G600" s="436"/>
      <c r="H600" s="436"/>
      <c r="I600" s="436"/>
      <c r="J600" s="436"/>
      <c r="K600" s="436"/>
      <c r="L600" s="436"/>
      <c r="M600" s="436"/>
      <c r="N600" s="436"/>
      <c r="O600" s="436"/>
      <c r="P600" s="436"/>
      <c r="Q600" s="436"/>
      <c r="R600" s="436"/>
      <c r="S600" s="436"/>
      <c r="T600" s="436"/>
      <c r="U600" s="436"/>
      <c r="V600" s="436"/>
    </row>
    <row r="601" spans="1:22" ht="26.25" customHeight="1" x14ac:dyDescent="0.2">
      <c r="A601" s="436"/>
      <c r="B601" s="436"/>
      <c r="C601" s="436"/>
      <c r="D601" s="436"/>
      <c r="E601" s="436"/>
      <c r="F601" s="436"/>
      <c r="G601" s="436"/>
      <c r="H601" s="436"/>
      <c r="I601" s="436"/>
      <c r="J601" s="436"/>
      <c r="K601" s="436"/>
      <c r="L601" s="436"/>
      <c r="M601" s="436"/>
      <c r="N601" s="436"/>
      <c r="O601" s="436"/>
      <c r="P601" s="436"/>
      <c r="Q601" s="436"/>
      <c r="R601" s="436"/>
      <c r="S601" s="436"/>
      <c r="T601" s="436"/>
      <c r="U601" s="436"/>
      <c r="V601" s="436"/>
    </row>
    <row r="602" spans="1:22" ht="26.25" customHeight="1" x14ac:dyDescent="0.2">
      <c r="A602" s="436"/>
      <c r="B602" s="436"/>
      <c r="C602" s="436"/>
      <c r="D602" s="436"/>
      <c r="E602" s="436"/>
      <c r="F602" s="436"/>
      <c r="G602" s="436"/>
      <c r="H602" s="436"/>
      <c r="I602" s="436"/>
      <c r="J602" s="436"/>
      <c r="K602" s="436"/>
      <c r="L602" s="436"/>
      <c r="M602" s="436"/>
      <c r="N602" s="436"/>
      <c r="O602" s="436"/>
      <c r="P602" s="436"/>
      <c r="Q602" s="436"/>
      <c r="R602" s="436"/>
      <c r="S602" s="436"/>
      <c r="T602" s="436"/>
      <c r="U602" s="436"/>
      <c r="V602" s="436"/>
    </row>
    <row r="603" spans="1:22" ht="26.25" customHeight="1" x14ac:dyDescent="0.2">
      <c r="A603" s="436"/>
      <c r="B603" s="436"/>
      <c r="C603" s="436"/>
      <c r="D603" s="436"/>
      <c r="E603" s="436"/>
      <c r="F603" s="436"/>
      <c r="G603" s="436"/>
      <c r="H603" s="436"/>
      <c r="I603" s="436"/>
      <c r="J603" s="436"/>
      <c r="K603" s="436"/>
      <c r="L603" s="436"/>
      <c r="M603" s="436"/>
      <c r="N603" s="436"/>
      <c r="O603" s="436"/>
      <c r="P603" s="436"/>
      <c r="Q603" s="436"/>
      <c r="R603" s="436"/>
      <c r="S603" s="436"/>
      <c r="T603" s="436"/>
      <c r="U603" s="436"/>
      <c r="V603" s="436"/>
    </row>
    <row r="604" spans="1:22" ht="26.25" customHeight="1" x14ac:dyDescent="0.2">
      <c r="A604" s="436"/>
      <c r="B604" s="436"/>
      <c r="C604" s="436"/>
      <c r="D604" s="436"/>
      <c r="E604" s="436"/>
      <c r="F604" s="436"/>
      <c r="G604" s="436"/>
      <c r="H604" s="436"/>
      <c r="I604" s="436"/>
      <c r="J604" s="436"/>
      <c r="K604" s="436"/>
      <c r="L604" s="436"/>
      <c r="M604" s="436"/>
      <c r="N604" s="436"/>
      <c r="O604" s="436"/>
      <c r="P604" s="436"/>
      <c r="Q604" s="436"/>
      <c r="R604" s="436"/>
      <c r="S604" s="436"/>
      <c r="T604" s="436"/>
      <c r="U604" s="436"/>
      <c r="V604" s="436"/>
    </row>
    <row r="605" spans="1:22" ht="26.25" customHeight="1" x14ac:dyDescent="0.2">
      <c r="A605" s="436"/>
      <c r="B605" s="436"/>
      <c r="C605" s="436"/>
      <c r="D605" s="436"/>
      <c r="E605" s="436"/>
      <c r="F605" s="436"/>
      <c r="G605" s="436"/>
      <c r="H605" s="436"/>
      <c r="I605" s="436"/>
      <c r="J605" s="436"/>
      <c r="K605" s="436"/>
      <c r="L605" s="436"/>
      <c r="M605" s="436"/>
      <c r="N605" s="436"/>
      <c r="O605" s="436"/>
      <c r="P605" s="436"/>
      <c r="Q605" s="436"/>
      <c r="R605" s="436"/>
      <c r="S605" s="436"/>
      <c r="T605" s="436"/>
      <c r="U605" s="436"/>
      <c r="V605" s="436"/>
    </row>
    <row r="606" spans="1:22" ht="26.25" customHeight="1" x14ac:dyDescent="0.2">
      <c r="A606" s="436"/>
      <c r="B606" s="436"/>
      <c r="C606" s="436"/>
      <c r="D606" s="436"/>
      <c r="E606" s="436"/>
      <c r="F606" s="436"/>
      <c r="G606" s="436"/>
      <c r="H606" s="436"/>
      <c r="I606" s="436"/>
      <c r="J606" s="436"/>
      <c r="K606" s="436"/>
      <c r="L606" s="436"/>
      <c r="M606" s="436"/>
      <c r="N606" s="436"/>
      <c r="O606" s="436"/>
      <c r="P606" s="436"/>
      <c r="Q606" s="436"/>
      <c r="R606" s="436"/>
      <c r="S606" s="436"/>
      <c r="T606" s="436"/>
      <c r="U606" s="436"/>
      <c r="V606" s="436"/>
    </row>
    <row r="607" spans="1:22" ht="26.25" customHeight="1" x14ac:dyDescent="0.2">
      <c r="A607" s="436"/>
      <c r="B607" s="436"/>
      <c r="C607" s="436"/>
      <c r="D607" s="436"/>
      <c r="E607" s="436"/>
      <c r="F607" s="436"/>
      <c r="G607" s="436"/>
      <c r="H607" s="436"/>
      <c r="I607" s="436"/>
      <c r="J607" s="436"/>
      <c r="K607" s="436"/>
      <c r="L607" s="436"/>
      <c r="M607" s="436"/>
      <c r="N607" s="436"/>
      <c r="O607" s="436"/>
      <c r="P607" s="436"/>
      <c r="Q607" s="436"/>
      <c r="R607" s="436"/>
      <c r="S607" s="436"/>
      <c r="T607" s="436"/>
      <c r="U607" s="436"/>
      <c r="V607" s="436"/>
    </row>
    <row r="608" spans="1:22" ht="26.25" customHeight="1" x14ac:dyDescent="0.2">
      <c r="A608" s="436"/>
      <c r="B608" s="436"/>
      <c r="C608" s="436"/>
      <c r="D608" s="436"/>
      <c r="E608" s="436"/>
      <c r="F608" s="436"/>
      <c r="G608" s="436"/>
      <c r="H608" s="436"/>
      <c r="I608" s="436"/>
      <c r="J608" s="436"/>
      <c r="K608" s="436"/>
      <c r="L608" s="436"/>
      <c r="M608" s="436"/>
      <c r="N608" s="436"/>
      <c r="O608" s="436"/>
      <c r="P608" s="436"/>
      <c r="Q608" s="436"/>
      <c r="R608" s="436"/>
      <c r="S608" s="436"/>
      <c r="T608" s="436"/>
      <c r="U608" s="436"/>
      <c r="V608" s="436"/>
    </row>
    <row r="609" spans="1:22" ht="26.25" customHeight="1" x14ac:dyDescent="0.2">
      <c r="A609" s="436"/>
      <c r="B609" s="436"/>
      <c r="C609" s="436"/>
      <c r="D609" s="436"/>
      <c r="E609" s="436"/>
      <c r="F609" s="436"/>
      <c r="G609" s="436"/>
      <c r="H609" s="436"/>
      <c r="I609" s="436"/>
      <c r="J609" s="436"/>
      <c r="K609" s="436"/>
      <c r="L609" s="436"/>
      <c r="M609" s="436"/>
      <c r="N609" s="436"/>
      <c r="O609" s="436"/>
      <c r="P609" s="436"/>
      <c r="Q609" s="436"/>
      <c r="R609" s="436"/>
      <c r="S609" s="436"/>
      <c r="T609" s="436"/>
      <c r="U609" s="436"/>
      <c r="V609" s="436"/>
    </row>
    <row r="610" spans="1:22" ht="26.25" customHeight="1" x14ac:dyDescent="0.2">
      <c r="A610" s="436"/>
      <c r="B610" s="436"/>
      <c r="C610" s="436"/>
      <c r="D610" s="436"/>
      <c r="E610" s="436"/>
      <c r="F610" s="436"/>
      <c r="G610" s="436"/>
      <c r="H610" s="436"/>
      <c r="I610" s="436"/>
      <c r="J610" s="436"/>
      <c r="K610" s="436"/>
      <c r="L610" s="436"/>
      <c r="M610" s="436"/>
      <c r="N610" s="436"/>
      <c r="O610" s="436"/>
      <c r="P610" s="436"/>
      <c r="Q610" s="436"/>
      <c r="R610" s="436"/>
      <c r="S610" s="436"/>
      <c r="T610" s="436"/>
      <c r="U610" s="436"/>
      <c r="V610" s="436"/>
    </row>
    <row r="611" spans="1:22" ht="26.25" customHeight="1" x14ac:dyDescent="0.2">
      <c r="A611" s="436"/>
      <c r="B611" s="436"/>
      <c r="C611" s="436"/>
      <c r="D611" s="436"/>
      <c r="E611" s="436"/>
      <c r="F611" s="436"/>
      <c r="G611" s="436"/>
      <c r="H611" s="436"/>
      <c r="I611" s="436"/>
      <c r="J611" s="436"/>
      <c r="K611" s="436"/>
      <c r="L611" s="436"/>
      <c r="M611" s="436"/>
      <c r="N611" s="436"/>
      <c r="O611" s="436"/>
      <c r="P611" s="436"/>
      <c r="Q611" s="436"/>
      <c r="R611" s="436"/>
      <c r="S611" s="436"/>
      <c r="T611" s="436"/>
      <c r="U611" s="436"/>
      <c r="V611" s="436"/>
    </row>
    <row r="612" spans="1:22" ht="26.25" customHeight="1" x14ac:dyDescent="0.2">
      <c r="A612" s="436"/>
      <c r="B612" s="436"/>
      <c r="C612" s="436"/>
      <c r="D612" s="436"/>
      <c r="E612" s="436"/>
      <c r="F612" s="436"/>
      <c r="G612" s="436"/>
      <c r="H612" s="436"/>
      <c r="I612" s="436"/>
      <c r="J612" s="436"/>
      <c r="K612" s="436"/>
      <c r="L612" s="436"/>
      <c r="M612" s="436"/>
      <c r="N612" s="436"/>
      <c r="O612" s="436"/>
      <c r="P612" s="436"/>
      <c r="Q612" s="436"/>
      <c r="R612" s="436"/>
      <c r="S612" s="436"/>
      <c r="T612" s="436"/>
      <c r="U612" s="436"/>
      <c r="V612" s="436"/>
    </row>
    <row r="613" spans="1:22" ht="26.25" customHeight="1" x14ac:dyDescent="0.2">
      <c r="A613" s="436"/>
      <c r="B613" s="436"/>
      <c r="C613" s="436"/>
      <c r="D613" s="436"/>
      <c r="E613" s="436"/>
      <c r="F613" s="436"/>
      <c r="G613" s="436"/>
      <c r="H613" s="436"/>
      <c r="I613" s="436"/>
      <c r="J613" s="436"/>
      <c r="K613" s="436"/>
      <c r="L613" s="436"/>
      <c r="M613" s="436"/>
      <c r="N613" s="436"/>
      <c r="O613" s="436"/>
      <c r="P613" s="436"/>
      <c r="Q613" s="436"/>
      <c r="R613" s="436"/>
      <c r="S613" s="436"/>
      <c r="T613" s="436"/>
      <c r="U613" s="436"/>
      <c r="V613" s="436"/>
    </row>
    <row r="614" spans="1:22" ht="26.25" customHeight="1" x14ac:dyDescent="0.2">
      <c r="A614" s="436"/>
      <c r="B614" s="436"/>
      <c r="C614" s="436"/>
      <c r="D614" s="436"/>
      <c r="E614" s="436"/>
      <c r="F614" s="436"/>
      <c r="G614" s="436"/>
      <c r="H614" s="436"/>
      <c r="I614" s="436"/>
      <c r="J614" s="436"/>
      <c r="K614" s="436"/>
      <c r="L614" s="436"/>
      <c r="M614" s="436"/>
      <c r="N614" s="436"/>
      <c r="O614" s="436"/>
      <c r="P614" s="436"/>
      <c r="Q614" s="436"/>
      <c r="R614" s="436"/>
      <c r="S614" s="436"/>
      <c r="T614" s="436"/>
      <c r="U614" s="436"/>
      <c r="V614" s="436"/>
    </row>
    <row r="615" spans="1:22" ht="26.25" customHeight="1" x14ac:dyDescent="0.2">
      <c r="A615" s="436"/>
      <c r="B615" s="436"/>
      <c r="C615" s="436"/>
      <c r="D615" s="436"/>
      <c r="E615" s="436"/>
      <c r="F615" s="436"/>
      <c r="G615" s="436"/>
      <c r="H615" s="436"/>
      <c r="I615" s="436"/>
      <c r="J615" s="436"/>
      <c r="K615" s="436"/>
      <c r="L615" s="436"/>
      <c r="M615" s="436"/>
      <c r="N615" s="436"/>
      <c r="O615" s="436"/>
      <c r="P615" s="436"/>
      <c r="Q615" s="436"/>
      <c r="R615" s="436"/>
      <c r="S615" s="436"/>
      <c r="T615" s="436"/>
      <c r="U615" s="436"/>
      <c r="V615" s="436"/>
    </row>
    <row r="616" spans="1:22" ht="26.25" customHeight="1" x14ac:dyDescent="0.2">
      <c r="A616" s="436"/>
      <c r="B616" s="436"/>
      <c r="C616" s="436"/>
      <c r="D616" s="436"/>
      <c r="E616" s="436"/>
      <c r="F616" s="436"/>
      <c r="G616" s="436"/>
      <c r="H616" s="436"/>
      <c r="I616" s="436"/>
      <c r="J616" s="436"/>
      <c r="K616" s="436"/>
      <c r="L616" s="436"/>
      <c r="M616" s="436"/>
      <c r="N616" s="436"/>
      <c r="O616" s="436"/>
      <c r="P616" s="436"/>
      <c r="Q616" s="436"/>
      <c r="R616" s="436"/>
      <c r="S616" s="436"/>
      <c r="T616" s="436"/>
      <c r="U616" s="436"/>
      <c r="V616" s="436"/>
    </row>
    <row r="617" spans="1:22" ht="26.25" customHeight="1" x14ac:dyDescent="0.2">
      <c r="A617" s="436"/>
      <c r="B617" s="436"/>
      <c r="C617" s="436"/>
      <c r="D617" s="436"/>
      <c r="E617" s="436"/>
      <c r="F617" s="436"/>
      <c r="G617" s="436"/>
      <c r="H617" s="436"/>
      <c r="I617" s="436"/>
      <c r="J617" s="436"/>
      <c r="K617" s="436"/>
      <c r="L617" s="436"/>
      <c r="M617" s="436"/>
      <c r="N617" s="436"/>
      <c r="O617" s="436"/>
      <c r="P617" s="436"/>
      <c r="Q617" s="436"/>
      <c r="R617" s="436"/>
      <c r="S617" s="436"/>
      <c r="T617" s="436"/>
      <c r="U617" s="436"/>
      <c r="V617" s="436"/>
    </row>
    <row r="618" spans="1:22" ht="26.25" customHeight="1" x14ac:dyDescent="0.2">
      <c r="A618" s="436"/>
      <c r="B618" s="436"/>
      <c r="C618" s="436"/>
      <c r="D618" s="436"/>
      <c r="E618" s="436"/>
      <c r="F618" s="436"/>
      <c r="G618" s="436"/>
      <c r="H618" s="436"/>
      <c r="I618" s="436"/>
      <c r="J618" s="436"/>
      <c r="K618" s="436"/>
      <c r="L618" s="436"/>
      <c r="M618" s="436"/>
      <c r="N618" s="436"/>
      <c r="O618" s="436"/>
      <c r="P618" s="436"/>
      <c r="Q618" s="436"/>
      <c r="R618" s="436"/>
      <c r="S618" s="436"/>
      <c r="T618" s="436"/>
      <c r="U618" s="436"/>
      <c r="V618" s="436"/>
    </row>
    <row r="619" spans="1:22" ht="26.25" customHeight="1" x14ac:dyDescent="0.2">
      <c r="A619" s="436"/>
      <c r="B619" s="436"/>
      <c r="C619" s="436"/>
      <c r="D619" s="436"/>
      <c r="E619" s="436"/>
      <c r="F619" s="436"/>
      <c r="G619" s="436"/>
      <c r="H619" s="436"/>
      <c r="I619" s="436"/>
      <c r="J619" s="436"/>
      <c r="K619" s="436"/>
      <c r="L619" s="436"/>
      <c r="M619" s="436"/>
      <c r="N619" s="436"/>
      <c r="O619" s="436"/>
      <c r="P619" s="436"/>
      <c r="Q619" s="436"/>
      <c r="R619" s="436"/>
      <c r="S619" s="436"/>
      <c r="T619" s="436"/>
      <c r="U619" s="436"/>
      <c r="V619" s="436"/>
    </row>
    <row r="620" spans="1:22" ht="26.25" customHeight="1" x14ac:dyDescent="0.2">
      <c r="A620" s="436"/>
      <c r="B620" s="436"/>
      <c r="C620" s="436"/>
      <c r="D620" s="436"/>
      <c r="E620" s="436"/>
      <c r="F620" s="436"/>
      <c r="G620" s="436"/>
      <c r="H620" s="436"/>
      <c r="I620" s="436"/>
      <c r="J620" s="436"/>
      <c r="K620" s="436"/>
      <c r="L620" s="436"/>
      <c r="M620" s="436"/>
      <c r="N620" s="436"/>
      <c r="O620" s="436"/>
      <c r="P620" s="436"/>
      <c r="Q620" s="436"/>
      <c r="R620" s="436"/>
      <c r="S620" s="436"/>
      <c r="T620" s="436"/>
      <c r="U620" s="436"/>
      <c r="V620" s="436"/>
    </row>
    <row r="621" spans="1:22" ht="26.25" customHeight="1" x14ac:dyDescent="0.2">
      <c r="A621" s="436"/>
      <c r="B621" s="436"/>
      <c r="C621" s="436"/>
      <c r="D621" s="436"/>
      <c r="E621" s="436"/>
      <c r="F621" s="436"/>
      <c r="G621" s="436"/>
      <c r="H621" s="436"/>
      <c r="I621" s="436"/>
      <c r="J621" s="436"/>
      <c r="K621" s="436"/>
      <c r="L621" s="436"/>
      <c r="M621" s="436"/>
      <c r="N621" s="436"/>
      <c r="O621" s="436"/>
      <c r="P621" s="436"/>
      <c r="Q621" s="436"/>
      <c r="R621" s="436"/>
      <c r="S621" s="436"/>
      <c r="T621" s="436"/>
      <c r="U621" s="436"/>
      <c r="V621" s="436"/>
    </row>
    <row r="622" spans="1:22" ht="26.25" customHeight="1" x14ac:dyDescent="0.2">
      <c r="A622" s="436"/>
      <c r="B622" s="436"/>
      <c r="C622" s="436"/>
      <c r="D622" s="436"/>
      <c r="E622" s="436"/>
      <c r="F622" s="436"/>
      <c r="G622" s="436"/>
      <c r="H622" s="436"/>
      <c r="I622" s="436"/>
      <c r="J622" s="436"/>
      <c r="K622" s="436"/>
      <c r="L622" s="436"/>
      <c r="M622" s="436"/>
      <c r="N622" s="436"/>
      <c r="O622" s="436"/>
      <c r="P622" s="436"/>
      <c r="Q622" s="436"/>
      <c r="R622" s="436"/>
      <c r="S622" s="436"/>
      <c r="T622" s="436"/>
      <c r="U622" s="436"/>
      <c r="V622" s="436"/>
    </row>
    <row r="623" spans="1:22" ht="26.25" customHeight="1" x14ac:dyDescent="0.2">
      <c r="A623" s="436"/>
      <c r="B623" s="436"/>
      <c r="C623" s="436"/>
      <c r="D623" s="436"/>
      <c r="E623" s="436"/>
      <c r="F623" s="436"/>
      <c r="G623" s="436"/>
      <c r="H623" s="436"/>
      <c r="I623" s="436"/>
      <c r="J623" s="436"/>
      <c r="K623" s="436"/>
      <c r="L623" s="436"/>
      <c r="M623" s="436"/>
      <c r="N623" s="436"/>
      <c r="O623" s="436"/>
      <c r="P623" s="436"/>
      <c r="Q623" s="436"/>
      <c r="R623" s="436"/>
      <c r="S623" s="436"/>
      <c r="T623" s="436"/>
      <c r="U623" s="436"/>
      <c r="V623" s="436"/>
    </row>
    <row r="624" spans="1:22" ht="26.25" customHeight="1" x14ac:dyDescent="0.2">
      <c r="A624" s="436"/>
      <c r="B624" s="436"/>
      <c r="C624" s="436"/>
      <c r="D624" s="436"/>
      <c r="E624" s="436"/>
      <c r="F624" s="436"/>
      <c r="G624" s="436"/>
      <c r="H624" s="436"/>
      <c r="I624" s="436"/>
      <c r="J624" s="436"/>
      <c r="K624" s="436"/>
      <c r="L624" s="436"/>
      <c r="M624" s="436"/>
      <c r="N624" s="436"/>
      <c r="O624" s="436"/>
      <c r="P624" s="436"/>
      <c r="Q624" s="436"/>
      <c r="R624" s="436"/>
      <c r="S624" s="436"/>
      <c r="T624" s="436"/>
      <c r="U624" s="436"/>
      <c r="V624" s="436"/>
    </row>
    <row r="625" spans="1:22" ht="26.25" customHeight="1" x14ac:dyDescent="0.2">
      <c r="A625" s="436"/>
      <c r="B625" s="436"/>
      <c r="C625" s="436"/>
      <c r="D625" s="436"/>
      <c r="E625" s="436"/>
      <c r="F625" s="436"/>
      <c r="G625" s="436"/>
      <c r="H625" s="436"/>
      <c r="I625" s="436"/>
      <c r="J625" s="436"/>
      <c r="K625" s="436"/>
      <c r="L625" s="436"/>
      <c r="M625" s="436"/>
      <c r="N625" s="436"/>
      <c r="O625" s="436"/>
      <c r="P625" s="436"/>
      <c r="Q625" s="436"/>
      <c r="R625" s="436"/>
      <c r="S625" s="436"/>
      <c r="T625" s="436"/>
      <c r="U625" s="436"/>
      <c r="V625" s="436"/>
    </row>
    <row r="626" spans="1:22" ht="26.25" customHeight="1" x14ac:dyDescent="0.2">
      <c r="A626" s="436"/>
      <c r="B626" s="436"/>
      <c r="C626" s="436"/>
      <c r="D626" s="436"/>
      <c r="E626" s="436"/>
      <c r="F626" s="436"/>
      <c r="G626" s="436"/>
      <c r="H626" s="436"/>
      <c r="I626" s="436"/>
      <c r="J626" s="436"/>
      <c r="K626" s="436"/>
      <c r="L626" s="436"/>
      <c r="M626" s="436"/>
      <c r="N626" s="436"/>
      <c r="O626" s="436"/>
      <c r="P626" s="436"/>
      <c r="Q626" s="436"/>
      <c r="R626" s="436"/>
      <c r="S626" s="436"/>
      <c r="T626" s="436"/>
      <c r="U626" s="436"/>
      <c r="V626" s="436"/>
    </row>
    <row r="627" spans="1:22" ht="26.25" customHeight="1" x14ac:dyDescent="0.2">
      <c r="A627" s="436"/>
      <c r="B627" s="436"/>
      <c r="C627" s="436"/>
      <c r="D627" s="436"/>
      <c r="E627" s="436"/>
      <c r="F627" s="436"/>
      <c r="G627" s="436"/>
      <c r="H627" s="436"/>
      <c r="I627" s="436"/>
      <c r="J627" s="436"/>
      <c r="K627" s="436"/>
      <c r="L627" s="436"/>
      <c r="M627" s="436"/>
      <c r="N627" s="436"/>
      <c r="O627" s="436"/>
      <c r="P627" s="436"/>
      <c r="Q627" s="436"/>
      <c r="R627" s="436"/>
      <c r="S627" s="436"/>
      <c r="T627" s="436"/>
      <c r="U627" s="436"/>
      <c r="V627" s="436"/>
    </row>
    <row r="628" spans="1:22" ht="26.25" customHeight="1" x14ac:dyDescent="0.2">
      <c r="A628" s="436"/>
      <c r="B628" s="436"/>
      <c r="C628" s="436"/>
      <c r="D628" s="436"/>
      <c r="E628" s="436"/>
      <c r="F628" s="436"/>
      <c r="G628" s="436"/>
      <c r="H628" s="436"/>
      <c r="I628" s="436"/>
      <c r="J628" s="436"/>
      <c r="K628" s="436"/>
      <c r="L628" s="436"/>
      <c r="M628" s="436"/>
      <c r="N628" s="436"/>
      <c r="O628" s="436"/>
      <c r="P628" s="436"/>
      <c r="Q628" s="436"/>
      <c r="R628" s="436"/>
      <c r="S628" s="436"/>
      <c r="T628" s="436"/>
      <c r="U628" s="436"/>
      <c r="V628" s="436"/>
    </row>
    <row r="629" spans="1:22" ht="26.25" customHeight="1" x14ac:dyDescent="0.2">
      <c r="A629" s="436"/>
      <c r="B629" s="436"/>
      <c r="C629" s="436"/>
      <c r="D629" s="436"/>
      <c r="E629" s="436"/>
      <c r="F629" s="436"/>
      <c r="G629" s="436"/>
      <c r="H629" s="436"/>
      <c r="I629" s="436"/>
      <c r="J629" s="436"/>
      <c r="K629" s="436"/>
      <c r="L629" s="436"/>
      <c r="M629" s="436"/>
      <c r="N629" s="436"/>
      <c r="O629" s="436"/>
      <c r="P629" s="436"/>
      <c r="Q629" s="436"/>
      <c r="R629" s="436"/>
      <c r="S629" s="436"/>
      <c r="T629" s="436"/>
      <c r="U629" s="436"/>
      <c r="V629" s="436"/>
    </row>
    <row r="630" spans="1:22" ht="26.25" customHeight="1" x14ac:dyDescent="0.2">
      <c r="A630" s="436"/>
      <c r="B630" s="436"/>
      <c r="C630" s="436"/>
      <c r="D630" s="436"/>
      <c r="E630" s="436"/>
      <c r="F630" s="436"/>
      <c r="G630" s="436"/>
      <c r="H630" s="436"/>
      <c r="I630" s="436"/>
      <c r="J630" s="436"/>
      <c r="K630" s="436"/>
      <c r="L630" s="436"/>
      <c r="M630" s="436"/>
      <c r="N630" s="436"/>
      <c r="O630" s="436"/>
      <c r="P630" s="436"/>
      <c r="Q630" s="436"/>
      <c r="R630" s="436"/>
      <c r="S630" s="436"/>
      <c r="T630" s="436"/>
      <c r="U630" s="436"/>
      <c r="V630" s="436"/>
    </row>
    <row r="631" spans="1:22" ht="26.25" customHeight="1" x14ac:dyDescent="0.2">
      <c r="A631" s="436"/>
      <c r="B631" s="436"/>
      <c r="C631" s="436"/>
      <c r="D631" s="436"/>
      <c r="E631" s="436"/>
      <c r="F631" s="436"/>
      <c r="G631" s="436"/>
      <c r="H631" s="436"/>
      <c r="I631" s="436"/>
      <c r="J631" s="436"/>
      <c r="K631" s="436"/>
      <c r="L631" s="436"/>
      <c r="M631" s="436"/>
      <c r="N631" s="436"/>
      <c r="O631" s="436"/>
      <c r="P631" s="436"/>
      <c r="Q631" s="436"/>
      <c r="R631" s="436"/>
      <c r="S631" s="436"/>
      <c r="T631" s="436"/>
      <c r="U631" s="436"/>
      <c r="V631" s="436"/>
    </row>
    <row r="632" spans="1:22" ht="26.25" customHeight="1" x14ac:dyDescent="0.2">
      <c r="A632" s="436"/>
      <c r="B632" s="436"/>
      <c r="C632" s="436"/>
      <c r="D632" s="436"/>
      <c r="E632" s="436"/>
      <c r="F632" s="436"/>
      <c r="G632" s="436"/>
      <c r="H632" s="436"/>
      <c r="I632" s="436"/>
      <c r="J632" s="436"/>
      <c r="K632" s="436"/>
      <c r="L632" s="436"/>
      <c r="M632" s="436"/>
      <c r="N632" s="436"/>
      <c r="O632" s="436"/>
      <c r="P632" s="436"/>
      <c r="Q632" s="436"/>
      <c r="R632" s="436"/>
      <c r="S632" s="436"/>
      <c r="T632" s="436"/>
      <c r="U632" s="436"/>
      <c r="V632" s="436"/>
    </row>
    <row r="633" spans="1:22" ht="26.25" customHeight="1" x14ac:dyDescent="0.2">
      <c r="A633" s="436"/>
      <c r="B633" s="436"/>
      <c r="C633" s="436"/>
      <c r="D633" s="436"/>
      <c r="E633" s="436"/>
      <c r="F633" s="436"/>
      <c r="G633" s="436"/>
      <c r="H633" s="436"/>
      <c r="I633" s="436"/>
      <c r="J633" s="436"/>
      <c r="K633" s="436"/>
      <c r="L633" s="436"/>
      <c r="M633" s="436"/>
      <c r="N633" s="436"/>
      <c r="O633" s="436"/>
      <c r="P633" s="436"/>
      <c r="Q633" s="436"/>
      <c r="R633" s="436"/>
      <c r="S633" s="436"/>
      <c r="T633" s="436"/>
      <c r="U633" s="436"/>
      <c r="V633" s="436"/>
    </row>
    <row r="634" spans="1:22" ht="26.25" customHeight="1" x14ac:dyDescent="0.2">
      <c r="A634" s="436"/>
      <c r="B634" s="436"/>
      <c r="C634" s="436"/>
      <c r="D634" s="436"/>
      <c r="E634" s="436"/>
      <c r="F634" s="436"/>
      <c r="G634" s="436"/>
      <c r="H634" s="436"/>
      <c r="I634" s="436"/>
      <c r="J634" s="436"/>
      <c r="K634" s="436"/>
      <c r="L634" s="436"/>
      <c r="M634" s="436"/>
      <c r="N634" s="436"/>
      <c r="O634" s="436"/>
      <c r="P634" s="436"/>
      <c r="Q634" s="436"/>
      <c r="R634" s="436"/>
      <c r="S634" s="436"/>
      <c r="T634" s="436"/>
      <c r="U634" s="436"/>
      <c r="V634" s="436"/>
    </row>
    <row r="635" spans="1:22" ht="26.25" customHeight="1" x14ac:dyDescent="0.2">
      <c r="A635" s="436"/>
      <c r="B635" s="436"/>
      <c r="C635" s="436"/>
      <c r="D635" s="436"/>
      <c r="E635" s="436"/>
      <c r="F635" s="436"/>
      <c r="G635" s="436"/>
      <c r="H635" s="436"/>
      <c r="I635" s="436"/>
      <c r="J635" s="436"/>
      <c r="K635" s="436"/>
      <c r="L635" s="436"/>
      <c r="M635" s="436"/>
      <c r="N635" s="436"/>
      <c r="O635" s="436"/>
      <c r="P635" s="436"/>
      <c r="Q635" s="436"/>
      <c r="R635" s="436"/>
      <c r="S635" s="436"/>
      <c r="T635" s="436"/>
      <c r="U635" s="436"/>
      <c r="V635" s="436"/>
    </row>
    <row r="636" spans="1:22" ht="26.25" customHeight="1" x14ac:dyDescent="0.2">
      <c r="A636" s="436"/>
      <c r="B636" s="436"/>
      <c r="C636" s="436"/>
      <c r="D636" s="436"/>
      <c r="E636" s="436"/>
      <c r="F636" s="436"/>
      <c r="G636" s="436"/>
      <c r="H636" s="436"/>
      <c r="I636" s="436"/>
      <c r="J636" s="436"/>
      <c r="K636" s="436"/>
      <c r="L636" s="436"/>
      <c r="M636" s="436"/>
      <c r="N636" s="436"/>
      <c r="O636" s="436"/>
      <c r="P636" s="436"/>
      <c r="Q636" s="436"/>
      <c r="R636" s="436"/>
      <c r="S636" s="436"/>
      <c r="T636" s="436"/>
      <c r="U636" s="436"/>
      <c r="V636" s="436"/>
    </row>
    <row r="637" spans="1:22" ht="26.25" customHeight="1" x14ac:dyDescent="0.2">
      <c r="A637" s="436"/>
      <c r="B637" s="436"/>
      <c r="C637" s="436"/>
      <c r="D637" s="436"/>
      <c r="E637" s="436"/>
      <c r="F637" s="436"/>
      <c r="G637" s="436"/>
      <c r="H637" s="436"/>
      <c r="I637" s="436"/>
      <c r="J637" s="436"/>
      <c r="K637" s="436"/>
      <c r="L637" s="436"/>
      <c r="M637" s="436"/>
      <c r="N637" s="436"/>
      <c r="O637" s="436"/>
      <c r="P637" s="436"/>
      <c r="Q637" s="436"/>
      <c r="R637" s="436"/>
      <c r="S637" s="436"/>
      <c r="T637" s="436"/>
      <c r="U637" s="436"/>
      <c r="V637" s="436"/>
    </row>
    <row r="638" spans="1:22" ht="26.25" customHeight="1" x14ac:dyDescent="0.2">
      <c r="A638" s="436"/>
      <c r="B638" s="436"/>
      <c r="C638" s="436"/>
      <c r="D638" s="436"/>
      <c r="E638" s="436"/>
      <c r="F638" s="436"/>
      <c r="G638" s="436"/>
      <c r="H638" s="436"/>
      <c r="I638" s="436"/>
      <c r="J638" s="436"/>
      <c r="K638" s="436"/>
      <c r="L638" s="436"/>
      <c r="M638" s="436"/>
      <c r="N638" s="436"/>
      <c r="O638" s="436"/>
      <c r="P638" s="436"/>
      <c r="Q638" s="436"/>
      <c r="R638" s="436"/>
      <c r="S638" s="436"/>
      <c r="T638" s="436"/>
      <c r="U638" s="436"/>
      <c r="V638" s="436"/>
    </row>
    <row r="639" spans="1:22" ht="26.25" customHeight="1" x14ac:dyDescent="0.2">
      <c r="A639" s="436"/>
      <c r="B639" s="436"/>
      <c r="C639" s="436"/>
      <c r="D639" s="436"/>
      <c r="E639" s="436"/>
      <c r="F639" s="436"/>
      <c r="G639" s="436"/>
      <c r="H639" s="436"/>
      <c r="I639" s="436"/>
      <c r="J639" s="436"/>
      <c r="K639" s="436"/>
      <c r="L639" s="436"/>
      <c r="M639" s="436"/>
      <c r="N639" s="436"/>
      <c r="O639" s="436"/>
      <c r="P639" s="436"/>
      <c r="Q639" s="436"/>
      <c r="R639" s="436"/>
      <c r="S639" s="436"/>
      <c r="T639" s="436"/>
      <c r="U639" s="436"/>
      <c r="V639" s="436"/>
    </row>
    <row r="640" spans="1:22" ht="26.25" customHeight="1" x14ac:dyDescent="0.2">
      <c r="A640" s="436"/>
      <c r="B640" s="436"/>
      <c r="C640" s="436"/>
      <c r="D640" s="436"/>
      <c r="E640" s="436"/>
      <c r="F640" s="436"/>
      <c r="G640" s="436"/>
      <c r="H640" s="436"/>
      <c r="I640" s="436"/>
      <c r="J640" s="436"/>
      <c r="K640" s="436"/>
      <c r="L640" s="436"/>
      <c r="M640" s="436"/>
      <c r="N640" s="436"/>
      <c r="O640" s="436"/>
      <c r="P640" s="436"/>
      <c r="Q640" s="436"/>
      <c r="R640" s="436"/>
      <c r="S640" s="436"/>
      <c r="T640" s="436"/>
      <c r="U640" s="436"/>
      <c r="V640" s="436"/>
    </row>
    <row r="641" spans="1:22" ht="26.25" customHeight="1" x14ac:dyDescent="0.2">
      <c r="A641" s="436"/>
      <c r="B641" s="436"/>
      <c r="C641" s="436"/>
      <c r="D641" s="436"/>
      <c r="E641" s="436"/>
      <c r="F641" s="436"/>
      <c r="G641" s="436"/>
      <c r="H641" s="436"/>
      <c r="I641" s="436"/>
      <c r="J641" s="436"/>
      <c r="K641" s="436"/>
      <c r="L641" s="436"/>
      <c r="M641" s="436"/>
      <c r="N641" s="436"/>
      <c r="O641" s="436"/>
      <c r="P641" s="436"/>
      <c r="Q641" s="436"/>
      <c r="R641" s="436"/>
      <c r="S641" s="436"/>
      <c r="T641" s="436"/>
      <c r="U641" s="436"/>
      <c r="V641" s="436"/>
    </row>
    <row r="642" spans="1:22" ht="26.25" customHeight="1" x14ac:dyDescent="0.2">
      <c r="A642" s="436"/>
      <c r="B642" s="436"/>
      <c r="C642" s="436"/>
      <c r="D642" s="436"/>
      <c r="E642" s="436"/>
      <c r="F642" s="436"/>
      <c r="G642" s="436"/>
      <c r="H642" s="436"/>
      <c r="I642" s="436"/>
      <c r="J642" s="436"/>
      <c r="K642" s="436"/>
      <c r="L642" s="436"/>
      <c r="M642" s="436"/>
      <c r="N642" s="436"/>
      <c r="O642" s="436"/>
      <c r="P642" s="436"/>
      <c r="Q642" s="436"/>
      <c r="R642" s="436"/>
      <c r="S642" s="436"/>
      <c r="T642" s="436"/>
      <c r="U642" s="436"/>
      <c r="V642" s="436"/>
    </row>
    <row r="643" spans="1:22" ht="26.25" customHeight="1" x14ac:dyDescent="0.2">
      <c r="A643" s="436"/>
      <c r="B643" s="436"/>
      <c r="C643" s="436"/>
      <c r="D643" s="436"/>
      <c r="E643" s="436"/>
      <c r="F643" s="436"/>
      <c r="G643" s="436"/>
      <c r="H643" s="436"/>
      <c r="I643" s="436"/>
      <c r="J643" s="436"/>
      <c r="K643" s="436"/>
      <c r="L643" s="436"/>
      <c r="M643" s="436"/>
      <c r="N643" s="436"/>
      <c r="O643" s="436"/>
      <c r="P643" s="436"/>
      <c r="Q643" s="436"/>
      <c r="R643" s="436"/>
      <c r="S643" s="436"/>
      <c r="T643" s="436"/>
      <c r="U643" s="436"/>
      <c r="V643" s="436"/>
    </row>
    <row r="644" spans="1:22" ht="26.25" customHeight="1" x14ac:dyDescent="0.2">
      <c r="A644" s="436"/>
      <c r="B644" s="436"/>
      <c r="C644" s="436"/>
      <c r="D644" s="436"/>
      <c r="E644" s="436"/>
      <c r="F644" s="436"/>
      <c r="G644" s="436"/>
      <c r="H644" s="436"/>
      <c r="I644" s="436"/>
      <c r="J644" s="436"/>
      <c r="K644" s="436"/>
      <c r="L644" s="436"/>
      <c r="M644" s="436"/>
      <c r="N644" s="436"/>
      <c r="O644" s="436"/>
      <c r="P644" s="436"/>
      <c r="Q644" s="436"/>
      <c r="R644" s="436"/>
      <c r="S644" s="436"/>
      <c r="T644" s="436"/>
      <c r="U644" s="436"/>
      <c r="V644" s="436"/>
    </row>
    <row r="645" spans="1:22" ht="26.25" customHeight="1" x14ac:dyDescent="0.2">
      <c r="A645" s="436"/>
      <c r="B645" s="436"/>
      <c r="C645" s="436"/>
      <c r="D645" s="436"/>
      <c r="E645" s="436"/>
      <c r="F645" s="436"/>
      <c r="G645" s="436"/>
      <c r="H645" s="436"/>
      <c r="I645" s="436"/>
      <c r="J645" s="436"/>
      <c r="K645" s="436"/>
      <c r="L645" s="436"/>
      <c r="M645" s="436"/>
      <c r="N645" s="436"/>
      <c r="O645" s="436"/>
      <c r="P645" s="436"/>
      <c r="Q645" s="436"/>
      <c r="R645" s="436"/>
      <c r="S645" s="436"/>
      <c r="T645" s="436"/>
      <c r="U645" s="436"/>
      <c r="V645" s="436"/>
    </row>
    <row r="646" spans="1:22" ht="26.25" customHeight="1" x14ac:dyDescent="0.2">
      <c r="A646" s="436"/>
      <c r="B646" s="436"/>
      <c r="C646" s="436"/>
      <c r="D646" s="436"/>
      <c r="E646" s="436"/>
      <c r="F646" s="436"/>
      <c r="G646" s="436"/>
      <c r="H646" s="436"/>
      <c r="I646" s="436"/>
      <c r="J646" s="436"/>
      <c r="K646" s="436"/>
      <c r="L646" s="436"/>
      <c r="M646" s="436"/>
      <c r="N646" s="436"/>
      <c r="O646" s="436"/>
      <c r="P646" s="436"/>
      <c r="Q646" s="436"/>
      <c r="R646" s="436"/>
      <c r="S646" s="436"/>
      <c r="T646" s="436"/>
      <c r="U646" s="436"/>
      <c r="V646" s="436"/>
    </row>
    <row r="647" spans="1:22" ht="26.25" customHeight="1" x14ac:dyDescent="0.2">
      <c r="A647" s="436"/>
      <c r="B647" s="436"/>
      <c r="C647" s="436"/>
      <c r="D647" s="436"/>
      <c r="E647" s="436"/>
      <c r="F647" s="436"/>
      <c r="G647" s="436"/>
      <c r="H647" s="436"/>
      <c r="I647" s="436"/>
      <c r="J647" s="436"/>
      <c r="K647" s="436"/>
      <c r="L647" s="436"/>
      <c r="M647" s="436"/>
      <c r="N647" s="436"/>
      <c r="O647" s="436"/>
      <c r="P647" s="436"/>
      <c r="Q647" s="436"/>
      <c r="R647" s="436"/>
      <c r="S647" s="436"/>
      <c r="T647" s="436"/>
      <c r="U647" s="436"/>
      <c r="V647" s="436"/>
    </row>
    <row r="648" spans="1:22" ht="26.25" customHeight="1" x14ac:dyDescent="0.2">
      <c r="A648" s="436"/>
      <c r="B648" s="436"/>
      <c r="C648" s="436"/>
      <c r="D648" s="436"/>
      <c r="E648" s="436"/>
      <c r="F648" s="436"/>
      <c r="G648" s="436"/>
      <c r="H648" s="436"/>
      <c r="I648" s="436"/>
      <c r="J648" s="436"/>
      <c r="K648" s="436"/>
      <c r="L648" s="436"/>
      <c r="M648" s="436"/>
      <c r="N648" s="436"/>
      <c r="O648" s="436"/>
      <c r="P648" s="436"/>
      <c r="Q648" s="436"/>
      <c r="R648" s="436"/>
      <c r="S648" s="436"/>
      <c r="T648" s="436"/>
      <c r="U648" s="436"/>
      <c r="V648" s="436"/>
    </row>
    <row r="649" spans="1:22" ht="26.25" customHeight="1" x14ac:dyDescent="0.2">
      <c r="A649" s="436"/>
      <c r="B649" s="436"/>
      <c r="C649" s="436"/>
      <c r="D649" s="436"/>
      <c r="E649" s="436"/>
      <c r="F649" s="436"/>
      <c r="G649" s="436"/>
      <c r="H649" s="436"/>
      <c r="I649" s="436"/>
      <c r="J649" s="436"/>
      <c r="K649" s="436"/>
      <c r="L649" s="436"/>
      <c r="M649" s="436"/>
      <c r="N649" s="436"/>
      <c r="O649" s="436"/>
      <c r="P649" s="436"/>
      <c r="Q649" s="436"/>
      <c r="R649" s="436"/>
      <c r="S649" s="436"/>
      <c r="T649" s="436"/>
      <c r="U649" s="436"/>
      <c r="V649" s="436"/>
    </row>
    <row r="650" spans="1:22" ht="26.25" customHeight="1" x14ac:dyDescent="0.2">
      <c r="A650" s="436"/>
      <c r="B650" s="436"/>
      <c r="C650" s="436"/>
      <c r="D650" s="436"/>
      <c r="E650" s="436"/>
      <c r="F650" s="436"/>
      <c r="G650" s="436"/>
      <c r="H650" s="436"/>
      <c r="I650" s="436"/>
      <c r="J650" s="436"/>
      <c r="K650" s="436"/>
      <c r="L650" s="436"/>
      <c r="M650" s="436"/>
      <c r="N650" s="436"/>
      <c r="O650" s="436"/>
      <c r="P650" s="436"/>
      <c r="Q650" s="436"/>
      <c r="R650" s="436"/>
      <c r="S650" s="436"/>
      <c r="T650" s="436"/>
      <c r="U650" s="436"/>
      <c r="V650" s="436"/>
    </row>
    <row r="651" spans="1:22" ht="26.25" customHeight="1" x14ac:dyDescent="0.2">
      <c r="A651" s="436"/>
      <c r="B651" s="436"/>
      <c r="C651" s="436"/>
      <c r="D651" s="436"/>
      <c r="E651" s="436"/>
      <c r="F651" s="436"/>
      <c r="G651" s="436"/>
      <c r="H651" s="436"/>
      <c r="I651" s="436"/>
      <c r="J651" s="436"/>
      <c r="K651" s="436"/>
      <c r="L651" s="436"/>
      <c r="M651" s="436"/>
      <c r="N651" s="436"/>
      <c r="O651" s="436"/>
      <c r="P651" s="436"/>
      <c r="Q651" s="436"/>
      <c r="R651" s="436"/>
      <c r="S651" s="436"/>
      <c r="T651" s="436"/>
      <c r="U651" s="436"/>
      <c r="V651" s="436"/>
    </row>
    <row r="652" spans="1:22" ht="26.25" customHeight="1" x14ac:dyDescent="0.2">
      <c r="A652" s="436"/>
      <c r="B652" s="436"/>
      <c r="C652" s="436"/>
      <c r="D652" s="436"/>
      <c r="E652" s="436"/>
      <c r="F652" s="436"/>
      <c r="G652" s="436"/>
      <c r="H652" s="436"/>
      <c r="I652" s="436"/>
      <c r="J652" s="436"/>
      <c r="K652" s="436"/>
      <c r="L652" s="436"/>
      <c r="M652" s="436"/>
      <c r="N652" s="436"/>
      <c r="O652" s="436"/>
      <c r="P652" s="436"/>
      <c r="Q652" s="436"/>
      <c r="R652" s="436"/>
      <c r="S652" s="436"/>
      <c r="T652" s="436"/>
      <c r="U652" s="436"/>
      <c r="V652" s="436"/>
    </row>
    <row r="653" spans="1:22" ht="26.25" customHeight="1" x14ac:dyDescent="0.2">
      <c r="A653" s="436"/>
      <c r="B653" s="436"/>
      <c r="C653" s="436"/>
      <c r="D653" s="436"/>
      <c r="E653" s="436"/>
      <c r="F653" s="436"/>
      <c r="G653" s="436"/>
      <c r="H653" s="436"/>
      <c r="I653" s="436"/>
      <c r="J653" s="436"/>
      <c r="K653" s="436"/>
      <c r="L653" s="436"/>
      <c r="M653" s="436"/>
      <c r="N653" s="436"/>
      <c r="O653" s="436"/>
      <c r="P653" s="436"/>
      <c r="Q653" s="436"/>
      <c r="R653" s="436"/>
      <c r="S653" s="436"/>
      <c r="T653" s="436"/>
      <c r="U653" s="436"/>
      <c r="V653" s="436"/>
    </row>
    <row r="654" spans="1:22" ht="26.25" customHeight="1" x14ac:dyDescent="0.2">
      <c r="A654" s="436"/>
      <c r="B654" s="436"/>
      <c r="C654" s="436"/>
      <c r="D654" s="436"/>
      <c r="E654" s="436"/>
      <c r="F654" s="436"/>
      <c r="G654" s="436"/>
      <c r="H654" s="436"/>
      <c r="I654" s="436"/>
      <c r="J654" s="436"/>
      <c r="K654" s="436"/>
      <c r="L654" s="436"/>
      <c r="M654" s="436"/>
      <c r="N654" s="436"/>
      <c r="O654" s="436"/>
      <c r="P654" s="436"/>
      <c r="Q654" s="436"/>
      <c r="R654" s="436"/>
      <c r="S654" s="436"/>
      <c r="T654" s="436"/>
      <c r="U654" s="436"/>
      <c r="V654" s="436"/>
    </row>
    <row r="655" spans="1:22" ht="26.25" customHeight="1" x14ac:dyDescent="0.2">
      <c r="A655" s="436"/>
      <c r="B655" s="436"/>
      <c r="C655" s="436"/>
      <c r="D655" s="436"/>
      <c r="E655" s="436"/>
      <c r="F655" s="436"/>
      <c r="G655" s="436"/>
      <c r="H655" s="436"/>
      <c r="I655" s="436"/>
      <c r="J655" s="436"/>
      <c r="K655" s="436"/>
      <c r="L655" s="436"/>
      <c r="M655" s="436"/>
      <c r="N655" s="436"/>
      <c r="O655" s="436"/>
      <c r="P655" s="436"/>
      <c r="Q655" s="436"/>
      <c r="R655" s="436"/>
      <c r="S655" s="436"/>
      <c r="T655" s="436"/>
      <c r="U655" s="436"/>
      <c r="V655" s="436"/>
    </row>
    <row r="656" spans="1:22" ht="26.25" customHeight="1" x14ac:dyDescent="0.2">
      <c r="A656" s="436"/>
      <c r="B656" s="436"/>
      <c r="C656" s="436"/>
      <c r="D656" s="436"/>
      <c r="E656" s="436"/>
      <c r="F656" s="436"/>
      <c r="G656" s="436"/>
      <c r="H656" s="436"/>
      <c r="I656" s="436"/>
      <c r="J656" s="436"/>
      <c r="K656" s="436"/>
      <c r="L656" s="436"/>
      <c r="M656" s="436"/>
      <c r="N656" s="436"/>
      <c r="O656" s="436"/>
      <c r="P656" s="436"/>
      <c r="Q656" s="436"/>
      <c r="R656" s="436"/>
      <c r="S656" s="436"/>
      <c r="T656" s="436"/>
      <c r="U656" s="436"/>
      <c r="V656" s="436"/>
    </row>
    <row r="657" spans="1:22" ht="26.25" customHeight="1" x14ac:dyDescent="0.2">
      <c r="A657" s="436"/>
      <c r="B657" s="436"/>
      <c r="C657" s="436"/>
      <c r="D657" s="436"/>
      <c r="E657" s="436"/>
      <c r="F657" s="436"/>
      <c r="G657" s="436"/>
      <c r="H657" s="436"/>
      <c r="I657" s="436"/>
      <c r="J657" s="436"/>
      <c r="K657" s="436"/>
      <c r="L657" s="436"/>
      <c r="M657" s="436"/>
      <c r="N657" s="436"/>
      <c r="O657" s="436"/>
      <c r="P657" s="436"/>
      <c r="Q657" s="436"/>
      <c r="R657" s="436"/>
      <c r="S657" s="436"/>
      <c r="T657" s="436"/>
      <c r="U657" s="436"/>
      <c r="V657" s="436"/>
    </row>
    <row r="658" spans="1:22" ht="26.25" customHeight="1" x14ac:dyDescent="0.2">
      <c r="A658" s="436"/>
      <c r="B658" s="436"/>
      <c r="C658" s="436"/>
      <c r="D658" s="436"/>
      <c r="E658" s="436"/>
      <c r="F658" s="436"/>
      <c r="G658" s="436"/>
      <c r="H658" s="436"/>
      <c r="I658" s="436"/>
      <c r="J658" s="436"/>
      <c r="K658" s="436"/>
      <c r="L658" s="436"/>
      <c r="M658" s="436"/>
      <c r="N658" s="436"/>
      <c r="O658" s="436"/>
      <c r="P658" s="436"/>
      <c r="Q658" s="436"/>
      <c r="R658" s="436"/>
      <c r="S658" s="436"/>
      <c r="T658" s="436"/>
      <c r="U658" s="436"/>
      <c r="V658" s="436"/>
    </row>
    <row r="659" spans="1:22" ht="26.25" customHeight="1" x14ac:dyDescent="0.2">
      <c r="A659" s="436"/>
      <c r="B659" s="436"/>
      <c r="C659" s="436"/>
      <c r="D659" s="436"/>
      <c r="E659" s="436"/>
      <c r="F659" s="436"/>
      <c r="G659" s="436"/>
      <c r="H659" s="436"/>
      <c r="I659" s="436"/>
      <c r="J659" s="436"/>
      <c r="K659" s="436"/>
      <c r="L659" s="436"/>
      <c r="M659" s="436"/>
      <c r="N659" s="436"/>
      <c r="O659" s="436"/>
      <c r="P659" s="436"/>
      <c r="Q659" s="436"/>
      <c r="R659" s="436"/>
      <c r="S659" s="436"/>
      <c r="T659" s="436"/>
      <c r="U659" s="436"/>
      <c r="V659" s="436"/>
    </row>
    <row r="660" spans="1:22" ht="26.25" customHeight="1" x14ac:dyDescent="0.2">
      <c r="A660" s="436"/>
      <c r="B660" s="436"/>
      <c r="C660" s="436"/>
      <c r="D660" s="436"/>
      <c r="E660" s="436"/>
      <c r="F660" s="436"/>
      <c r="G660" s="436"/>
      <c r="H660" s="436"/>
      <c r="I660" s="436"/>
      <c r="J660" s="436"/>
      <c r="K660" s="436"/>
      <c r="L660" s="436"/>
      <c r="M660" s="436"/>
      <c r="N660" s="436"/>
      <c r="O660" s="436"/>
      <c r="P660" s="436"/>
      <c r="Q660" s="436"/>
      <c r="R660" s="436"/>
      <c r="S660" s="436"/>
      <c r="T660" s="436"/>
      <c r="U660" s="436"/>
      <c r="V660" s="436"/>
    </row>
    <row r="661" spans="1:22" ht="26.25" customHeight="1" x14ac:dyDescent="0.2">
      <c r="A661" s="436"/>
      <c r="B661" s="436"/>
      <c r="C661" s="436"/>
      <c r="D661" s="436"/>
      <c r="E661" s="436"/>
      <c r="F661" s="436"/>
      <c r="G661" s="436"/>
      <c r="H661" s="436"/>
      <c r="I661" s="436"/>
      <c r="J661" s="436"/>
      <c r="K661" s="436"/>
      <c r="L661" s="436"/>
      <c r="M661" s="436"/>
      <c r="N661" s="436"/>
      <c r="O661" s="436"/>
      <c r="P661" s="436"/>
      <c r="Q661" s="436"/>
      <c r="R661" s="436"/>
      <c r="S661" s="436"/>
      <c r="T661" s="436"/>
      <c r="U661" s="436"/>
      <c r="V661" s="436"/>
    </row>
    <row r="662" spans="1:22" ht="26.25" customHeight="1" x14ac:dyDescent="0.2">
      <c r="A662" s="436"/>
      <c r="B662" s="436"/>
      <c r="C662" s="436"/>
      <c r="D662" s="436"/>
      <c r="E662" s="436"/>
      <c r="F662" s="436"/>
      <c r="G662" s="436"/>
      <c r="H662" s="436"/>
      <c r="I662" s="436"/>
      <c r="J662" s="436"/>
      <c r="K662" s="436"/>
      <c r="L662" s="436"/>
      <c r="M662" s="436"/>
      <c r="N662" s="436"/>
      <c r="O662" s="436"/>
      <c r="P662" s="436"/>
      <c r="Q662" s="436"/>
      <c r="R662" s="436"/>
      <c r="S662" s="436"/>
      <c r="T662" s="436"/>
      <c r="U662" s="436"/>
      <c r="V662" s="436"/>
    </row>
    <row r="663" spans="1:22" ht="26.25" customHeight="1" x14ac:dyDescent="0.2">
      <c r="A663" s="436"/>
      <c r="B663" s="436"/>
      <c r="C663" s="436"/>
      <c r="D663" s="436"/>
      <c r="E663" s="436"/>
      <c r="F663" s="436"/>
      <c r="G663" s="436"/>
      <c r="H663" s="436"/>
      <c r="I663" s="436"/>
      <c r="J663" s="436"/>
      <c r="K663" s="436"/>
      <c r="L663" s="436"/>
      <c r="M663" s="436"/>
      <c r="N663" s="436"/>
      <c r="O663" s="436"/>
      <c r="P663" s="436"/>
      <c r="Q663" s="436"/>
      <c r="R663" s="436"/>
      <c r="S663" s="436"/>
      <c r="T663" s="436"/>
      <c r="U663" s="436"/>
      <c r="V663" s="436"/>
    </row>
    <row r="664" spans="1:22" ht="26.25" customHeight="1" x14ac:dyDescent="0.2">
      <c r="A664" s="436"/>
      <c r="B664" s="436"/>
      <c r="C664" s="436"/>
      <c r="D664" s="436"/>
      <c r="E664" s="436"/>
      <c r="F664" s="436"/>
      <c r="G664" s="436"/>
      <c r="H664" s="436"/>
      <c r="I664" s="436"/>
      <c r="J664" s="436"/>
      <c r="K664" s="436"/>
      <c r="L664" s="436"/>
      <c r="M664" s="436"/>
      <c r="N664" s="436"/>
      <c r="O664" s="436"/>
      <c r="P664" s="436"/>
      <c r="Q664" s="436"/>
      <c r="R664" s="436"/>
      <c r="S664" s="436"/>
      <c r="T664" s="436"/>
      <c r="U664" s="436"/>
      <c r="V664" s="436"/>
    </row>
    <row r="665" spans="1:22" ht="26.25" customHeight="1" x14ac:dyDescent="0.2">
      <c r="A665" s="436"/>
      <c r="B665" s="436"/>
      <c r="C665" s="436"/>
      <c r="D665" s="436"/>
      <c r="E665" s="436"/>
      <c r="F665" s="436"/>
      <c r="G665" s="436"/>
      <c r="H665" s="436"/>
      <c r="I665" s="436"/>
      <c r="J665" s="436"/>
      <c r="K665" s="436"/>
      <c r="L665" s="436"/>
      <c r="M665" s="436"/>
      <c r="N665" s="436"/>
      <c r="O665" s="436"/>
      <c r="P665" s="436"/>
      <c r="Q665" s="436"/>
      <c r="R665" s="436"/>
      <c r="S665" s="436"/>
      <c r="T665" s="436"/>
      <c r="U665" s="436"/>
      <c r="V665" s="436"/>
    </row>
    <row r="666" spans="1:22" ht="26.25" customHeight="1" x14ac:dyDescent="0.2">
      <c r="A666" s="436"/>
      <c r="B666" s="436"/>
      <c r="C666" s="436"/>
      <c r="D666" s="436"/>
      <c r="E666" s="436"/>
      <c r="F666" s="436"/>
      <c r="G666" s="436"/>
      <c r="H666" s="436"/>
      <c r="I666" s="436"/>
      <c r="J666" s="436"/>
      <c r="K666" s="436"/>
      <c r="L666" s="436"/>
      <c r="M666" s="436"/>
      <c r="N666" s="436"/>
      <c r="O666" s="436"/>
      <c r="P666" s="436"/>
      <c r="Q666" s="436"/>
      <c r="R666" s="436"/>
      <c r="S666" s="436"/>
      <c r="T666" s="436"/>
      <c r="U666" s="436"/>
      <c r="V666" s="436"/>
    </row>
    <row r="667" spans="1:22" ht="26.25" customHeight="1" x14ac:dyDescent="0.2">
      <c r="A667" s="436"/>
      <c r="B667" s="436"/>
      <c r="C667" s="436"/>
      <c r="D667" s="436"/>
      <c r="E667" s="436"/>
      <c r="F667" s="436"/>
      <c r="G667" s="436"/>
      <c r="H667" s="436"/>
      <c r="I667" s="436"/>
      <c r="J667" s="436"/>
      <c r="K667" s="436"/>
      <c r="L667" s="436"/>
      <c r="M667" s="436"/>
      <c r="N667" s="436"/>
      <c r="O667" s="436"/>
      <c r="P667" s="436"/>
      <c r="Q667" s="436"/>
      <c r="R667" s="436"/>
      <c r="S667" s="436"/>
      <c r="T667" s="436"/>
      <c r="U667" s="436"/>
      <c r="V667" s="436"/>
    </row>
    <row r="668" spans="1:22" ht="26.25" customHeight="1" x14ac:dyDescent="0.2">
      <c r="A668" s="436"/>
      <c r="B668" s="436"/>
      <c r="C668" s="436"/>
      <c r="D668" s="436"/>
      <c r="E668" s="436"/>
      <c r="F668" s="436"/>
      <c r="G668" s="436"/>
      <c r="H668" s="436"/>
      <c r="I668" s="436"/>
      <c r="J668" s="436"/>
      <c r="K668" s="436"/>
      <c r="L668" s="436"/>
      <c r="M668" s="436"/>
      <c r="N668" s="436"/>
      <c r="O668" s="436"/>
      <c r="P668" s="436"/>
      <c r="Q668" s="436"/>
      <c r="R668" s="436"/>
      <c r="S668" s="436"/>
      <c r="T668" s="436"/>
      <c r="U668" s="436"/>
      <c r="V668" s="436"/>
    </row>
    <row r="669" spans="1:22" ht="26.25" customHeight="1" x14ac:dyDescent="0.2">
      <c r="A669" s="436"/>
      <c r="B669" s="436"/>
      <c r="C669" s="436"/>
      <c r="D669" s="436"/>
      <c r="E669" s="436"/>
      <c r="F669" s="436"/>
      <c r="G669" s="436"/>
      <c r="H669" s="436"/>
      <c r="I669" s="436"/>
      <c r="J669" s="436"/>
      <c r="K669" s="436"/>
      <c r="L669" s="436"/>
      <c r="M669" s="436"/>
      <c r="N669" s="436"/>
      <c r="O669" s="436"/>
      <c r="P669" s="436"/>
      <c r="Q669" s="436"/>
      <c r="R669" s="436"/>
      <c r="S669" s="436"/>
      <c r="T669" s="436"/>
      <c r="U669" s="436"/>
      <c r="V669" s="436"/>
    </row>
    <row r="670" spans="1:22" ht="26.25" customHeight="1" x14ac:dyDescent="0.2">
      <c r="A670" s="436"/>
      <c r="B670" s="436"/>
      <c r="C670" s="436"/>
      <c r="D670" s="436"/>
      <c r="E670" s="436"/>
      <c r="F670" s="436"/>
      <c r="G670" s="436"/>
      <c r="H670" s="436"/>
      <c r="I670" s="436"/>
      <c r="J670" s="436"/>
      <c r="K670" s="436"/>
      <c r="L670" s="436"/>
      <c r="M670" s="436"/>
      <c r="N670" s="436"/>
      <c r="O670" s="436"/>
      <c r="P670" s="436"/>
      <c r="Q670" s="436"/>
      <c r="R670" s="436"/>
      <c r="S670" s="436"/>
      <c r="T670" s="436"/>
      <c r="U670" s="436"/>
      <c r="V670" s="436"/>
    </row>
    <row r="671" spans="1:22" ht="26.25" customHeight="1" x14ac:dyDescent="0.2">
      <c r="A671" s="436"/>
      <c r="B671" s="436"/>
      <c r="C671" s="436"/>
      <c r="D671" s="436"/>
      <c r="E671" s="436"/>
      <c r="F671" s="436"/>
      <c r="G671" s="436"/>
      <c r="H671" s="436"/>
      <c r="I671" s="436"/>
      <c r="J671" s="436"/>
      <c r="K671" s="436"/>
      <c r="L671" s="436"/>
      <c r="M671" s="436"/>
      <c r="N671" s="436"/>
      <c r="O671" s="436"/>
      <c r="P671" s="436"/>
      <c r="Q671" s="436"/>
      <c r="R671" s="436"/>
      <c r="S671" s="436"/>
      <c r="T671" s="436"/>
      <c r="U671" s="436"/>
      <c r="V671" s="436"/>
    </row>
    <row r="672" spans="1:22" ht="26.25" customHeight="1" x14ac:dyDescent="0.2">
      <c r="A672" s="436"/>
      <c r="B672" s="436"/>
      <c r="C672" s="436"/>
      <c r="D672" s="436"/>
      <c r="E672" s="436"/>
      <c r="F672" s="436"/>
      <c r="G672" s="436"/>
      <c r="H672" s="436"/>
      <c r="I672" s="436"/>
      <c r="J672" s="436"/>
      <c r="K672" s="436"/>
      <c r="L672" s="436"/>
      <c r="M672" s="436"/>
      <c r="N672" s="436"/>
      <c r="O672" s="436"/>
      <c r="P672" s="436"/>
      <c r="Q672" s="436"/>
      <c r="R672" s="436"/>
      <c r="S672" s="436"/>
      <c r="T672" s="436"/>
      <c r="U672" s="436"/>
      <c r="V672" s="436"/>
    </row>
    <row r="673" spans="1:22" ht="26.25" customHeight="1" x14ac:dyDescent="0.2">
      <c r="A673" s="436"/>
      <c r="B673" s="436"/>
      <c r="C673" s="436"/>
      <c r="D673" s="436"/>
      <c r="E673" s="436"/>
      <c r="F673" s="436"/>
      <c r="G673" s="436"/>
      <c r="H673" s="436"/>
      <c r="I673" s="436"/>
      <c r="J673" s="436"/>
      <c r="K673" s="436"/>
      <c r="L673" s="436"/>
      <c r="M673" s="436"/>
      <c r="N673" s="436"/>
      <c r="O673" s="436"/>
      <c r="P673" s="436"/>
      <c r="Q673" s="436"/>
      <c r="R673" s="436"/>
      <c r="S673" s="436"/>
      <c r="T673" s="436"/>
      <c r="U673" s="436"/>
      <c r="V673" s="436"/>
    </row>
    <row r="674" spans="1:22" ht="26.25" customHeight="1" x14ac:dyDescent="0.2">
      <c r="A674" s="436"/>
      <c r="B674" s="436"/>
      <c r="C674" s="436"/>
      <c r="D674" s="436"/>
      <c r="E674" s="436"/>
      <c r="F674" s="436"/>
      <c r="G674" s="436"/>
      <c r="H674" s="436"/>
      <c r="I674" s="436"/>
      <c r="J674" s="436"/>
      <c r="K674" s="436"/>
      <c r="L674" s="436"/>
      <c r="M674" s="436"/>
      <c r="N674" s="436"/>
      <c r="O674" s="436"/>
      <c r="P674" s="436"/>
      <c r="Q674" s="436"/>
      <c r="R674" s="436"/>
      <c r="S674" s="436"/>
      <c r="T674" s="436"/>
      <c r="U674" s="436"/>
      <c r="V674" s="436"/>
    </row>
    <row r="675" spans="1:22" ht="26.25" customHeight="1" x14ac:dyDescent="0.2">
      <c r="A675" s="436"/>
      <c r="B675" s="436"/>
      <c r="C675" s="436"/>
      <c r="D675" s="436"/>
      <c r="E675" s="436"/>
      <c r="F675" s="436"/>
      <c r="G675" s="436"/>
      <c r="H675" s="436"/>
      <c r="I675" s="436"/>
      <c r="J675" s="436"/>
      <c r="K675" s="436"/>
      <c r="L675" s="436"/>
      <c r="M675" s="436"/>
      <c r="N675" s="436"/>
      <c r="O675" s="436"/>
      <c r="P675" s="436"/>
      <c r="Q675" s="436"/>
      <c r="R675" s="436"/>
      <c r="S675" s="436"/>
      <c r="T675" s="436"/>
      <c r="U675" s="436"/>
      <c r="V675" s="436"/>
    </row>
    <row r="676" spans="1:22" ht="26.25" customHeight="1" x14ac:dyDescent="0.2">
      <c r="A676" s="436"/>
      <c r="B676" s="436"/>
      <c r="C676" s="436"/>
      <c r="D676" s="436"/>
      <c r="E676" s="436"/>
      <c r="F676" s="436"/>
      <c r="G676" s="436"/>
      <c r="H676" s="436"/>
      <c r="I676" s="436"/>
      <c r="J676" s="436"/>
      <c r="K676" s="436"/>
      <c r="L676" s="436"/>
      <c r="M676" s="436"/>
      <c r="N676" s="436"/>
      <c r="O676" s="436"/>
      <c r="P676" s="436"/>
      <c r="Q676" s="436"/>
      <c r="R676" s="436"/>
      <c r="S676" s="436"/>
      <c r="T676" s="436"/>
      <c r="U676" s="436"/>
      <c r="V676" s="436"/>
    </row>
    <row r="677" spans="1:22" ht="26.25" customHeight="1" x14ac:dyDescent="0.2">
      <c r="A677" s="436"/>
      <c r="B677" s="436"/>
      <c r="C677" s="436"/>
      <c r="D677" s="436"/>
      <c r="E677" s="436"/>
      <c r="F677" s="436"/>
      <c r="G677" s="436"/>
      <c r="H677" s="436"/>
      <c r="I677" s="436"/>
      <c r="J677" s="436"/>
      <c r="K677" s="436"/>
      <c r="L677" s="436"/>
      <c r="M677" s="436"/>
      <c r="N677" s="436"/>
      <c r="O677" s="436"/>
      <c r="P677" s="436"/>
      <c r="Q677" s="436"/>
      <c r="R677" s="436"/>
      <c r="S677" s="436"/>
      <c r="T677" s="436"/>
      <c r="U677" s="436"/>
      <c r="V677" s="436"/>
    </row>
    <row r="678" spans="1:22" ht="26.25" customHeight="1" x14ac:dyDescent="0.2">
      <c r="A678" s="436"/>
      <c r="B678" s="436"/>
      <c r="C678" s="436"/>
      <c r="D678" s="436"/>
      <c r="E678" s="436"/>
      <c r="F678" s="436"/>
      <c r="G678" s="436"/>
      <c r="H678" s="436"/>
      <c r="I678" s="436"/>
      <c r="J678" s="436"/>
      <c r="K678" s="436"/>
      <c r="L678" s="436"/>
      <c r="M678" s="436"/>
      <c r="N678" s="436"/>
      <c r="O678" s="436"/>
      <c r="P678" s="436"/>
      <c r="Q678" s="436"/>
      <c r="R678" s="436"/>
      <c r="S678" s="436"/>
      <c r="T678" s="436"/>
      <c r="U678" s="436"/>
      <c r="V678" s="436"/>
    </row>
    <row r="679" spans="1:22" ht="26.25" customHeight="1" x14ac:dyDescent="0.2">
      <c r="A679" s="436"/>
      <c r="B679" s="436"/>
      <c r="C679" s="436"/>
      <c r="D679" s="436"/>
      <c r="E679" s="436"/>
      <c r="F679" s="436"/>
      <c r="G679" s="436"/>
      <c r="H679" s="436"/>
      <c r="I679" s="436"/>
      <c r="J679" s="436"/>
      <c r="K679" s="436"/>
      <c r="L679" s="436"/>
      <c r="M679" s="436"/>
      <c r="N679" s="436"/>
      <c r="O679" s="436"/>
      <c r="P679" s="436"/>
      <c r="Q679" s="436"/>
      <c r="R679" s="436"/>
      <c r="S679" s="436"/>
      <c r="T679" s="436"/>
      <c r="U679" s="436"/>
      <c r="V679" s="436"/>
    </row>
    <row r="680" spans="1:22" ht="26.25" customHeight="1" x14ac:dyDescent="0.2">
      <c r="A680" s="436"/>
      <c r="B680" s="436"/>
      <c r="C680" s="436"/>
      <c r="D680" s="436"/>
      <c r="E680" s="436"/>
      <c r="F680" s="436"/>
      <c r="G680" s="436"/>
      <c r="H680" s="436"/>
      <c r="I680" s="436"/>
      <c r="J680" s="436"/>
      <c r="K680" s="436"/>
      <c r="L680" s="436"/>
      <c r="M680" s="436"/>
      <c r="N680" s="436"/>
      <c r="O680" s="436"/>
      <c r="P680" s="436"/>
      <c r="Q680" s="436"/>
      <c r="R680" s="436"/>
      <c r="S680" s="436"/>
      <c r="T680" s="436"/>
      <c r="U680" s="436"/>
      <c r="V680" s="436"/>
    </row>
    <row r="681" spans="1:22" ht="26.25" customHeight="1" x14ac:dyDescent="0.2">
      <c r="A681" s="436"/>
      <c r="B681" s="436"/>
      <c r="C681" s="436"/>
      <c r="D681" s="436"/>
      <c r="E681" s="436"/>
      <c r="F681" s="436"/>
      <c r="G681" s="436"/>
      <c r="H681" s="436"/>
      <c r="I681" s="436"/>
      <c r="J681" s="436"/>
      <c r="K681" s="436"/>
      <c r="L681" s="436"/>
      <c r="M681" s="436"/>
      <c r="N681" s="436"/>
      <c r="O681" s="436"/>
      <c r="P681" s="436"/>
      <c r="Q681" s="436"/>
      <c r="R681" s="436"/>
      <c r="S681" s="436"/>
      <c r="T681" s="436"/>
      <c r="U681" s="436"/>
      <c r="V681" s="436"/>
    </row>
    <row r="682" spans="1:22" ht="26.25" customHeight="1" x14ac:dyDescent="0.2">
      <c r="A682" s="436"/>
      <c r="B682" s="436"/>
      <c r="C682" s="436"/>
      <c r="D682" s="436"/>
      <c r="E682" s="436"/>
      <c r="F682" s="436"/>
      <c r="G682" s="436"/>
      <c r="H682" s="436"/>
      <c r="I682" s="436"/>
      <c r="J682" s="436"/>
      <c r="K682" s="436"/>
      <c r="L682" s="436"/>
      <c r="M682" s="436"/>
      <c r="N682" s="436"/>
      <c r="O682" s="436"/>
      <c r="P682" s="436"/>
      <c r="Q682" s="436"/>
      <c r="R682" s="436"/>
      <c r="S682" s="436"/>
      <c r="T682" s="436"/>
      <c r="U682" s="436"/>
      <c r="V682" s="436"/>
    </row>
    <row r="683" spans="1:22" ht="26.25" customHeight="1" x14ac:dyDescent="0.2">
      <c r="A683" s="436"/>
      <c r="B683" s="436"/>
      <c r="C683" s="436"/>
      <c r="D683" s="436"/>
      <c r="E683" s="436"/>
      <c r="F683" s="436"/>
      <c r="G683" s="436"/>
      <c r="H683" s="436"/>
      <c r="I683" s="436"/>
      <c r="J683" s="436"/>
      <c r="K683" s="436"/>
      <c r="L683" s="436"/>
      <c r="M683" s="436"/>
      <c r="N683" s="436"/>
      <c r="O683" s="436"/>
      <c r="P683" s="436"/>
      <c r="Q683" s="436"/>
      <c r="R683" s="436"/>
      <c r="S683" s="436"/>
      <c r="T683" s="436"/>
      <c r="U683" s="436"/>
      <c r="V683" s="436"/>
    </row>
    <row r="684" spans="1:22" ht="26.25" customHeight="1" x14ac:dyDescent="0.2">
      <c r="A684" s="436"/>
      <c r="B684" s="436"/>
      <c r="C684" s="436"/>
      <c r="D684" s="436"/>
      <c r="E684" s="436"/>
      <c r="F684" s="436"/>
      <c r="G684" s="436"/>
      <c r="H684" s="436"/>
      <c r="I684" s="436"/>
      <c r="J684" s="436"/>
      <c r="K684" s="436"/>
      <c r="L684" s="436"/>
      <c r="M684" s="436"/>
      <c r="N684" s="436"/>
      <c r="O684" s="436"/>
      <c r="P684" s="436"/>
      <c r="Q684" s="436"/>
      <c r="R684" s="436"/>
      <c r="S684" s="436"/>
      <c r="T684" s="436"/>
      <c r="U684" s="436"/>
      <c r="V684" s="436"/>
    </row>
    <row r="685" spans="1:22" ht="26.25" customHeight="1" x14ac:dyDescent="0.2">
      <c r="A685" s="436"/>
      <c r="B685" s="436"/>
      <c r="C685" s="436"/>
      <c r="D685" s="436"/>
      <c r="E685" s="436"/>
      <c r="F685" s="436"/>
      <c r="G685" s="436"/>
      <c r="H685" s="436"/>
      <c r="I685" s="436"/>
      <c r="J685" s="436"/>
      <c r="K685" s="436"/>
      <c r="L685" s="436"/>
      <c r="M685" s="436"/>
      <c r="N685" s="436"/>
      <c r="O685" s="436"/>
      <c r="P685" s="436"/>
      <c r="Q685" s="436"/>
      <c r="R685" s="436"/>
      <c r="S685" s="436"/>
      <c r="T685" s="436"/>
      <c r="U685" s="436"/>
      <c r="V685" s="436"/>
    </row>
    <row r="686" spans="1:22" ht="26.25" customHeight="1" x14ac:dyDescent="0.2">
      <c r="A686" s="436"/>
      <c r="B686" s="436"/>
      <c r="C686" s="436"/>
      <c r="D686" s="436"/>
      <c r="E686" s="436"/>
      <c r="F686" s="436"/>
      <c r="G686" s="436"/>
      <c r="H686" s="436"/>
      <c r="I686" s="436"/>
      <c r="J686" s="436"/>
      <c r="K686" s="436"/>
      <c r="L686" s="436"/>
      <c r="M686" s="436"/>
      <c r="N686" s="436"/>
      <c r="O686" s="436"/>
      <c r="P686" s="436"/>
      <c r="Q686" s="436"/>
      <c r="R686" s="436"/>
      <c r="S686" s="436"/>
      <c r="T686" s="436"/>
      <c r="U686" s="436"/>
      <c r="V686" s="436"/>
    </row>
    <row r="687" spans="1:22" ht="26.25" customHeight="1" x14ac:dyDescent="0.2">
      <c r="A687" s="436"/>
      <c r="B687" s="436"/>
      <c r="C687" s="436"/>
      <c r="D687" s="436"/>
      <c r="E687" s="436"/>
      <c r="F687" s="436"/>
      <c r="G687" s="436"/>
      <c r="H687" s="436"/>
      <c r="I687" s="436"/>
      <c r="J687" s="436"/>
      <c r="K687" s="436"/>
      <c r="L687" s="436"/>
      <c r="M687" s="436"/>
      <c r="N687" s="436"/>
      <c r="O687" s="436"/>
      <c r="P687" s="436"/>
      <c r="Q687" s="436"/>
      <c r="R687" s="436"/>
      <c r="S687" s="436"/>
      <c r="T687" s="436"/>
      <c r="U687" s="436"/>
      <c r="V687" s="436"/>
    </row>
    <row r="688" spans="1:22" ht="26.25" customHeight="1" x14ac:dyDescent="0.2">
      <c r="A688" s="436"/>
      <c r="B688" s="436"/>
      <c r="C688" s="436"/>
      <c r="D688" s="436"/>
      <c r="E688" s="436"/>
      <c r="F688" s="436"/>
      <c r="G688" s="436"/>
      <c r="H688" s="436"/>
      <c r="I688" s="436"/>
      <c r="J688" s="436"/>
      <c r="K688" s="436"/>
      <c r="L688" s="436"/>
      <c r="M688" s="436"/>
      <c r="N688" s="436"/>
      <c r="O688" s="436"/>
      <c r="P688" s="436"/>
      <c r="Q688" s="436"/>
      <c r="R688" s="436"/>
      <c r="S688" s="436"/>
      <c r="T688" s="436"/>
      <c r="U688" s="436"/>
      <c r="V688" s="436"/>
    </row>
    <row r="689" spans="1:22" ht="26.25" customHeight="1" x14ac:dyDescent="0.2">
      <c r="A689" s="436"/>
      <c r="B689" s="436"/>
      <c r="C689" s="436"/>
      <c r="D689" s="436"/>
      <c r="E689" s="436"/>
      <c r="F689" s="436"/>
      <c r="G689" s="436"/>
      <c r="H689" s="436"/>
      <c r="I689" s="436"/>
      <c r="J689" s="436"/>
      <c r="K689" s="436"/>
      <c r="L689" s="436"/>
      <c r="M689" s="436"/>
      <c r="N689" s="436"/>
      <c r="O689" s="436"/>
      <c r="P689" s="436"/>
      <c r="Q689" s="436"/>
      <c r="R689" s="436"/>
      <c r="S689" s="436"/>
      <c r="T689" s="436"/>
      <c r="U689" s="436"/>
      <c r="V689" s="436"/>
    </row>
    <row r="690" spans="1:22" ht="26.25" customHeight="1" x14ac:dyDescent="0.2">
      <c r="A690" s="436"/>
      <c r="B690" s="436"/>
      <c r="C690" s="436"/>
      <c r="D690" s="436"/>
      <c r="E690" s="436"/>
      <c r="F690" s="436"/>
      <c r="G690" s="436"/>
      <c r="H690" s="436"/>
      <c r="I690" s="436"/>
      <c r="J690" s="436"/>
      <c r="K690" s="436"/>
      <c r="L690" s="436"/>
      <c r="M690" s="436"/>
      <c r="N690" s="436"/>
      <c r="O690" s="436"/>
      <c r="P690" s="436"/>
      <c r="Q690" s="436"/>
      <c r="R690" s="436"/>
      <c r="S690" s="436"/>
      <c r="T690" s="436"/>
      <c r="U690" s="436"/>
      <c r="V690" s="436"/>
    </row>
    <row r="691" spans="1:22" ht="26.25" customHeight="1" x14ac:dyDescent="0.2">
      <c r="A691" s="436"/>
      <c r="B691" s="436"/>
      <c r="C691" s="436"/>
      <c r="D691" s="436"/>
      <c r="E691" s="436"/>
      <c r="F691" s="436"/>
      <c r="G691" s="436"/>
      <c r="H691" s="436"/>
      <c r="I691" s="436"/>
      <c r="J691" s="436"/>
      <c r="K691" s="436"/>
      <c r="L691" s="436"/>
      <c r="M691" s="436"/>
      <c r="N691" s="436"/>
      <c r="O691" s="436"/>
      <c r="P691" s="436"/>
      <c r="Q691" s="436"/>
      <c r="R691" s="436"/>
      <c r="S691" s="436"/>
      <c r="T691" s="436"/>
      <c r="U691" s="436"/>
      <c r="V691" s="436"/>
    </row>
    <row r="692" spans="1:22" ht="26.25" customHeight="1" x14ac:dyDescent="0.2">
      <c r="A692" s="436"/>
      <c r="B692" s="436"/>
      <c r="C692" s="436"/>
      <c r="D692" s="436"/>
      <c r="E692" s="436"/>
      <c r="F692" s="436"/>
      <c r="G692" s="436"/>
      <c r="H692" s="436"/>
      <c r="I692" s="436"/>
      <c r="J692" s="436"/>
      <c r="K692" s="436"/>
      <c r="L692" s="436"/>
      <c r="M692" s="436"/>
      <c r="N692" s="436"/>
      <c r="O692" s="436"/>
      <c r="P692" s="436"/>
      <c r="Q692" s="436"/>
      <c r="R692" s="436"/>
      <c r="S692" s="436"/>
      <c r="T692" s="436"/>
      <c r="U692" s="436"/>
      <c r="V692" s="436"/>
    </row>
    <row r="693" spans="1:22" ht="26.25" customHeight="1" x14ac:dyDescent="0.2">
      <c r="A693" s="436"/>
      <c r="B693" s="436"/>
      <c r="C693" s="436"/>
      <c r="D693" s="436"/>
      <c r="E693" s="436"/>
      <c r="F693" s="436"/>
      <c r="G693" s="436"/>
      <c r="H693" s="436"/>
      <c r="I693" s="436"/>
      <c r="J693" s="436"/>
      <c r="K693" s="436"/>
      <c r="L693" s="436"/>
      <c r="M693" s="436"/>
      <c r="N693" s="436"/>
      <c r="O693" s="436"/>
      <c r="P693" s="436"/>
      <c r="Q693" s="436"/>
      <c r="R693" s="436"/>
      <c r="S693" s="436"/>
      <c r="T693" s="436"/>
      <c r="U693" s="436"/>
      <c r="V693" s="436"/>
    </row>
    <row r="694" spans="1:22" ht="26.25" customHeight="1" x14ac:dyDescent="0.2">
      <c r="A694" s="436"/>
      <c r="B694" s="436"/>
      <c r="C694" s="436"/>
      <c r="D694" s="436"/>
      <c r="E694" s="436"/>
      <c r="F694" s="436"/>
      <c r="G694" s="436"/>
      <c r="H694" s="436"/>
      <c r="I694" s="436"/>
      <c r="J694" s="436"/>
      <c r="K694" s="436"/>
      <c r="L694" s="436"/>
      <c r="M694" s="436"/>
      <c r="N694" s="436"/>
      <c r="O694" s="436"/>
      <c r="P694" s="436"/>
      <c r="Q694" s="436"/>
      <c r="R694" s="436"/>
      <c r="S694" s="436"/>
      <c r="T694" s="436"/>
      <c r="U694" s="436"/>
      <c r="V694" s="436"/>
    </row>
    <row r="695" spans="1:22" ht="26.25" customHeight="1" x14ac:dyDescent="0.2">
      <c r="A695" s="436"/>
      <c r="B695" s="436"/>
      <c r="C695" s="436"/>
      <c r="D695" s="436"/>
      <c r="E695" s="436"/>
      <c r="F695" s="436"/>
      <c r="G695" s="436"/>
      <c r="H695" s="436"/>
      <c r="I695" s="436"/>
      <c r="J695" s="436"/>
      <c r="K695" s="436"/>
      <c r="L695" s="436"/>
      <c r="M695" s="436"/>
      <c r="N695" s="436"/>
      <c r="O695" s="436"/>
      <c r="P695" s="436"/>
      <c r="Q695" s="436"/>
      <c r="R695" s="436"/>
      <c r="S695" s="436"/>
      <c r="T695" s="436"/>
      <c r="U695" s="436"/>
      <c r="V695" s="436"/>
    </row>
    <row r="696" spans="1:22" ht="26.25" customHeight="1" x14ac:dyDescent="0.2">
      <c r="A696" s="436"/>
      <c r="B696" s="436"/>
      <c r="C696" s="436"/>
      <c r="D696" s="436"/>
      <c r="E696" s="436"/>
      <c r="F696" s="436"/>
      <c r="G696" s="436"/>
      <c r="H696" s="436"/>
      <c r="I696" s="436"/>
      <c r="J696" s="436"/>
      <c r="K696" s="436"/>
      <c r="L696" s="436"/>
      <c r="M696" s="436"/>
      <c r="N696" s="436"/>
      <c r="O696" s="436"/>
      <c r="P696" s="436"/>
      <c r="Q696" s="436"/>
      <c r="R696" s="436"/>
      <c r="S696" s="436"/>
      <c r="T696" s="436"/>
      <c r="U696" s="436"/>
      <c r="V696" s="436"/>
    </row>
    <row r="697" spans="1:22" ht="26.25" customHeight="1" x14ac:dyDescent="0.2">
      <c r="A697" s="436"/>
      <c r="B697" s="436"/>
      <c r="C697" s="436"/>
      <c r="D697" s="436"/>
      <c r="E697" s="436"/>
      <c r="F697" s="436"/>
      <c r="G697" s="436"/>
      <c r="H697" s="436"/>
      <c r="I697" s="436"/>
      <c r="J697" s="436"/>
      <c r="K697" s="436"/>
      <c r="L697" s="436"/>
      <c r="M697" s="436"/>
      <c r="N697" s="436"/>
      <c r="O697" s="436"/>
      <c r="P697" s="436"/>
      <c r="Q697" s="436"/>
      <c r="R697" s="436"/>
      <c r="S697" s="436"/>
      <c r="T697" s="436"/>
      <c r="U697" s="436"/>
      <c r="V697" s="436"/>
    </row>
    <row r="698" spans="1:22" ht="26.25" customHeight="1" x14ac:dyDescent="0.2">
      <c r="A698" s="436"/>
      <c r="B698" s="436"/>
      <c r="C698" s="436"/>
      <c r="D698" s="436"/>
      <c r="E698" s="436"/>
      <c r="F698" s="436"/>
      <c r="G698" s="436"/>
      <c r="H698" s="436"/>
      <c r="I698" s="436"/>
      <c r="J698" s="436"/>
      <c r="K698" s="436"/>
      <c r="L698" s="436"/>
      <c r="M698" s="436"/>
      <c r="N698" s="436"/>
      <c r="O698" s="436"/>
      <c r="P698" s="436"/>
      <c r="Q698" s="436"/>
      <c r="R698" s="436"/>
      <c r="S698" s="436"/>
      <c r="T698" s="436"/>
      <c r="U698" s="436"/>
      <c r="V698" s="436"/>
    </row>
    <row r="699" spans="1:22" ht="26.25" customHeight="1" x14ac:dyDescent="0.2">
      <c r="A699" s="436"/>
      <c r="B699" s="436"/>
      <c r="C699" s="436"/>
      <c r="D699" s="436"/>
      <c r="E699" s="436"/>
      <c r="F699" s="436"/>
      <c r="G699" s="436"/>
      <c r="H699" s="436"/>
      <c r="I699" s="436"/>
      <c r="J699" s="436"/>
      <c r="K699" s="436"/>
      <c r="L699" s="436"/>
      <c r="M699" s="436"/>
      <c r="N699" s="436"/>
      <c r="O699" s="436"/>
      <c r="P699" s="436"/>
      <c r="Q699" s="436"/>
      <c r="R699" s="436"/>
      <c r="S699" s="436"/>
      <c r="T699" s="436"/>
      <c r="U699" s="436"/>
      <c r="V699" s="436"/>
    </row>
    <row r="700" spans="1:22" ht="26.25" customHeight="1" x14ac:dyDescent="0.2">
      <c r="A700" s="436"/>
      <c r="B700" s="436"/>
      <c r="C700" s="436"/>
      <c r="D700" s="436"/>
      <c r="E700" s="436"/>
      <c r="F700" s="436"/>
      <c r="G700" s="436"/>
      <c r="H700" s="436"/>
      <c r="I700" s="436"/>
      <c r="J700" s="436"/>
      <c r="K700" s="436"/>
      <c r="L700" s="436"/>
      <c r="M700" s="436"/>
      <c r="N700" s="436"/>
      <c r="O700" s="436"/>
      <c r="P700" s="436"/>
      <c r="Q700" s="436"/>
      <c r="R700" s="436"/>
      <c r="S700" s="436"/>
      <c r="T700" s="436"/>
      <c r="U700" s="436"/>
      <c r="V700" s="436"/>
    </row>
    <row r="701" spans="1:22" ht="26.25" customHeight="1" x14ac:dyDescent="0.2">
      <c r="A701" s="436"/>
      <c r="B701" s="436"/>
      <c r="C701" s="436"/>
      <c r="D701" s="436"/>
      <c r="E701" s="436"/>
      <c r="F701" s="436"/>
      <c r="G701" s="436"/>
      <c r="H701" s="436"/>
      <c r="I701" s="436"/>
      <c r="J701" s="436"/>
      <c r="K701" s="436"/>
      <c r="L701" s="436"/>
      <c r="M701" s="436"/>
      <c r="N701" s="436"/>
      <c r="O701" s="436"/>
      <c r="P701" s="436"/>
      <c r="Q701" s="436"/>
      <c r="R701" s="436"/>
      <c r="S701" s="436"/>
      <c r="T701" s="436"/>
      <c r="U701" s="436"/>
      <c r="V701" s="436"/>
    </row>
    <row r="702" spans="1:22" ht="26.25" customHeight="1" x14ac:dyDescent="0.2">
      <c r="A702" s="436"/>
      <c r="B702" s="436"/>
      <c r="C702" s="436"/>
      <c r="D702" s="436"/>
      <c r="E702" s="436"/>
      <c r="F702" s="436"/>
      <c r="G702" s="436"/>
      <c r="H702" s="436"/>
      <c r="I702" s="436"/>
      <c r="J702" s="436"/>
      <c r="K702" s="436"/>
      <c r="L702" s="436"/>
      <c r="M702" s="436"/>
      <c r="N702" s="436"/>
      <c r="O702" s="436"/>
      <c r="P702" s="436"/>
      <c r="Q702" s="436"/>
      <c r="R702" s="436"/>
      <c r="S702" s="436"/>
      <c r="T702" s="436"/>
      <c r="U702" s="436"/>
      <c r="V702" s="436"/>
    </row>
    <row r="703" spans="1:22" ht="26.25" customHeight="1" x14ac:dyDescent="0.2">
      <c r="A703" s="436"/>
      <c r="B703" s="436"/>
      <c r="C703" s="436"/>
      <c r="D703" s="436"/>
      <c r="E703" s="436"/>
      <c r="F703" s="436"/>
      <c r="G703" s="436"/>
      <c r="H703" s="436"/>
      <c r="I703" s="436"/>
      <c r="J703" s="436"/>
      <c r="K703" s="436"/>
      <c r="L703" s="436"/>
      <c r="M703" s="436"/>
      <c r="N703" s="436"/>
      <c r="O703" s="436"/>
      <c r="P703" s="436"/>
      <c r="Q703" s="436"/>
      <c r="R703" s="436"/>
      <c r="S703" s="436"/>
      <c r="T703" s="436"/>
      <c r="U703" s="436"/>
      <c r="V703" s="436"/>
    </row>
    <row r="704" spans="1:22" ht="26.25" customHeight="1" x14ac:dyDescent="0.2">
      <c r="A704" s="436"/>
      <c r="B704" s="436"/>
      <c r="C704" s="436"/>
      <c r="D704" s="436"/>
      <c r="E704" s="436"/>
      <c r="F704" s="436"/>
      <c r="G704" s="436"/>
      <c r="H704" s="436"/>
      <c r="I704" s="436"/>
      <c r="J704" s="436"/>
      <c r="K704" s="436"/>
      <c r="L704" s="436"/>
      <c r="M704" s="436"/>
      <c r="N704" s="436"/>
      <c r="O704" s="436"/>
      <c r="P704" s="436"/>
      <c r="Q704" s="436"/>
      <c r="R704" s="436"/>
      <c r="S704" s="436"/>
      <c r="T704" s="436"/>
      <c r="U704" s="436"/>
      <c r="V704" s="436"/>
    </row>
    <row r="705" spans="1:22" ht="26.25" customHeight="1" x14ac:dyDescent="0.2">
      <c r="A705" s="436"/>
      <c r="B705" s="436"/>
      <c r="C705" s="436"/>
      <c r="D705" s="436"/>
      <c r="E705" s="436"/>
      <c r="F705" s="436"/>
      <c r="G705" s="436"/>
      <c r="H705" s="436"/>
      <c r="I705" s="436"/>
      <c r="J705" s="436"/>
      <c r="K705" s="436"/>
      <c r="L705" s="436"/>
      <c r="M705" s="436"/>
      <c r="N705" s="436"/>
      <c r="O705" s="436"/>
      <c r="P705" s="436"/>
      <c r="Q705" s="436"/>
      <c r="R705" s="436"/>
      <c r="S705" s="436"/>
      <c r="T705" s="436"/>
      <c r="U705" s="436"/>
      <c r="V705" s="436"/>
    </row>
    <row r="706" spans="1:22" ht="26.25" customHeight="1" x14ac:dyDescent="0.2">
      <c r="A706" s="436"/>
      <c r="B706" s="436"/>
      <c r="C706" s="436"/>
      <c r="D706" s="436"/>
      <c r="E706" s="436"/>
      <c r="F706" s="436"/>
      <c r="G706" s="436"/>
      <c r="H706" s="436"/>
      <c r="I706" s="436"/>
      <c r="J706" s="436"/>
      <c r="K706" s="436"/>
      <c r="L706" s="436"/>
      <c r="M706" s="436"/>
      <c r="N706" s="436"/>
      <c r="O706" s="436"/>
      <c r="P706" s="436"/>
      <c r="Q706" s="436"/>
      <c r="R706" s="436"/>
      <c r="S706" s="436"/>
      <c r="T706" s="436"/>
      <c r="U706" s="436"/>
      <c r="V706" s="436"/>
    </row>
    <row r="707" spans="1:22" ht="26.25" customHeight="1" x14ac:dyDescent="0.2">
      <c r="A707" s="436"/>
      <c r="B707" s="436"/>
      <c r="C707" s="436"/>
      <c r="D707" s="436"/>
      <c r="E707" s="436"/>
      <c r="F707" s="436"/>
      <c r="G707" s="436"/>
      <c r="H707" s="436"/>
      <c r="I707" s="436"/>
      <c r="J707" s="436"/>
      <c r="K707" s="436"/>
      <c r="L707" s="436"/>
      <c r="M707" s="436"/>
      <c r="N707" s="436"/>
      <c r="O707" s="436"/>
      <c r="P707" s="436"/>
      <c r="Q707" s="436"/>
      <c r="R707" s="436"/>
      <c r="S707" s="436"/>
      <c r="T707" s="436"/>
      <c r="U707" s="436"/>
      <c r="V707" s="436"/>
    </row>
    <row r="708" spans="1:22" ht="26.25" customHeight="1" x14ac:dyDescent="0.2">
      <c r="A708" s="436"/>
      <c r="B708" s="436"/>
      <c r="C708" s="436"/>
      <c r="D708" s="436"/>
      <c r="E708" s="436"/>
      <c r="F708" s="436"/>
      <c r="G708" s="436"/>
      <c r="H708" s="436"/>
      <c r="I708" s="436"/>
      <c r="J708" s="436"/>
      <c r="K708" s="436"/>
      <c r="L708" s="436"/>
      <c r="M708" s="436"/>
      <c r="N708" s="436"/>
      <c r="O708" s="436"/>
      <c r="P708" s="436"/>
      <c r="Q708" s="436"/>
      <c r="R708" s="436"/>
      <c r="S708" s="436"/>
      <c r="T708" s="436"/>
      <c r="U708" s="436"/>
      <c r="V708" s="436"/>
    </row>
    <row r="709" spans="1:22" ht="26.25" customHeight="1" x14ac:dyDescent="0.2">
      <c r="A709" s="436"/>
      <c r="B709" s="436"/>
      <c r="C709" s="436"/>
      <c r="D709" s="436"/>
      <c r="E709" s="436"/>
      <c r="F709" s="436"/>
      <c r="G709" s="436"/>
      <c r="H709" s="436"/>
      <c r="I709" s="436"/>
      <c r="J709" s="436"/>
      <c r="K709" s="436"/>
      <c r="L709" s="436"/>
      <c r="M709" s="436"/>
      <c r="N709" s="436"/>
      <c r="O709" s="436"/>
      <c r="P709" s="436"/>
      <c r="Q709" s="436"/>
      <c r="R709" s="436"/>
      <c r="S709" s="436"/>
      <c r="T709" s="436"/>
      <c r="U709" s="436"/>
      <c r="V709" s="436"/>
    </row>
    <row r="710" spans="1:22" ht="26.25" customHeight="1" x14ac:dyDescent="0.2">
      <c r="A710" s="436"/>
      <c r="B710" s="436"/>
      <c r="C710" s="436"/>
      <c r="D710" s="436"/>
      <c r="E710" s="436"/>
      <c r="F710" s="436"/>
      <c r="G710" s="436"/>
      <c r="H710" s="436"/>
      <c r="I710" s="436"/>
      <c r="J710" s="436"/>
      <c r="K710" s="436"/>
      <c r="L710" s="436"/>
      <c r="M710" s="436"/>
      <c r="N710" s="436"/>
      <c r="O710" s="436"/>
      <c r="P710" s="436"/>
      <c r="Q710" s="436"/>
      <c r="R710" s="436"/>
      <c r="S710" s="436"/>
      <c r="T710" s="436"/>
      <c r="U710" s="436"/>
      <c r="V710" s="436"/>
    </row>
    <row r="711" spans="1:22" ht="26.25" customHeight="1" x14ac:dyDescent="0.2">
      <c r="A711" s="436"/>
      <c r="B711" s="436"/>
      <c r="C711" s="436"/>
      <c r="D711" s="436"/>
      <c r="E711" s="436"/>
      <c r="F711" s="436"/>
      <c r="G711" s="436"/>
      <c r="H711" s="436"/>
      <c r="I711" s="436"/>
      <c r="J711" s="436"/>
      <c r="K711" s="436"/>
      <c r="L711" s="436"/>
      <c r="M711" s="436"/>
      <c r="N711" s="436"/>
      <c r="O711" s="436"/>
      <c r="P711" s="436"/>
      <c r="Q711" s="436"/>
      <c r="R711" s="436"/>
      <c r="S711" s="436"/>
      <c r="T711" s="436"/>
      <c r="U711" s="436"/>
      <c r="V711" s="436"/>
    </row>
    <row r="712" spans="1:22" ht="26.25" customHeight="1" x14ac:dyDescent="0.2">
      <c r="A712" s="436"/>
      <c r="B712" s="436"/>
      <c r="C712" s="436"/>
      <c r="D712" s="436"/>
      <c r="E712" s="436"/>
      <c r="F712" s="436"/>
      <c r="G712" s="436"/>
      <c r="H712" s="436"/>
      <c r="I712" s="436"/>
      <c r="J712" s="436"/>
      <c r="K712" s="436"/>
      <c r="L712" s="436"/>
      <c r="M712" s="436"/>
      <c r="N712" s="436"/>
      <c r="O712" s="436"/>
      <c r="P712" s="436"/>
      <c r="Q712" s="436"/>
      <c r="R712" s="436"/>
      <c r="S712" s="436"/>
      <c r="T712" s="436"/>
      <c r="U712" s="436"/>
      <c r="V712" s="436"/>
    </row>
    <row r="713" spans="1:22" ht="26.25" customHeight="1" x14ac:dyDescent="0.2">
      <c r="A713" s="436"/>
      <c r="B713" s="436"/>
      <c r="C713" s="436"/>
      <c r="D713" s="436"/>
      <c r="E713" s="436"/>
      <c r="F713" s="436"/>
      <c r="G713" s="436"/>
      <c r="H713" s="436"/>
      <c r="I713" s="436"/>
      <c r="J713" s="436"/>
      <c r="K713" s="436"/>
      <c r="L713" s="436"/>
      <c r="M713" s="436"/>
      <c r="N713" s="436"/>
      <c r="O713" s="436"/>
      <c r="P713" s="436"/>
      <c r="Q713" s="436"/>
      <c r="R713" s="436"/>
      <c r="S713" s="436"/>
      <c r="T713" s="436"/>
      <c r="U713" s="436"/>
      <c r="V713" s="436"/>
    </row>
    <row r="714" spans="1:22" ht="26.25" customHeight="1" x14ac:dyDescent="0.2">
      <c r="A714" s="436"/>
      <c r="B714" s="436"/>
      <c r="C714" s="436"/>
      <c r="D714" s="436"/>
      <c r="E714" s="436"/>
      <c r="F714" s="436"/>
      <c r="G714" s="436"/>
      <c r="H714" s="436"/>
      <c r="I714" s="436"/>
      <c r="J714" s="436"/>
      <c r="K714" s="436"/>
      <c r="L714" s="436"/>
      <c r="M714" s="436"/>
      <c r="N714" s="436"/>
      <c r="O714" s="436"/>
      <c r="P714" s="436"/>
      <c r="Q714" s="436"/>
      <c r="R714" s="436"/>
      <c r="S714" s="436"/>
      <c r="T714" s="436"/>
      <c r="U714" s="436"/>
      <c r="V714" s="436"/>
    </row>
    <row r="715" spans="1:22" ht="26.25" customHeight="1" x14ac:dyDescent="0.2">
      <c r="A715" s="436"/>
      <c r="B715" s="436"/>
      <c r="C715" s="436"/>
      <c r="D715" s="436"/>
      <c r="E715" s="436"/>
      <c r="F715" s="436"/>
      <c r="G715" s="436"/>
      <c r="H715" s="436"/>
      <c r="I715" s="436"/>
      <c r="J715" s="436"/>
      <c r="K715" s="436"/>
      <c r="L715" s="436"/>
      <c r="M715" s="436"/>
      <c r="N715" s="436"/>
      <c r="O715" s="436"/>
      <c r="P715" s="436"/>
      <c r="Q715" s="436"/>
      <c r="R715" s="436"/>
      <c r="S715" s="436"/>
      <c r="T715" s="436"/>
      <c r="U715" s="436"/>
      <c r="V715" s="436"/>
    </row>
    <row r="716" spans="1:22" ht="26.25" customHeight="1" x14ac:dyDescent="0.2">
      <c r="A716" s="436"/>
      <c r="B716" s="436"/>
      <c r="C716" s="436"/>
      <c r="D716" s="436"/>
      <c r="E716" s="436"/>
      <c r="F716" s="436"/>
      <c r="G716" s="436"/>
      <c r="H716" s="436"/>
      <c r="I716" s="436"/>
      <c r="J716" s="436"/>
      <c r="K716" s="436"/>
      <c r="L716" s="436"/>
      <c r="M716" s="436"/>
      <c r="N716" s="436"/>
      <c r="O716" s="436"/>
      <c r="P716" s="436"/>
      <c r="Q716" s="436"/>
      <c r="R716" s="436"/>
      <c r="S716" s="436"/>
      <c r="T716" s="436"/>
      <c r="U716" s="436"/>
      <c r="V716" s="436"/>
    </row>
    <row r="717" spans="1:22" ht="26.25" customHeight="1" x14ac:dyDescent="0.2">
      <c r="A717" s="436"/>
      <c r="B717" s="436"/>
      <c r="C717" s="436"/>
      <c r="D717" s="436"/>
      <c r="E717" s="436"/>
      <c r="F717" s="436"/>
      <c r="G717" s="436"/>
      <c r="H717" s="436"/>
      <c r="I717" s="436"/>
      <c r="J717" s="436"/>
      <c r="K717" s="436"/>
      <c r="L717" s="436"/>
      <c r="M717" s="436"/>
      <c r="N717" s="436"/>
      <c r="O717" s="436"/>
      <c r="P717" s="436"/>
      <c r="Q717" s="436"/>
      <c r="R717" s="436"/>
      <c r="S717" s="436"/>
      <c r="T717" s="436"/>
      <c r="U717" s="436"/>
      <c r="V717" s="436"/>
    </row>
    <row r="718" spans="1:22" ht="26.25" customHeight="1" x14ac:dyDescent="0.2">
      <c r="A718" s="436"/>
      <c r="B718" s="436"/>
      <c r="C718" s="436"/>
      <c r="D718" s="436"/>
      <c r="E718" s="436"/>
      <c r="F718" s="436"/>
      <c r="G718" s="436"/>
      <c r="H718" s="436"/>
      <c r="I718" s="436"/>
      <c r="J718" s="436"/>
      <c r="K718" s="436"/>
      <c r="L718" s="436"/>
      <c r="M718" s="436"/>
      <c r="N718" s="436"/>
      <c r="O718" s="436"/>
      <c r="P718" s="436"/>
      <c r="Q718" s="436"/>
      <c r="R718" s="436"/>
      <c r="S718" s="436"/>
      <c r="T718" s="436"/>
      <c r="U718" s="436"/>
      <c r="V718" s="436"/>
    </row>
    <row r="719" spans="1:22" ht="26.25" customHeight="1" x14ac:dyDescent="0.2">
      <c r="A719" s="436"/>
      <c r="B719" s="436"/>
      <c r="C719" s="436"/>
      <c r="D719" s="436"/>
      <c r="E719" s="436"/>
      <c r="F719" s="436"/>
      <c r="G719" s="436"/>
      <c r="H719" s="436"/>
      <c r="I719" s="436"/>
      <c r="J719" s="436"/>
      <c r="K719" s="436"/>
      <c r="L719" s="436"/>
      <c r="M719" s="436"/>
      <c r="N719" s="436"/>
      <c r="O719" s="436"/>
      <c r="P719" s="436"/>
      <c r="Q719" s="436"/>
      <c r="R719" s="436"/>
      <c r="S719" s="436"/>
      <c r="T719" s="436"/>
      <c r="U719" s="436"/>
      <c r="V719" s="436"/>
    </row>
    <row r="720" spans="1:22" ht="26.25" customHeight="1" x14ac:dyDescent="0.2">
      <c r="A720" s="436"/>
      <c r="B720" s="436"/>
      <c r="C720" s="436"/>
      <c r="D720" s="436"/>
      <c r="E720" s="436"/>
      <c r="F720" s="436"/>
      <c r="G720" s="436"/>
      <c r="H720" s="436"/>
      <c r="I720" s="436"/>
      <c r="J720" s="436"/>
      <c r="K720" s="436"/>
      <c r="L720" s="436"/>
      <c r="M720" s="436"/>
      <c r="N720" s="436"/>
      <c r="O720" s="436"/>
      <c r="P720" s="436"/>
      <c r="Q720" s="436"/>
      <c r="R720" s="436"/>
      <c r="S720" s="436"/>
      <c r="T720" s="436"/>
      <c r="U720" s="436"/>
      <c r="V720" s="436"/>
    </row>
    <row r="721" spans="1:22" ht="26.25" customHeight="1" x14ac:dyDescent="0.2">
      <c r="A721" s="436"/>
      <c r="B721" s="436"/>
      <c r="C721" s="436"/>
      <c r="D721" s="436"/>
      <c r="E721" s="436"/>
      <c r="F721" s="436"/>
      <c r="G721" s="436"/>
      <c r="H721" s="436"/>
      <c r="I721" s="436"/>
      <c r="J721" s="436"/>
      <c r="K721" s="436"/>
      <c r="L721" s="436"/>
      <c r="M721" s="436"/>
      <c r="N721" s="436"/>
      <c r="O721" s="436"/>
      <c r="P721" s="436"/>
      <c r="Q721" s="436"/>
      <c r="R721" s="436"/>
      <c r="S721" s="436"/>
      <c r="T721" s="436"/>
      <c r="U721" s="436"/>
      <c r="V721" s="436"/>
    </row>
    <row r="722" spans="1:22" ht="26.25" customHeight="1" x14ac:dyDescent="0.2">
      <c r="A722" s="436"/>
      <c r="B722" s="436"/>
      <c r="C722" s="436"/>
      <c r="D722" s="436"/>
      <c r="E722" s="436"/>
      <c r="F722" s="436"/>
      <c r="G722" s="436"/>
      <c r="H722" s="436"/>
      <c r="I722" s="436"/>
      <c r="J722" s="436"/>
      <c r="K722" s="436"/>
      <c r="L722" s="436"/>
      <c r="M722" s="436"/>
      <c r="N722" s="436"/>
      <c r="O722" s="436"/>
      <c r="P722" s="436"/>
      <c r="Q722" s="436"/>
      <c r="R722" s="436"/>
      <c r="S722" s="436"/>
      <c r="T722" s="436"/>
      <c r="U722" s="436"/>
      <c r="V722" s="436"/>
    </row>
    <row r="723" spans="1:22" ht="26.25" customHeight="1" x14ac:dyDescent="0.2">
      <c r="A723" s="436"/>
      <c r="B723" s="436"/>
      <c r="C723" s="436"/>
      <c r="D723" s="436"/>
      <c r="E723" s="436"/>
      <c r="F723" s="436"/>
      <c r="G723" s="436"/>
      <c r="H723" s="436"/>
      <c r="I723" s="436"/>
      <c r="J723" s="436"/>
      <c r="K723" s="436"/>
      <c r="L723" s="436"/>
      <c r="M723" s="436"/>
      <c r="N723" s="436"/>
      <c r="O723" s="436"/>
      <c r="P723" s="436"/>
      <c r="Q723" s="436"/>
      <c r="R723" s="436"/>
      <c r="S723" s="436"/>
      <c r="T723" s="436"/>
      <c r="U723" s="436"/>
      <c r="V723" s="436"/>
    </row>
    <row r="724" spans="1:22" ht="26.25" customHeight="1" x14ac:dyDescent="0.2">
      <c r="A724" s="436"/>
      <c r="B724" s="436"/>
      <c r="C724" s="436"/>
      <c r="D724" s="436"/>
      <c r="E724" s="436"/>
      <c r="F724" s="436"/>
      <c r="G724" s="436"/>
      <c r="H724" s="436"/>
      <c r="I724" s="436"/>
      <c r="J724" s="436"/>
      <c r="K724" s="436"/>
      <c r="L724" s="436"/>
      <c r="M724" s="436"/>
      <c r="N724" s="436"/>
      <c r="O724" s="436"/>
      <c r="P724" s="436"/>
      <c r="Q724" s="436"/>
      <c r="R724" s="436"/>
      <c r="S724" s="436"/>
      <c r="T724" s="436"/>
      <c r="U724" s="436"/>
      <c r="V724" s="436"/>
    </row>
    <row r="725" spans="1:22" ht="26.25" customHeight="1" x14ac:dyDescent="0.2">
      <c r="A725" s="436"/>
      <c r="B725" s="436"/>
      <c r="C725" s="436"/>
      <c r="D725" s="436"/>
      <c r="E725" s="436"/>
      <c r="F725" s="436"/>
      <c r="G725" s="436"/>
      <c r="H725" s="436"/>
      <c r="I725" s="436"/>
      <c r="J725" s="436"/>
      <c r="K725" s="436"/>
      <c r="L725" s="436"/>
      <c r="M725" s="436"/>
      <c r="N725" s="436"/>
      <c r="O725" s="436"/>
      <c r="P725" s="436"/>
      <c r="Q725" s="436"/>
      <c r="R725" s="436"/>
      <c r="S725" s="436"/>
      <c r="T725" s="436"/>
      <c r="U725" s="436"/>
      <c r="V725" s="436"/>
    </row>
    <row r="726" spans="1:22" ht="26.25" customHeight="1" x14ac:dyDescent="0.2">
      <c r="A726" s="436"/>
      <c r="B726" s="436"/>
      <c r="C726" s="436"/>
      <c r="D726" s="436"/>
      <c r="E726" s="436"/>
      <c r="F726" s="436"/>
      <c r="G726" s="436"/>
      <c r="H726" s="436"/>
      <c r="I726" s="436"/>
      <c r="J726" s="436"/>
      <c r="K726" s="436"/>
      <c r="L726" s="436"/>
      <c r="M726" s="436"/>
      <c r="N726" s="436"/>
      <c r="O726" s="436"/>
      <c r="P726" s="436"/>
      <c r="Q726" s="436"/>
      <c r="R726" s="436"/>
      <c r="S726" s="436"/>
      <c r="T726" s="436"/>
      <c r="U726" s="436"/>
      <c r="V726" s="436"/>
    </row>
    <row r="727" spans="1:22" ht="26.25" customHeight="1" x14ac:dyDescent="0.2">
      <c r="A727" s="436"/>
      <c r="B727" s="436"/>
      <c r="C727" s="436"/>
      <c r="D727" s="436"/>
      <c r="E727" s="436"/>
      <c r="F727" s="436"/>
      <c r="G727" s="436"/>
      <c r="H727" s="436"/>
      <c r="I727" s="436"/>
      <c r="J727" s="436"/>
      <c r="K727" s="436"/>
      <c r="L727" s="436"/>
      <c r="M727" s="436"/>
      <c r="N727" s="436"/>
      <c r="O727" s="436"/>
      <c r="P727" s="436"/>
      <c r="Q727" s="436"/>
      <c r="R727" s="436"/>
      <c r="S727" s="436"/>
      <c r="T727" s="436"/>
      <c r="U727" s="436"/>
      <c r="V727" s="436"/>
    </row>
    <row r="728" spans="1:22" ht="26.25" customHeight="1" x14ac:dyDescent="0.2">
      <c r="A728" s="436"/>
      <c r="B728" s="436"/>
      <c r="C728" s="436"/>
      <c r="D728" s="436"/>
      <c r="E728" s="436"/>
      <c r="F728" s="436"/>
      <c r="G728" s="436"/>
      <c r="H728" s="436"/>
      <c r="I728" s="436"/>
      <c r="J728" s="436"/>
      <c r="K728" s="436"/>
      <c r="L728" s="436"/>
      <c r="M728" s="436"/>
      <c r="N728" s="436"/>
      <c r="O728" s="436"/>
      <c r="P728" s="436"/>
      <c r="Q728" s="436"/>
      <c r="R728" s="436"/>
      <c r="S728" s="436"/>
      <c r="T728" s="436"/>
      <c r="U728" s="436"/>
      <c r="V728" s="436"/>
    </row>
    <row r="729" spans="1:22" ht="26.25" customHeight="1" x14ac:dyDescent="0.2">
      <c r="A729" s="436"/>
      <c r="B729" s="436"/>
      <c r="C729" s="436"/>
      <c r="D729" s="436"/>
      <c r="E729" s="436"/>
      <c r="F729" s="436"/>
      <c r="G729" s="436"/>
      <c r="H729" s="436"/>
      <c r="I729" s="436"/>
      <c r="J729" s="436"/>
      <c r="K729" s="436"/>
      <c r="L729" s="436"/>
      <c r="M729" s="436"/>
      <c r="N729" s="436"/>
      <c r="O729" s="436"/>
      <c r="P729" s="436"/>
      <c r="Q729" s="436"/>
      <c r="R729" s="436"/>
      <c r="S729" s="436"/>
      <c r="T729" s="436"/>
      <c r="U729" s="436"/>
      <c r="V729" s="436"/>
    </row>
    <row r="730" spans="1:22" ht="26.25" customHeight="1" x14ac:dyDescent="0.2">
      <c r="A730" s="436"/>
      <c r="B730" s="436"/>
      <c r="C730" s="436"/>
      <c r="D730" s="436"/>
      <c r="E730" s="436"/>
      <c r="F730" s="436"/>
      <c r="G730" s="436"/>
      <c r="H730" s="436"/>
      <c r="I730" s="436"/>
      <c r="J730" s="436"/>
      <c r="K730" s="436"/>
      <c r="L730" s="436"/>
      <c r="M730" s="436"/>
      <c r="N730" s="436"/>
      <c r="O730" s="436"/>
      <c r="P730" s="436"/>
      <c r="Q730" s="436"/>
      <c r="R730" s="436"/>
      <c r="S730" s="436"/>
      <c r="T730" s="436"/>
      <c r="U730" s="436"/>
      <c r="V730" s="436"/>
    </row>
    <row r="731" spans="1:22" ht="26.25" customHeight="1" x14ac:dyDescent="0.2">
      <c r="A731" s="436"/>
      <c r="B731" s="436"/>
      <c r="C731" s="436"/>
      <c r="D731" s="436"/>
      <c r="E731" s="436"/>
      <c r="F731" s="436"/>
      <c r="G731" s="436"/>
      <c r="H731" s="436"/>
      <c r="I731" s="436"/>
      <c r="J731" s="436"/>
      <c r="K731" s="436"/>
      <c r="L731" s="436"/>
      <c r="M731" s="436"/>
      <c r="N731" s="436"/>
      <c r="O731" s="436"/>
      <c r="P731" s="436"/>
      <c r="Q731" s="436"/>
      <c r="R731" s="436"/>
      <c r="S731" s="436"/>
      <c r="T731" s="436"/>
      <c r="U731" s="436"/>
      <c r="V731" s="436"/>
    </row>
    <row r="732" spans="1:22" ht="26.25" customHeight="1" x14ac:dyDescent="0.2">
      <c r="A732" s="436"/>
      <c r="B732" s="436"/>
      <c r="C732" s="436"/>
      <c r="D732" s="436"/>
      <c r="E732" s="436"/>
      <c r="F732" s="436"/>
      <c r="G732" s="436"/>
      <c r="H732" s="436"/>
      <c r="I732" s="436"/>
      <c r="J732" s="436"/>
      <c r="K732" s="436"/>
      <c r="L732" s="436"/>
      <c r="M732" s="436"/>
      <c r="N732" s="436"/>
      <c r="O732" s="436"/>
      <c r="P732" s="436"/>
      <c r="Q732" s="436"/>
      <c r="R732" s="436"/>
      <c r="S732" s="436"/>
      <c r="T732" s="436"/>
      <c r="U732" s="436"/>
      <c r="V732" s="436"/>
    </row>
    <row r="733" spans="1:22" ht="26.25" customHeight="1" x14ac:dyDescent="0.2">
      <c r="A733" s="436"/>
      <c r="B733" s="436"/>
      <c r="C733" s="436"/>
      <c r="D733" s="436"/>
      <c r="E733" s="436"/>
      <c r="F733" s="436"/>
      <c r="G733" s="436"/>
      <c r="H733" s="436"/>
      <c r="I733" s="436"/>
      <c r="J733" s="436"/>
      <c r="K733" s="436"/>
      <c r="L733" s="436"/>
      <c r="M733" s="436"/>
      <c r="N733" s="436"/>
      <c r="O733" s="436"/>
      <c r="P733" s="436"/>
      <c r="Q733" s="436"/>
      <c r="R733" s="436"/>
      <c r="S733" s="436"/>
      <c r="T733" s="436"/>
      <c r="U733" s="436"/>
      <c r="V733" s="436"/>
    </row>
    <row r="734" spans="1:22" ht="26.25" customHeight="1" x14ac:dyDescent="0.2">
      <c r="A734" s="436"/>
      <c r="B734" s="436"/>
      <c r="C734" s="436"/>
      <c r="D734" s="436"/>
      <c r="E734" s="436"/>
      <c r="F734" s="436"/>
      <c r="G734" s="436"/>
      <c r="H734" s="436"/>
      <c r="I734" s="436"/>
      <c r="J734" s="436"/>
      <c r="K734" s="436"/>
      <c r="L734" s="436"/>
      <c r="M734" s="436"/>
      <c r="N734" s="436"/>
      <c r="O734" s="436"/>
      <c r="P734" s="436"/>
      <c r="Q734" s="436"/>
      <c r="R734" s="436"/>
      <c r="S734" s="436"/>
      <c r="T734" s="436"/>
      <c r="U734" s="436"/>
      <c r="V734" s="436"/>
    </row>
    <row r="735" spans="1:22" ht="26.25" customHeight="1" x14ac:dyDescent="0.2">
      <c r="A735" s="436"/>
      <c r="B735" s="436"/>
      <c r="C735" s="436"/>
      <c r="D735" s="436"/>
      <c r="E735" s="436"/>
      <c r="F735" s="436"/>
      <c r="G735" s="436"/>
      <c r="H735" s="436"/>
      <c r="I735" s="436"/>
      <c r="J735" s="436"/>
      <c r="K735" s="436"/>
      <c r="L735" s="436"/>
      <c r="M735" s="436"/>
      <c r="N735" s="436"/>
      <c r="O735" s="436"/>
      <c r="P735" s="436"/>
      <c r="Q735" s="436"/>
      <c r="R735" s="436"/>
      <c r="S735" s="436"/>
      <c r="T735" s="436"/>
      <c r="U735" s="436"/>
      <c r="V735" s="436"/>
    </row>
    <row r="736" spans="1:22" ht="26.25" customHeight="1" x14ac:dyDescent="0.2">
      <c r="A736" s="436"/>
      <c r="B736" s="436"/>
      <c r="C736" s="436"/>
      <c r="D736" s="436"/>
      <c r="E736" s="436"/>
      <c r="F736" s="436"/>
      <c r="G736" s="436"/>
      <c r="H736" s="436"/>
      <c r="I736" s="436"/>
      <c r="J736" s="436"/>
      <c r="K736" s="436"/>
      <c r="L736" s="436"/>
      <c r="M736" s="436"/>
      <c r="N736" s="436"/>
      <c r="O736" s="436"/>
      <c r="P736" s="436"/>
      <c r="Q736" s="436"/>
      <c r="R736" s="436"/>
      <c r="S736" s="436"/>
      <c r="T736" s="436"/>
      <c r="U736" s="436"/>
      <c r="V736" s="436"/>
    </row>
    <row r="737" spans="1:22" ht="26.25" customHeight="1" x14ac:dyDescent="0.2">
      <c r="A737" s="436"/>
      <c r="B737" s="436"/>
      <c r="C737" s="436"/>
      <c r="D737" s="436"/>
      <c r="E737" s="436"/>
      <c r="F737" s="436"/>
      <c r="G737" s="436"/>
      <c r="H737" s="436"/>
      <c r="I737" s="436"/>
      <c r="J737" s="436"/>
      <c r="K737" s="436"/>
      <c r="L737" s="436"/>
      <c r="M737" s="436"/>
      <c r="N737" s="436"/>
      <c r="O737" s="436"/>
      <c r="P737" s="436"/>
      <c r="Q737" s="436"/>
      <c r="R737" s="436"/>
      <c r="S737" s="436"/>
      <c r="T737" s="436"/>
      <c r="U737" s="436"/>
      <c r="V737" s="436"/>
    </row>
    <row r="738" spans="1:22" ht="26.25" customHeight="1" x14ac:dyDescent="0.2">
      <c r="A738" s="436"/>
      <c r="B738" s="436"/>
      <c r="C738" s="436"/>
      <c r="D738" s="436"/>
      <c r="E738" s="436"/>
      <c r="F738" s="436"/>
      <c r="G738" s="436"/>
      <c r="H738" s="436"/>
      <c r="I738" s="436"/>
      <c r="J738" s="436"/>
      <c r="K738" s="436"/>
      <c r="L738" s="436"/>
      <c r="M738" s="436"/>
      <c r="N738" s="436"/>
      <c r="O738" s="436"/>
      <c r="P738" s="436"/>
      <c r="Q738" s="436"/>
      <c r="R738" s="436"/>
      <c r="S738" s="436"/>
      <c r="T738" s="436"/>
      <c r="U738" s="436"/>
      <c r="V738" s="436"/>
    </row>
    <row r="739" spans="1:22" ht="26.25" customHeight="1" x14ac:dyDescent="0.2">
      <c r="A739" s="436"/>
      <c r="B739" s="436"/>
      <c r="C739" s="436"/>
      <c r="D739" s="436"/>
      <c r="E739" s="436"/>
      <c r="F739" s="436"/>
      <c r="G739" s="436"/>
      <c r="H739" s="436"/>
      <c r="I739" s="436"/>
      <c r="J739" s="436"/>
      <c r="K739" s="436"/>
      <c r="L739" s="436"/>
      <c r="M739" s="436"/>
      <c r="N739" s="436"/>
      <c r="O739" s="436"/>
      <c r="P739" s="436"/>
      <c r="Q739" s="436"/>
      <c r="R739" s="436"/>
      <c r="S739" s="436"/>
      <c r="T739" s="436"/>
      <c r="U739" s="436"/>
      <c r="V739" s="436"/>
    </row>
    <row r="740" spans="1:22" ht="26.25" customHeight="1" x14ac:dyDescent="0.2">
      <c r="A740" s="436"/>
      <c r="B740" s="436"/>
      <c r="C740" s="436"/>
      <c r="D740" s="436"/>
      <c r="E740" s="436"/>
      <c r="F740" s="436"/>
      <c r="G740" s="436"/>
      <c r="H740" s="436"/>
      <c r="I740" s="436"/>
      <c r="J740" s="436"/>
      <c r="K740" s="436"/>
      <c r="L740" s="436"/>
      <c r="M740" s="436"/>
      <c r="N740" s="436"/>
      <c r="O740" s="436"/>
      <c r="P740" s="436"/>
      <c r="Q740" s="436"/>
      <c r="R740" s="436"/>
      <c r="S740" s="436"/>
      <c r="T740" s="436"/>
      <c r="U740" s="436"/>
      <c r="V740" s="436"/>
    </row>
    <row r="741" spans="1:22" ht="26.25" customHeight="1" x14ac:dyDescent="0.2">
      <c r="A741" s="436"/>
      <c r="B741" s="436"/>
      <c r="C741" s="436"/>
      <c r="D741" s="436"/>
      <c r="E741" s="436"/>
      <c r="F741" s="436"/>
      <c r="G741" s="436"/>
      <c r="H741" s="436"/>
      <c r="I741" s="436"/>
      <c r="J741" s="436"/>
      <c r="K741" s="436"/>
      <c r="L741" s="436"/>
      <c r="M741" s="436"/>
      <c r="N741" s="436"/>
      <c r="O741" s="436"/>
      <c r="P741" s="436"/>
      <c r="Q741" s="436"/>
      <c r="R741" s="436"/>
      <c r="S741" s="436"/>
      <c r="T741" s="436"/>
      <c r="U741" s="436"/>
      <c r="V741" s="436"/>
    </row>
    <row r="742" spans="1:22" ht="26.25" customHeight="1" x14ac:dyDescent="0.2">
      <c r="A742" s="436"/>
      <c r="B742" s="436"/>
      <c r="C742" s="436"/>
      <c r="D742" s="436"/>
      <c r="E742" s="436"/>
      <c r="F742" s="436"/>
      <c r="G742" s="436"/>
      <c r="H742" s="436"/>
      <c r="I742" s="436"/>
      <c r="J742" s="436"/>
      <c r="K742" s="436"/>
      <c r="L742" s="436"/>
      <c r="M742" s="436"/>
      <c r="N742" s="436"/>
      <c r="O742" s="436"/>
      <c r="P742" s="436"/>
      <c r="Q742" s="436"/>
      <c r="R742" s="436"/>
      <c r="S742" s="436"/>
      <c r="T742" s="436"/>
      <c r="U742" s="436"/>
      <c r="V742" s="436"/>
    </row>
    <row r="743" spans="1:22" ht="26.25" customHeight="1" x14ac:dyDescent="0.2">
      <c r="A743" s="436"/>
      <c r="B743" s="436"/>
      <c r="C743" s="436"/>
      <c r="D743" s="436"/>
      <c r="E743" s="436"/>
      <c r="F743" s="436"/>
      <c r="G743" s="436"/>
      <c r="H743" s="436"/>
      <c r="I743" s="436"/>
      <c r="J743" s="436"/>
      <c r="K743" s="436"/>
      <c r="L743" s="436"/>
      <c r="M743" s="436"/>
      <c r="N743" s="436"/>
      <c r="O743" s="436"/>
      <c r="P743" s="436"/>
      <c r="Q743" s="436"/>
      <c r="R743" s="436"/>
      <c r="S743" s="436"/>
      <c r="T743" s="436"/>
      <c r="U743" s="436"/>
      <c r="V743" s="436"/>
    </row>
    <row r="744" spans="1:22" ht="26.25" customHeight="1" x14ac:dyDescent="0.2">
      <c r="A744" s="436"/>
      <c r="B744" s="436"/>
      <c r="C744" s="436"/>
      <c r="D744" s="436"/>
      <c r="E744" s="436"/>
      <c r="F744" s="436"/>
      <c r="G744" s="436"/>
      <c r="H744" s="436"/>
      <c r="I744" s="436"/>
      <c r="J744" s="436"/>
      <c r="K744" s="436"/>
      <c r="L744" s="436"/>
      <c r="M744" s="436"/>
      <c r="N744" s="436"/>
      <c r="O744" s="436"/>
      <c r="P744" s="436"/>
      <c r="Q744" s="436"/>
      <c r="R744" s="436"/>
      <c r="S744" s="436"/>
      <c r="T744" s="436"/>
      <c r="U744" s="436"/>
      <c r="V744" s="436"/>
    </row>
    <row r="745" spans="1:22" ht="26.25" customHeight="1" x14ac:dyDescent="0.2">
      <c r="A745" s="436"/>
      <c r="B745" s="436"/>
      <c r="C745" s="436"/>
      <c r="D745" s="436"/>
      <c r="E745" s="436"/>
      <c r="F745" s="436"/>
      <c r="G745" s="436"/>
      <c r="H745" s="436"/>
      <c r="I745" s="436"/>
      <c r="J745" s="436"/>
      <c r="K745" s="436"/>
      <c r="L745" s="436"/>
      <c r="M745" s="436"/>
      <c r="N745" s="436"/>
      <c r="O745" s="436"/>
      <c r="P745" s="436"/>
      <c r="Q745" s="436"/>
      <c r="R745" s="436"/>
      <c r="S745" s="436"/>
      <c r="T745" s="436"/>
      <c r="U745" s="436"/>
      <c r="V745" s="436"/>
    </row>
    <row r="746" spans="1:22" ht="26.25" customHeight="1" x14ac:dyDescent="0.2">
      <c r="A746" s="436"/>
      <c r="B746" s="436"/>
      <c r="C746" s="436"/>
      <c r="D746" s="436"/>
      <c r="E746" s="436"/>
      <c r="F746" s="436"/>
      <c r="G746" s="436"/>
      <c r="H746" s="436"/>
      <c r="I746" s="436"/>
      <c r="J746" s="436"/>
      <c r="K746" s="436"/>
      <c r="L746" s="436"/>
      <c r="M746" s="436"/>
      <c r="N746" s="436"/>
      <c r="O746" s="436"/>
      <c r="P746" s="436"/>
      <c r="Q746" s="436"/>
      <c r="R746" s="436"/>
      <c r="S746" s="436"/>
      <c r="T746" s="436"/>
      <c r="U746" s="436"/>
      <c r="V746" s="436"/>
    </row>
    <row r="747" spans="1:22" ht="26.25" customHeight="1" x14ac:dyDescent="0.2">
      <c r="A747" s="436"/>
      <c r="B747" s="436"/>
      <c r="C747" s="436"/>
      <c r="D747" s="436"/>
      <c r="E747" s="436"/>
      <c r="F747" s="436"/>
      <c r="G747" s="436"/>
      <c r="H747" s="436"/>
      <c r="I747" s="436"/>
      <c r="J747" s="436"/>
      <c r="K747" s="436"/>
      <c r="L747" s="436"/>
      <c r="M747" s="436"/>
      <c r="N747" s="436"/>
      <c r="O747" s="436"/>
      <c r="P747" s="436"/>
      <c r="Q747" s="436"/>
      <c r="R747" s="436"/>
      <c r="S747" s="436"/>
      <c r="T747" s="436"/>
      <c r="U747" s="436"/>
      <c r="V747" s="436"/>
    </row>
    <row r="748" spans="1:22" ht="26.25" customHeight="1" x14ac:dyDescent="0.2">
      <c r="A748" s="436"/>
      <c r="B748" s="436"/>
      <c r="C748" s="436"/>
      <c r="D748" s="436"/>
      <c r="E748" s="436"/>
      <c r="F748" s="436"/>
      <c r="G748" s="436"/>
      <c r="H748" s="436"/>
      <c r="I748" s="436"/>
      <c r="J748" s="436"/>
      <c r="K748" s="436"/>
      <c r="L748" s="436"/>
      <c r="M748" s="436"/>
      <c r="N748" s="436"/>
      <c r="O748" s="436"/>
      <c r="P748" s="436"/>
      <c r="Q748" s="436"/>
      <c r="R748" s="436"/>
      <c r="S748" s="436"/>
      <c r="T748" s="436"/>
      <c r="U748" s="436"/>
      <c r="V748" s="436"/>
    </row>
    <row r="749" spans="1:22" ht="26.25" customHeight="1" x14ac:dyDescent="0.2">
      <c r="A749" s="436"/>
      <c r="B749" s="436"/>
      <c r="C749" s="436"/>
      <c r="D749" s="436"/>
      <c r="E749" s="436"/>
      <c r="F749" s="436"/>
      <c r="G749" s="436"/>
      <c r="H749" s="436"/>
      <c r="I749" s="436"/>
      <c r="J749" s="436"/>
      <c r="K749" s="436"/>
      <c r="L749" s="436"/>
      <c r="M749" s="436"/>
      <c r="N749" s="436"/>
      <c r="O749" s="436"/>
      <c r="P749" s="436"/>
      <c r="Q749" s="436"/>
      <c r="R749" s="436"/>
      <c r="S749" s="436"/>
      <c r="T749" s="436"/>
      <c r="U749" s="436"/>
      <c r="V749" s="436"/>
    </row>
    <row r="750" spans="1:22" ht="26.25" customHeight="1" x14ac:dyDescent="0.2">
      <c r="A750" s="436"/>
      <c r="B750" s="436"/>
      <c r="C750" s="436"/>
      <c r="D750" s="436"/>
      <c r="E750" s="436"/>
      <c r="F750" s="436"/>
      <c r="G750" s="436"/>
      <c r="H750" s="436"/>
      <c r="I750" s="436"/>
      <c r="J750" s="436"/>
      <c r="K750" s="436"/>
      <c r="L750" s="436"/>
      <c r="M750" s="436"/>
      <c r="N750" s="436"/>
      <c r="O750" s="436"/>
      <c r="P750" s="436"/>
      <c r="Q750" s="436"/>
      <c r="R750" s="436"/>
      <c r="S750" s="436"/>
      <c r="T750" s="436"/>
      <c r="U750" s="436"/>
      <c r="V750" s="436"/>
    </row>
    <row r="751" spans="1:22" ht="26.25" customHeight="1" x14ac:dyDescent="0.2">
      <c r="A751" s="436"/>
      <c r="B751" s="436"/>
      <c r="C751" s="436"/>
      <c r="D751" s="436"/>
      <c r="E751" s="436"/>
      <c r="F751" s="436"/>
      <c r="G751" s="436"/>
      <c r="H751" s="436"/>
      <c r="I751" s="436"/>
      <c r="J751" s="436"/>
      <c r="K751" s="436"/>
      <c r="L751" s="436"/>
      <c r="M751" s="436"/>
      <c r="N751" s="436"/>
      <c r="O751" s="436"/>
      <c r="P751" s="436"/>
      <c r="Q751" s="436"/>
      <c r="R751" s="436"/>
      <c r="S751" s="436"/>
      <c r="T751" s="436"/>
      <c r="U751" s="436"/>
      <c r="V751" s="436"/>
    </row>
    <row r="752" spans="1:22" ht="26.25" customHeight="1" x14ac:dyDescent="0.2">
      <c r="A752" s="436"/>
      <c r="B752" s="436"/>
      <c r="C752" s="436"/>
      <c r="D752" s="436"/>
      <c r="E752" s="436"/>
      <c r="F752" s="436"/>
      <c r="G752" s="436"/>
      <c r="H752" s="436"/>
      <c r="I752" s="436"/>
      <c r="J752" s="436"/>
      <c r="K752" s="436"/>
      <c r="L752" s="436"/>
      <c r="M752" s="436"/>
      <c r="N752" s="436"/>
      <c r="O752" s="436"/>
      <c r="P752" s="436"/>
      <c r="Q752" s="436"/>
      <c r="R752" s="436"/>
      <c r="S752" s="436"/>
      <c r="T752" s="436"/>
      <c r="U752" s="436"/>
      <c r="V752" s="436"/>
    </row>
    <row r="753" spans="1:22" ht="26.25" customHeight="1" x14ac:dyDescent="0.2">
      <c r="A753" s="436"/>
      <c r="B753" s="436"/>
      <c r="C753" s="436"/>
      <c r="D753" s="436"/>
      <c r="E753" s="436"/>
      <c r="F753" s="436"/>
      <c r="G753" s="436"/>
      <c r="H753" s="436"/>
      <c r="I753" s="436"/>
      <c r="J753" s="436"/>
      <c r="K753" s="436"/>
      <c r="L753" s="436"/>
      <c r="M753" s="436"/>
      <c r="N753" s="436"/>
      <c r="O753" s="436"/>
      <c r="P753" s="436"/>
      <c r="Q753" s="436"/>
      <c r="R753" s="436"/>
      <c r="S753" s="436"/>
      <c r="T753" s="436"/>
      <c r="U753" s="436"/>
      <c r="V753" s="436"/>
    </row>
    <row r="754" spans="1:22" ht="26.25" customHeight="1" x14ac:dyDescent="0.2">
      <c r="A754" s="436"/>
      <c r="B754" s="436"/>
      <c r="C754" s="436"/>
      <c r="D754" s="436"/>
      <c r="E754" s="436"/>
      <c r="F754" s="436"/>
      <c r="G754" s="436"/>
      <c r="H754" s="436"/>
      <c r="I754" s="436"/>
      <c r="J754" s="436"/>
      <c r="K754" s="436"/>
      <c r="L754" s="436"/>
      <c r="M754" s="436"/>
      <c r="N754" s="436"/>
      <c r="O754" s="436"/>
      <c r="P754" s="436"/>
      <c r="Q754" s="436"/>
      <c r="R754" s="436"/>
      <c r="S754" s="436"/>
      <c r="T754" s="436"/>
      <c r="U754" s="436"/>
      <c r="V754" s="436"/>
    </row>
    <row r="755" spans="1:22" ht="26.25" customHeight="1" x14ac:dyDescent="0.2">
      <c r="A755" s="436"/>
      <c r="B755" s="436"/>
      <c r="C755" s="436"/>
      <c r="D755" s="436"/>
      <c r="E755" s="436"/>
      <c r="F755" s="436"/>
      <c r="G755" s="436"/>
      <c r="H755" s="436"/>
      <c r="I755" s="436"/>
      <c r="J755" s="436"/>
      <c r="K755" s="436"/>
      <c r="L755" s="436"/>
      <c r="M755" s="436"/>
      <c r="N755" s="436"/>
      <c r="O755" s="436"/>
      <c r="P755" s="436"/>
      <c r="Q755" s="436"/>
      <c r="R755" s="436"/>
      <c r="S755" s="436"/>
      <c r="T755" s="436"/>
      <c r="U755" s="436"/>
      <c r="V755" s="436"/>
    </row>
    <row r="756" spans="1:22" ht="26.25" customHeight="1" x14ac:dyDescent="0.2">
      <c r="A756" s="436"/>
      <c r="B756" s="436"/>
      <c r="C756" s="436"/>
      <c r="D756" s="436"/>
      <c r="E756" s="436"/>
      <c r="F756" s="436"/>
      <c r="G756" s="436"/>
      <c r="H756" s="436"/>
      <c r="I756" s="436"/>
      <c r="J756" s="436"/>
      <c r="K756" s="436"/>
      <c r="L756" s="436"/>
      <c r="M756" s="436"/>
      <c r="N756" s="436"/>
      <c r="O756" s="436"/>
      <c r="P756" s="436"/>
      <c r="Q756" s="436"/>
      <c r="R756" s="436"/>
      <c r="S756" s="436"/>
      <c r="T756" s="436"/>
      <c r="U756" s="436"/>
      <c r="V756" s="436"/>
    </row>
    <row r="757" spans="1:22" ht="26.25" customHeight="1" x14ac:dyDescent="0.2">
      <c r="A757" s="436"/>
      <c r="B757" s="436"/>
      <c r="C757" s="436"/>
      <c r="D757" s="436"/>
      <c r="E757" s="436"/>
      <c r="F757" s="436"/>
      <c r="G757" s="436"/>
      <c r="H757" s="436"/>
      <c r="I757" s="436"/>
      <c r="J757" s="436"/>
      <c r="K757" s="436"/>
      <c r="L757" s="436"/>
      <c r="M757" s="436"/>
      <c r="N757" s="436"/>
      <c r="O757" s="436"/>
      <c r="P757" s="436"/>
      <c r="Q757" s="436"/>
      <c r="R757" s="436"/>
      <c r="S757" s="436"/>
      <c r="T757" s="436"/>
      <c r="U757" s="436"/>
      <c r="V757" s="436"/>
    </row>
    <row r="758" spans="1:22" ht="26.25" customHeight="1" x14ac:dyDescent="0.2">
      <c r="A758" s="436"/>
      <c r="B758" s="436"/>
      <c r="C758" s="436"/>
      <c r="D758" s="436"/>
      <c r="E758" s="436"/>
      <c r="F758" s="436"/>
      <c r="G758" s="436"/>
      <c r="H758" s="436"/>
      <c r="I758" s="436"/>
      <c r="J758" s="436"/>
      <c r="K758" s="436"/>
      <c r="L758" s="436"/>
      <c r="M758" s="436"/>
      <c r="N758" s="436"/>
      <c r="O758" s="436"/>
      <c r="P758" s="436"/>
      <c r="Q758" s="436"/>
      <c r="R758" s="436"/>
      <c r="S758" s="436"/>
      <c r="T758" s="436"/>
      <c r="U758" s="436"/>
      <c r="V758" s="436"/>
    </row>
    <row r="759" spans="1:22" ht="26.25" customHeight="1" x14ac:dyDescent="0.2">
      <c r="A759" s="436"/>
      <c r="B759" s="436"/>
      <c r="C759" s="436"/>
      <c r="D759" s="436"/>
      <c r="E759" s="436"/>
      <c r="F759" s="436"/>
      <c r="G759" s="436"/>
      <c r="H759" s="436"/>
      <c r="I759" s="436"/>
      <c r="J759" s="436"/>
      <c r="K759" s="436"/>
      <c r="L759" s="436"/>
      <c r="M759" s="436"/>
      <c r="N759" s="436"/>
      <c r="O759" s="436"/>
      <c r="P759" s="436"/>
      <c r="Q759" s="436"/>
      <c r="R759" s="436"/>
      <c r="S759" s="436"/>
      <c r="T759" s="436"/>
      <c r="U759" s="436"/>
      <c r="V759" s="436"/>
    </row>
    <row r="760" spans="1:22" ht="26.25" customHeight="1" x14ac:dyDescent="0.2">
      <c r="A760" s="436"/>
      <c r="B760" s="436"/>
      <c r="C760" s="436"/>
      <c r="D760" s="436"/>
      <c r="E760" s="436"/>
      <c r="F760" s="436"/>
      <c r="G760" s="436"/>
      <c r="H760" s="436"/>
      <c r="I760" s="436"/>
      <c r="J760" s="436"/>
      <c r="K760" s="436"/>
      <c r="L760" s="436"/>
      <c r="M760" s="436"/>
      <c r="N760" s="436"/>
      <c r="O760" s="436"/>
      <c r="P760" s="436"/>
      <c r="Q760" s="436"/>
      <c r="R760" s="436"/>
      <c r="S760" s="436"/>
      <c r="T760" s="436"/>
      <c r="U760" s="436"/>
      <c r="V760" s="436"/>
    </row>
    <row r="761" spans="1:22" ht="26.25" customHeight="1" x14ac:dyDescent="0.2">
      <c r="A761" s="436"/>
      <c r="B761" s="436"/>
      <c r="C761" s="436"/>
      <c r="D761" s="436"/>
      <c r="E761" s="436"/>
      <c r="F761" s="436"/>
      <c r="G761" s="436"/>
      <c r="H761" s="436"/>
      <c r="I761" s="436"/>
      <c r="J761" s="436"/>
      <c r="K761" s="436"/>
      <c r="L761" s="436"/>
      <c r="M761" s="436"/>
      <c r="N761" s="436"/>
      <c r="O761" s="436"/>
      <c r="P761" s="436"/>
      <c r="Q761" s="436"/>
      <c r="R761" s="436"/>
      <c r="S761" s="436"/>
      <c r="T761" s="436"/>
      <c r="U761" s="436"/>
      <c r="V761" s="436"/>
    </row>
    <row r="762" spans="1:22" ht="26.25" customHeight="1" x14ac:dyDescent="0.2">
      <c r="A762" s="436"/>
      <c r="B762" s="436"/>
      <c r="C762" s="436"/>
      <c r="D762" s="436"/>
      <c r="E762" s="436"/>
      <c r="F762" s="436"/>
      <c r="G762" s="436"/>
      <c r="H762" s="436"/>
      <c r="I762" s="436"/>
      <c r="J762" s="436"/>
      <c r="K762" s="436"/>
      <c r="L762" s="436"/>
      <c r="M762" s="436"/>
      <c r="N762" s="436"/>
      <c r="O762" s="436"/>
      <c r="P762" s="436"/>
      <c r="Q762" s="436"/>
      <c r="R762" s="436"/>
      <c r="S762" s="436"/>
      <c r="T762" s="436"/>
      <c r="U762" s="436"/>
      <c r="V762" s="436"/>
    </row>
    <row r="763" spans="1:22" ht="26.25" customHeight="1" x14ac:dyDescent="0.2">
      <c r="A763" s="436"/>
      <c r="B763" s="436"/>
      <c r="C763" s="436"/>
      <c r="D763" s="436"/>
      <c r="E763" s="436"/>
      <c r="F763" s="436"/>
      <c r="G763" s="436"/>
      <c r="H763" s="436"/>
      <c r="I763" s="436"/>
      <c r="J763" s="436"/>
      <c r="K763" s="436"/>
      <c r="L763" s="436"/>
      <c r="M763" s="436"/>
      <c r="N763" s="436"/>
      <c r="O763" s="436"/>
      <c r="P763" s="436"/>
      <c r="Q763" s="436"/>
      <c r="R763" s="436"/>
      <c r="S763" s="436"/>
      <c r="T763" s="436"/>
      <c r="U763" s="436"/>
      <c r="V763" s="436"/>
    </row>
    <row r="764" spans="1:22" ht="26.25" customHeight="1" x14ac:dyDescent="0.2">
      <c r="A764" s="436"/>
      <c r="B764" s="436"/>
      <c r="C764" s="436"/>
      <c r="D764" s="436"/>
      <c r="E764" s="436"/>
      <c r="F764" s="436"/>
      <c r="G764" s="436"/>
      <c r="H764" s="436"/>
      <c r="I764" s="436"/>
      <c r="J764" s="436"/>
      <c r="K764" s="436"/>
      <c r="L764" s="436"/>
      <c r="M764" s="436"/>
      <c r="N764" s="436"/>
      <c r="O764" s="436"/>
      <c r="P764" s="436"/>
      <c r="Q764" s="436"/>
      <c r="R764" s="436"/>
      <c r="S764" s="436"/>
      <c r="T764" s="436"/>
      <c r="U764" s="436"/>
      <c r="V764" s="436"/>
    </row>
    <row r="765" spans="1:22" ht="26.25" customHeight="1" x14ac:dyDescent="0.2">
      <c r="A765" s="436"/>
      <c r="B765" s="436"/>
      <c r="C765" s="436"/>
      <c r="D765" s="436"/>
      <c r="E765" s="436"/>
      <c r="F765" s="436"/>
      <c r="G765" s="436"/>
      <c r="H765" s="436"/>
      <c r="I765" s="436"/>
      <c r="J765" s="436"/>
      <c r="K765" s="436"/>
      <c r="L765" s="436"/>
      <c r="M765" s="436"/>
      <c r="N765" s="436"/>
      <c r="O765" s="436"/>
      <c r="P765" s="436"/>
      <c r="Q765" s="436"/>
      <c r="R765" s="436"/>
      <c r="S765" s="436"/>
      <c r="T765" s="436"/>
      <c r="U765" s="436"/>
      <c r="V765" s="436"/>
    </row>
    <row r="766" spans="1:22" ht="26.25" customHeight="1" x14ac:dyDescent="0.2">
      <c r="A766" s="436"/>
      <c r="B766" s="436"/>
      <c r="C766" s="436"/>
      <c r="D766" s="436"/>
      <c r="E766" s="436"/>
      <c r="F766" s="436"/>
      <c r="G766" s="436"/>
      <c r="H766" s="436"/>
      <c r="I766" s="436"/>
      <c r="J766" s="436"/>
      <c r="K766" s="436"/>
      <c r="L766" s="436"/>
      <c r="M766" s="436"/>
      <c r="N766" s="436"/>
      <c r="O766" s="436"/>
      <c r="P766" s="436"/>
      <c r="Q766" s="436"/>
      <c r="R766" s="436"/>
      <c r="S766" s="436"/>
      <c r="T766" s="436"/>
      <c r="U766" s="436"/>
      <c r="V766" s="436"/>
    </row>
    <row r="767" spans="1:22" ht="26.25" customHeight="1" x14ac:dyDescent="0.2">
      <c r="A767" s="436"/>
      <c r="B767" s="436"/>
      <c r="C767" s="436"/>
      <c r="D767" s="436"/>
      <c r="E767" s="436"/>
      <c r="F767" s="436"/>
      <c r="G767" s="436"/>
      <c r="H767" s="436"/>
      <c r="I767" s="436"/>
      <c r="J767" s="436"/>
      <c r="K767" s="436"/>
      <c r="L767" s="436"/>
      <c r="M767" s="436"/>
      <c r="N767" s="436"/>
      <c r="O767" s="436"/>
      <c r="P767" s="436"/>
      <c r="Q767" s="436"/>
      <c r="R767" s="436"/>
      <c r="S767" s="436"/>
      <c r="T767" s="436"/>
      <c r="U767" s="436"/>
      <c r="V767" s="436"/>
    </row>
    <row r="768" spans="1:22" ht="26.25" customHeight="1" x14ac:dyDescent="0.2">
      <c r="A768" s="436"/>
      <c r="B768" s="436"/>
      <c r="C768" s="436"/>
      <c r="D768" s="436"/>
      <c r="E768" s="436"/>
      <c r="F768" s="436"/>
      <c r="G768" s="436"/>
      <c r="H768" s="436"/>
      <c r="I768" s="436"/>
      <c r="J768" s="436"/>
      <c r="K768" s="436"/>
      <c r="L768" s="436"/>
      <c r="M768" s="436"/>
      <c r="N768" s="436"/>
      <c r="O768" s="436"/>
      <c r="P768" s="436"/>
      <c r="Q768" s="436"/>
      <c r="R768" s="436"/>
      <c r="S768" s="436"/>
      <c r="T768" s="436"/>
      <c r="U768" s="436"/>
      <c r="V768" s="436"/>
    </row>
    <row r="769" spans="1:22" ht="26.25" customHeight="1" x14ac:dyDescent="0.2">
      <c r="A769" s="436"/>
      <c r="B769" s="436"/>
      <c r="C769" s="436"/>
      <c r="D769" s="436"/>
      <c r="E769" s="436"/>
      <c r="F769" s="436"/>
      <c r="G769" s="436"/>
      <c r="H769" s="436"/>
      <c r="I769" s="436"/>
      <c r="J769" s="436"/>
      <c r="K769" s="436"/>
      <c r="L769" s="436"/>
      <c r="M769" s="436"/>
      <c r="N769" s="436"/>
      <c r="O769" s="436"/>
      <c r="P769" s="436"/>
      <c r="Q769" s="436"/>
      <c r="R769" s="436"/>
      <c r="S769" s="436"/>
      <c r="T769" s="436"/>
      <c r="U769" s="436"/>
      <c r="V769" s="436"/>
    </row>
    <row r="770" spans="1:22" ht="26.25" customHeight="1" x14ac:dyDescent="0.2">
      <c r="A770" s="436"/>
      <c r="B770" s="436"/>
      <c r="C770" s="436"/>
      <c r="D770" s="436"/>
      <c r="E770" s="436"/>
      <c r="F770" s="436"/>
      <c r="G770" s="436"/>
      <c r="H770" s="436"/>
      <c r="I770" s="436"/>
      <c r="J770" s="436"/>
      <c r="K770" s="436"/>
      <c r="L770" s="436"/>
      <c r="M770" s="436"/>
      <c r="N770" s="436"/>
      <c r="O770" s="436"/>
      <c r="P770" s="436"/>
      <c r="Q770" s="436"/>
      <c r="R770" s="436"/>
      <c r="S770" s="436"/>
      <c r="T770" s="436"/>
      <c r="U770" s="436"/>
      <c r="V770" s="436"/>
    </row>
    <row r="771" spans="1:22" ht="26.25" customHeight="1" x14ac:dyDescent="0.2">
      <c r="A771" s="436"/>
      <c r="B771" s="436"/>
      <c r="C771" s="436"/>
      <c r="D771" s="436"/>
      <c r="E771" s="436"/>
      <c r="F771" s="436"/>
      <c r="G771" s="436"/>
      <c r="H771" s="436"/>
      <c r="I771" s="436"/>
      <c r="J771" s="436"/>
      <c r="K771" s="436"/>
      <c r="L771" s="436"/>
      <c r="M771" s="436"/>
      <c r="N771" s="436"/>
      <c r="O771" s="436"/>
      <c r="P771" s="436"/>
      <c r="Q771" s="436"/>
      <c r="R771" s="436"/>
      <c r="S771" s="436"/>
      <c r="T771" s="436"/>
      <c r="U771" s="436"/>
      <c r="V771" s="436"/>
    </row>
    <row r="772" spans="1:22" ht="26.25" customHeight="1" x14ac:dyDescent="0.2">
      <c r="A772" s="436"/>
      <c r="B772" s="436"/>
      <c r="C772" s="436"/>
      <c r="D772" s="436"/>
      <c r="E772" s="436"/>
      <c r="F772" s="436"/>
      <c r="G772" s="436"/>
      <c r="H772" s="436"/>
      <c r="I772" s="436"/>
      <c r="J772" s="436"/>
      <c r="K772" s="436"/>
      <c r="L772" s="436"/>
      <c r="M772" s="436"/>
      <c r="N772" s="436"/>
      <c r="O772" s="436"/>
      <c r="P772" s="436"/>
      <c r="Q772" s="436"/>
      <c r="R772" s="436"/>
      <c r="S772" s="436"/>
      <c r="T772" s="436"/>
      <c r="U772" s="436"/>
      <c r="V772" s="436"/>
    </row>
    <row r="773" spans="1:22" ht="26.25" customHeight="1" x14ac:dyDescent="0.2">
      <c r="A773" s="436"/>
      <c r="B773" s="436"/>
      <c r="C773" s="436"/>
      <c r="D773" s="436"/>
      <c r="E773" s="436"/>
      <c r="F773" s="436"/>
      <c r="G773" s="436"/>
      <c r="H773" s="436"/>
      <c r="I773" s="436"/>
      <c r="J773" s="436"/>
      <c r="K773" s="436"/>
      <c r="L773" s="436"/>
      <c r="M773" s="436"/>
      <c r="N773" s="436"/>
      <c r="O773" s="436"/>
      <c r="P773" s="436"/>
      <c r="Q773" s="436"/>
      <c r="R773" s="436"/>
      <c r="S773" s="436"/>
      <c r="T773" s="436"/>
      <c r="U773" s="436"/>
      <c r="V773" s="436"/>
    </row>
    <row r="774" spans="1:22" ht="26.25" customHeight="1" x14ac:dyDescent="0.2">
      <c r="A774" s="436"/>
      <c r="B774" s="436"/>
      <c r="C774" s="436"/>
      <c r="D774" s="436"/>
      <c r="E774" s="436"/>
      <c r="F774" s="436"/>
      <c r="G774" s="436"/>
      <c r="H774" s="436"/>
      <c r="I774" s="436"/>
      <c r="J774" s="436"/>
      <c r="K774" s="436"/>
      <c r="L774" s="436"/>
      <c r="M774" s="436"/>
      <c r="N774" s="436"/>
      <c r="O774" s="436"/>
      <c r="P774" s="436"/>
      <c r="Q774" s="436"/>
      <c r="R774" s="436"/>
      <c r="S774" s="436"/>
      <c r="T774" s="436"/>
      <c r="U774" s="436"/>
      <c r="V774" s="436"/>
    </row>
    <row r="775" spans="1:22" ht="26.25" customHeight="1" x14ac:dyDescent="0.2">
      <c r="A775" s="436"/>
      <c r="B775" s="436"/>
      <c r="C775" s="436"/>
      <c r="D775" s="436"/>
      <c r="E775" s="436"/>
      <c r="F775" s="436"/>
      <c r="G775" s="436"/>
      <c r="H775" s="436"/>
      <c r="I775" s="436"/>
      <c r="J775" s="436"/>
      <c r="K775" s="436"/>
      <c r="L775" s="436"/>
      <c r="M775" s="436"/>
      <c r="N775" s="436"/>
      <c r="O775" s="436"/>
      <c r="P775" s="436"/>
      <c r="Q775" s="436"/>
      <c r="R775" s="436"/>
      <c r="S775" s="436"/>
      <c r="T775" s="436"/>
      <c r="U775" s="436"/>
      <c r="V775" s="436"/>
    </row>
    <row r="776" spans="1:22" ht="26.25" customHeight="1" x14ac:dyDescent="0.2">
      <c r="A776" s="436"/>
      <c r="B776" s="436"/>
      <c r="C776" s="436"/>
      <c r="D776" s="436"/>
      <c r="E776" s="436"/>
      <c r="F776" s="436"/>
      <c r="G776" s="436"/>
      <c r="H776" s="436"/>
      <c r="I776" s="436"/>
      <c r="J776" s="436"/>
      <c r="K776" s="436"/>
      <c r="L776" s="436"/>
      <c r="M776" s="436"/>
      <c r="N776" s="436"/>
      <c r="O776" s="436"/>
      <c r="P776" s="436"/>
      <c r="Q776" s="436"/>
      <c r="R776" s="436"/>
      <c r="S776" s="436"/>
      <c r="T776" s="436"/>
      <c r="U776" s="436"/>
      <c r="V776" s="436"/>
    </row>
    <row r="777" spans="1:22" ht="26.25" customHeight="1" x14ac:dyDescent="0.2">
      <c r="A777" s="436"/>
      <c r="B777" s="436"/>
      <c r="C777" s="436"/>
      <c r="D777" s="436"/>
      <c r="E777" s="436"/>
      <c r="F777" s="436"/>
      <c r="G777" s="436"/>
      <c r="H777" s="436"/>
      <c r="I777" s="436"/>
      <c r="J777" s="436"/>
      <c r="K777" s="436"/>
      <c r="L777" s="436"/>
      <c r="M777" s="436"/>
      <c r="N777" s="436"/>
      <c r="O777" s="436"/>
      <c r="P777" s="436"/>
      <c r="Q777" s="436"/>
      <c r="R777" s="436"/>
      <c r="S777" s="436"/>
      <c r="T777" s="436"/>
      <c r="U777" s="436"/>
      <c r="V777" s="436"/>
    </row>
    <row r="778" spans="1:22" ht="26.25" customHeight="1" x14ac:dyDescent="0.2">
      <c r="A778" s="436"/>
      <c r="B778" s="436"/>
      <c r="C778" s="436"/>
      <c r="D778" s="436"/>
      <c r="E778" s="436"/>
      <c r="F778" s="436"/>
      <c r="G778" s="436"/>
      <c r="H778" s="436"/>
      <c r="I778" s="436"/>
      <c r="J778" s="436"/>
      <c r="K778" s="436"/>
      <c r="L778" s="436"/>
      <c r="M778" s="436"/>
      <c r="N778" s="436"/>
      <c r="O778" s="436"/>
      <c r="P778" s="436"/>
      <c r="Q778" s="436"/>
      <c r="R778" s="436"/>
      <c r="S778" s="436"/>
      <c r="T778" s="436"/>
      <c r="U778" s="436"/>
      <c r="V778" s="436"/>
    </row>
    <row r="779" spans="1:22" ht="26.25" customHeight="1" x14ac:dyDescent="0.2">
      <c r="A779" s="436"/>
      <c r="B779" s="436"/>
      <c r="C779" s="436"/>
      <c r="D779" s="436"/>
      <c r="E779" s="436"/>
      <c r="F779" s="436"/>
      <c r="G779" s="436"/>
      <c r="H779" s="436"/>
      <c r="I779" s="436"/>
      <c r="J779" s="436"/>
      <c r="K779" s="436"/>
      <c r="L779" s="436"/>
      <c r="M779" s="436"/>
      <c r="N779" s="436"/>
      <c r="O779" s="436"/>
      <c r="P779" s="436"/>
      <c r="Q779" s="436"/>
      <c r="R779" s="436"/>
      <c r="S779" s="436"/>
      <c r="T779" s="436"/>
      <c r="U779" s="436"/>
      <c r="V779" s="436"/>
    </row>
    <row r="780" spans="1:22" ht="26.25" customHeight="1" x14ac:dyDescent="0.2">
      <c r="A780" s="436"/>
      <c r="B780" s="436"/>
      <c r="C780" s="436"/>
      <c r="D780" s="436"/>
      <c r="E780" s="436"/>
      <c r="F780" s="436"/>
      <c r="G780" s="436"/>
      <c r="H780" s="436"/>
      <c r="I780" s="436"/>
      <c r="J780" s="436"/>
      <c r="K780" s="436"/>
      <c r="L780" s="436"/>
      <c r="M780" s="436"/>
      <c r="N780" s="436"/>
      <c r="O780" s="436"/>
      <c r="P780" s="436"/>
      <c r="Q780" s="436"/>
      <c r="R780" s="436"/>
      <c r="S780" s="436"/>
      <c r="T780" s="436"/>
      <c r="U780" s="436"/>
      <c r="V780" s="436"/>
    </row>
    <row r="781" spans="1:22" ht="26.25" customHeight="1" x14ac:dyDescent="0.2">
      <c r="A781" s="436"/>
      <c r="B781" s="436"/>
      <c r="C781" s="436"/>
      <c r="D781" s="436"/>
      <c r="E781" s="436"/>
      <c r="F781" s="436"/>
      <c r="G781" s="436"/>
      <c r="H781" s="436"/>
      <c r="I781" s="436"/>
      <c r="J781" s="436"/>
      <c r="K781" s="436"/>
      <c r="L781" s="436"/>
      <c r="M781" s="436"/>
      <c r="N781" s="436"/>
      <c r="O781" s="436"/>
      <c r="P781" s="436"/>
      <c r="Q781" s="436"/>
      <c r="R781" s="436"/>
      <c r="S781" s="436"/>
      <c r="T781" s="436"/>
      <c r="U781" s="436"/>
      <c r="V781" s="436"/>
    </row>
    <row r="782" spans="1:22" ht="26.25" customHeight="1" x14ac:dyDescent="0.2">
      <c r="A782" s="436"/>
      <c r="B782" s="436"/>
      <c r="C782" s="436"/>
      <c r="D782" s="436"/>
      <c r="E782" s="436"/>
      <c r="F782" s="436"/>
      <c r="G782" s="436"/>
      <c r="H782" s="436"/>
      <c r="I782" s="436"/>
      <c r="J782" s="436"/>
      <c r="K782" s="436"/>
      <c r="L782" s="436"/>
      <c r="M782" s="436"/>
      <c r="N782" s="436"/>
      <c r="O782" s="436"/>
      <c r="P782" s="436"/>
      <c r="Q782" s="436"/>
      <c r="R782" s="436"/>
      <c r="S782" s="436"/>
      <c r="T782" s="436"/>
      <c r="U782" s="436"/>
      <c r="V782" s="436"/>
    </row>
    <row r="783" spans="1:22" ht="26.25" customHeight="1" x14ac:dyDescent="0.2">
      <c r="A783" s="436"/>
      <c r="B783" s="436"/>
      <c r="C783" s="436"/>
      <c r="D783" s="436"/>
      <c r="E783" s="436"/>
      <c r="F783" s="436"/>
      <c r="G783" s="436"/>
      <c r="H783" s="436"/>
      <c r="I783" s="436"/>
      <c r="J783" s="436"/>
      <c r="K783" s="436"/>
      <c r="L783" s="436"/>
      <c r="M783" s="436"/>
      <c r="N783" s="436"/>
      <c r="O783" s="436"/>
      <c r="P783" s="436"/>
      <c r="Q783" s="436"/>
      <c r="R783" s="436"/>
      <c r="S783" s="436"/>
      <c r="T783" s="436"/>
      <c r="U783" s="436"/>
      <c r="V783" s="436"/>
    </row>
    <row r="784" spans="1:22" ht="26.25" customHeight="1" x14ac:dyDescent="0.2">
      <c r="A784" s="436"/>
      <c r="B784" s="436"/>
      <c r="C784" s="436"/>
      <c r="D784" s="436"/>
      <c r="E784" s="436"/>
      <c r="F784" s="436"/>
      <c r="G784" s="436"/>
      <c r="H784" s="436"/>
      <c r="I784" s="436"/>
      <c r="J784" s="436"/>
      <c r="K784" s="436"/>
      <c r="L784" s="436"/>
      <c r="M784" s="436"/>
      <c r="N784" s="436"/>
      <c r="O784" s="436"/>
      <c r="P784" s="436"/>
      <c r="Q784" s="436"/>
      <c r="R784" s="436"/>
      <c r="S784" s="436"/>
      <c r="T784" s="436"/>
      <c r="U784" s="436"/>
      <c r="V784" s="436"/>
    </row>
    <row r="785" spans="1:22" ht="26.25" customHeight="1" x14ac:dyDescent="0.2">
      <c r="A785" s="436"/>
      <c r="B785" s="436"/>
      <c r="C785" s="436"/>
      <c r="D785" s="436"/>
      <c r="E785" s="436"/>
      <c r="F785" s="436"/>
      <c r="G785" s="436"/>
      <c r="H785" s="436"/>
      <c r="I785" s="436"/>
      <c r="J785" s="436"/>
      <c r="K785" s="436"/>
      <c r="L785" s="436"/>
      <c r="M785" s="436"/>
      <c r="N785" s="436"/>
      <c r="O785" s="436"/>
      <c r="P785" s="436"/>
      <c r="Q785" s="436"/>
      <c r="R785" s="436"/>
      <c r="S785" s="436"/>
      <c r="T785" s="436"/>
      <c r="U785" s="436"/>
      <c r="V785" s="436"/>
    </row>
    <row r="786" spans="1:22" ht="26.25" customHeight="1" x14ac:dyDescent="0.2">
      <c r="A786" s="436"/>
      <c r="B786" s="436"/>
      <c r="C786" s="436"/>
      <c r="D786" s="436"/>
      <c r="E786" s="436"/>
      <c r="F786" s="436"/>
      <c r="G786" s="436"/>
      <c r="H786" s="436"/>
      <c r="I786" s="436"/>
      <c r="J786" s="436"/>
      <c r="K786" s="436"/>
      <c r="L786" s="436"/>
      <c r="M786" s="436"/>
      <c r="N786" s="436"/>
      <c r="O786" s="436"/>
      <c r="P786" s="436"/>
      <c r="Q786" s="436"/>
      <c r="R786" s="436"/>
      <c r="S786" s="436"/>
      <c r="T786" s="436"/>
      <c r="U786" s="436"/>
      <c r="V786" s="436"/>
    </row>
    <row r="787" spans="1:22" ht="26.25" customHeight="1" x14ac:dyDescent="0.2">
      <c r="A787" s="436"/>
      <c r="B787" s="436"/>
      <c r="C787" s="436"/>
      <c r="D787" s="436"/>
      <c r="E787" s="436"/>
      <c r="F787" s="436"/>
      <c r="G787" s="436"/>
      <c r="H787" s="436"/>
      <c r="I787" s="436"/>
      <c r="J787" s="436"/>
      <c r="K787" s="436"/>
      <c r="L787" s="436"/>
      <c r="M787" s="436"/>
      <c r="N787" s="436"/>
      <c r="O787" s="436"/>
      <c r="P787" s="436"/>
      <c r="Q787" s="436"/>
      <c r="R787" s="436"/>
      <c r="S787" s="436"/>
      <c r="T787" s="436"/>
      <c r="U787" s="436"/>
      <c r="V787" s="436"/>
    </row>
    <row r="788" spans="1:22" ht="26.25" customHeight="1" x14ac:dyDescent="0.2">
      <c r="A788" s="436"/>
      <c r="B788" s="436"/>
      <c r="C788" s="436"/>
      <c r="D788" s="436"/>
      <c r="E788" s="436"/>
      <c r="F788" s="436"/>
      <c r="G788" s="436"/>
      <c r="H788" s="436"/>
      <c r="I788" s="436"/>
      <c r="J788" s="436"/>
      <c r="K788" s="436"/>
      <c r="L788" s="436"/>
      <c r="M788" s="436"/>
      <c r="N788" s="436"/>
      <c r="O788" s="436"/>
      <c r="P788" s="436"/>
      <c r="Q788" s="436"/>
      <c r="R788" s="436"/>
      <c r="S788" s="436"/>
      <c r="T788" s="436"/>
      <c r="U788" s="436"/>
      <c r="V788" s="436"/>
    </row>
    <row r="789" spans="1:22" ht="26.25" customHeight="1" x14ac:dyDescent="0.2">
      <c r="A789" s="436"/>
      <c r="B789" s="436"/>
      <c r="C789" s="436"/>
      <c r="D789" s="436"/>
      <c r="E789" s="436"/>
      <c r="F789" s="436"/>
      <c r="G789" s="436"/>
      <c r="H789" s="436"/>
      <c r="I789" s="436"/>
      <c r="J789" s="436"/>
      <c r="K789" s="436"/>
      <c r="L789" s="436"/>
      <c r="M789" s="436"/>
      <c r="N789" s="436"/>
      <c r="O789" s="436"/>
      <c r="P789" s="436"/>
      <c r="Q789" s="436"/>
      <c r="R789" s="436"/>
      <c r="S789" s="436"/>
      <c r="T789" s="436"/>
      <c r="U789" s="436"/>
      <c r="V789" s="436"/>
    </row>
    <row r="790" spans="1:22" ht="26.25" customHeight="1" x14ac:dyDescent="0.2">
      <c r="A790" s="436"/>
      <c r="B790" s="436"/>
      <c r="C790" s="436"/>
      <c r="D790" s="436"/>
      <c r="E790" s="436"/>
      <c r="F790" s="436"/>
      <c r="G790" s="436"/>
      <c r="H790" s="436"/>
      <c r="I790" s="436"/>
      <c r="J790" s="436"/>
      <c r="K790" s="436"/>
      <c r="L790" s="436"/>
      <c r="M790" s="436"/>
      <c r="N790" s="436"/>
      <c r="O790" s="436"/>
      <c r="P790" s="436"/>
      <c r="Q790" s="436"/>
      <c r="R790" s="436"/>
      <c r="S790" s="436"/>
      <c r="T790" s="436"/>
      <c r="U790" s="436"/>
      <c r="V790" s="436"/>
    </row>
    <row r="791" spans="1:22" ht="26.25" customHeight="1" x14ac:dyDescent="0.2">
      <c r="A791" s="436"/>
      <c r="B791" s="436"/>
      <c r="C791" s="436"/>
      <c r="D791" s="436"/>
      <c r="E791" s="436"/>
      <c r="F791" s="436"/>
      <c r="G791" s="436"/>
      <c r="H791" s="436"/>
      <c r="I791" s="436"/>
      <c r="J791" s="436"/>
      <c r="K791" s="436"/>
      <c r="L791" s="436"/>
      <c r="M791" s="436"/>
      <c r="N791" s="436"/>
      <c r="O791" s="436"/>
      <c r="P791" s="436"/>
      <c r="Q791" s="436"/>
      <c r="R791" s="436"/>
      <c r="S791" s="436"/>
      <c r="T791" s="436"/>
      <c r="U791" s="436"/>
      <c r="V791" s="436"/>
    </row>
    <row r="792" spans="1:22" ht="26.25" customHeight="1" x14ac:dyDescent="0.2">
      <c r="A792" s="436"/>
      <c r="B792" s="436"/>
      <c r="C792" s="436"/>
      <c r="D792" s="436"/>
      <c r="E792" s="436"/>
      <c r="F792" s="436"/>
      <c r="G792" s="436"/>
      <c r="H792" s="436"/>
      <c r="I792" s="436"/>
      <c r="J792" s="436"/>
      <c r="K792" s="436"/>
      <c r="L792" s="436"/>
      <c r="M792" s="436"/>
      <c r="N792" s="436"/>
      <c r="O792" s="436"/>
      <c r="P792" s="436"/>
      <c r="Q792" s="436"/>
      <c r="R792" s="436"/>
      <c r="S792" s="436"/>
      <c r="T792" s="436"/>
      <c r="U792" s="436"/>
      <c r="V792" s="436"/>
    </row>
    <row r="793" spans="1:22" ht="26.25" customHeight="1" x14ac:dyDescent="0.2">
      <c r="A793" s="436"/>
      <c r="B793" s="436"/>
      <c r="C793" s="436"/>
      <c r="D793" s="436"/>
      <c r="E793" s="436"/>
      <c r="F793" s="436"/>
      <c r="G793" s="436"/>
      <c r="H793" s="436"/>
      <c r="I793" s="436"/>
      <c r="J793" s="436"/>
      <c r="K793" s="436"/>
      <c r="L793" s="436"/>
      <c r="M793" s="436"/>
      <c r="N793" s="436"/>
      <c r="O793" s="436"/>
      <c r="P793" s="436"/>
      <c r="Q793" s="436"/>
      <c r="R793" s="436"/>
      <c r="S793" s="436"/>
      <c r="T793" s="436"/>
      <c r="U793" s="436"/>
      <c r="V793" s="436"/>
    </row>
    <row r="794" spans="1:22" ht="26.25" customHeight="1" x14ac:dyDescent="0.2">
      <c r="A794" s="436"/>
      <c r="B794" s="436"/>
      <c r="C794" s="436"/>
      <c r="D794" s="436"/>
      <c r="E794" s="436"/>
      <c r="F794" s="436"/>
      <c r="G794" s="436"/>
      <c r="H794" s="436"/>
      <c r="I794" s="436"/>
      <c r="J794" s="436"/>
      <c r="K794" s="436"/>
      <c r="L794" s="436"/>
      <c r="M794" s="436"/>
      <c r="N794" s="436"/>
      <c r="O794" s="436"/>
      <c r="P794" s="436"/>
      <c r="Q794" s="436"/>
      <c r="R794" s="436"/>
      <c r="S794" s="436"/>
      <c r="T794" s="436"/>
      <c r="U794" s="436"/>
      <c r="V794" s="436"/>
    </row>
    <row r="795" spans="1:22" ht="26.25" customHeight="1" x14ac:dyDescent="0.2">
      <c r="A795" s="436"/>
      <c r="B795" s="436"/>
      <c r="C795" s="436"/>
      <c r="D795" s="436"/>
      <c r="E795" s="436"/>
      <c r="F795" s="436"/>
      <c r="G795" s="436"/>
      <c r="H795" s="436"/>
      <c r="I795" s="436"/>
      <c r="J795" s="436"/>
      <c r="K795" s="436"/>
      <c r="L795" s="436"/>
      <c r="M795" s="436"/>
      <c r="N795" s="436"/>
      <c r="O795" s="436"/>
      <c r="P795" s="436"/>
      <c r="Q795" s="436"/>
      <c r="R795" s="436"/>
      <c r="S795" s="436"/>
      <c r="T795" s="436"/>
      <c r="U795" s="436"/>
      <c r="V795" s="436"/>
    </row>
    <row r="796" spans="1:22" ht="26.25" customHeight="1" x14ac:dyDescent="0.2">
      <c r="A796" s="436"/>
      <c r="B796" s="436"/>
      <c r="C796" s="436"/>
      <c r="D796" s="436"/>
      <c r="E796" s="436"/>
      <c r="F796" s="436"/>
      <c r="G796" s="436"/>
      <c r="H796" s="436"/>
      <c r="I796" s="436"/>
      <c r="J796" s="436"/>
      <c r="K796" s="436"/>
      <c r="L796" s="436"/>
      <c r="M796" s="436"/>
      <c r="N796" s="436"/>
      <c r="O796" s="436"/>
      <c r="P796" s="436"/>
      <c r="Q796" s="436"/>
      <c r="R796" s="436"/>
      <c r="S796" s="436"/>
      <c r="T796" s="436"/>
      <c r="U796" s="436"/>
      <c r="V796" s="436"/>
    </row>
    <row r="797" spans="1:22" ht="26.25" customHeight="1" x14ac:dyDescent="0.2">
      <c r="A797" s="436"/>
      <c r="B797" s="436"/>
      <c r="C797" s="436"/>
      <c r="D797" s="436"/>
      <c r="E797" s="436"/>
      <c r="F797" s="436"/>
      <c r="G797" s="436"/>
      <c r="H797" s="436"/>
      <c r="I797" s="436"/>
      <c r="J797" s="436"/>
      <c r="K797" s="436"/>
      <c r="L797" s="436"/>
      <c r="M797" s="436"/>
      <c r="N797" s="436"/>
      <c r="O797" s="436"/>
      <c r="P797" s="436"/>
      <c r="Q797" s="436"/>
      <c r="R797" s="436"/>
      <c r="S797" s="436"/>
      <c r="T797" s="436"/>
      <c r="U797" s="436"/>
      <c r="V797" s="436"/>
    </row>
    <row r="798" spans="1:22" ht="26.25" customHeight="1" x14ac:dyDescent="0.2">
      <c r="A798" s="436"/>
      <c r="B798" s="436"/>
      <c r="C798" s="436"/>
      <c r="D798" s="436"/>
      <c r="E798" s="436"/>
      <c r="F798" s="436"/>
      <c r="G798" s="436"/>
      <c r="H798" s="436"/>
      <c r="I798" s="436"/>
      <c r="J798" s="436"/>
      <c r="K798" s="436"/>
      <c r="L798" s="436"/>
      <c r="M798" s="436"/>
      <c r="N798" s="436"/>
      <c r="O798" s="436"/>
      <c r="P798" s="436"/>
      <c r="Q798" s="436"/>
      <c r="R798" s="436"/>
      <c r="S798" s="436"/>
      <c r="T798" s="436"/>
      <c r="U798" s="436"/>
      <c r="V798" s="436"/>
    </row>
    <row r="799" spans="1:22" ht="26.25" customHeight="1" x14ac:dyDescent="0.2">
      <c r="A799" s="436"/>
      <c r="B799" s="436"/>
      <c r="C799" s="436"/>
      <c r="D799" s="436"/>
      <c r="E799" s="436"/>
      <c r="F799" s="436"/>
      <c r="G799" s="436"/>
      <c r="H799" s="436"/>
      <c r="I799" s="436"/>
      <c r="J799" s="436"/>
      <c r="K799" s="436"/>
      <c r="L799" s="436"/>
      <c r="M799" s="436"/>
      <c r="N799" s="436"/>
      <c r="O799" s="436"/>
      <c r="P799" s="436"/>
      <c r="Q799" s="436"/>
      <c r="R799" s="436"/>
      <c r="S799" s="436"/>
      <c r="T799" s="436"/>
      <c r="U799" s="436"/>
      <c r="V799" s="436"/>
    </row>
    <row r="800" spans="1:22" ht="26.25" customHeight="1" x14ac:dyDescent="0.2">
      <c r="A800" s="436"/>
      <c r="B800" s="436"/>
      <c r="C800" s="436"/>
      <c r="D800" s="436"/>
      <c r="E800" s="436"/>
      <c r="F800" s="436"/>
      <c r="G800" s="436"/>
      <c r="H800" s="436"/>
      <c r="I800" s="436"/>
      <c r="J800" s="436"/>
      <c r="K800" s="436"/>
      <c r="L800" s="436"/>
      <c r="M800" s="436"/>
      <c r="N800" s="436"/>
      <c r="O800" s="436"/>
      <c r="P800" s="436"/>
      <c r="Q800" s="436"/>
      <c r="R800" s="436"/>
      <c r="S800" s="436"/>
      <c r="T800" s="436"/>
      <c r="U800" s="436"/>
      <c r="V800" s="436"/>
    </row>
    <row r="801" spans="1:22" ht="26.25" customHeight="1" x14ac:dyDescent="0.2">
      <c r="A801" s="436"/>
      <c r="B801" s="436"/>
      <c r="C801" s="436"/>
      <c r="D801" s="436"/>
      <c r="E801" s="436"/>
      <c r="F801" s="436"/>
      <c r="G801" s="436"/>
      <c r="H801" s="436"/>
      <c r="I801" s="436"/>
      <c r="J801" s="436"/>
      <c r="K801" s="436"/>
      <c r="L801" s="436"/>
      <c r="M801" s="436"/>
      <c r="N801" s="436"/>
      <c r="O801" s="436"/>
      <c r="P801" s="436"/>
      <c r="Q801" s="436"/>
      <c r="R801" s="436"/>
      <c r="S801" s="436"/>
      <c r="T801" s="436"/>
      <c r="U801" s="436"/>
      <c r="V801" s="436"/>
    </row>
    <row r="802" spans="1:22" ht="26.25" customHeight="1" x14ac:dyDescent="0.2">
      <c r="A802" s="436"/>
      <c r="B802" s="436"/>
      <c r="C802" s="436"/>
      <c r="D802" s="436"/>
      <c r="E802" s="436"/>
      <c r="F802" s="436"/>
      <c r="G802" s="436"/>
      <c r="H802" s="436"/>
      <c r="I802" s="436"/>
      <c r="J802" s="436"/>
      <c r="K802" s="436"/>
      <c r="L802" s="436"/>
      <c r="M802" s="436"/>
      <c r="N802" s="436"/>
      <c r="O802" s="436"/>
      <c r="P802" s="436"/>
      <c r="Q802" s="436"/>
      <c r="R802" s="436"/>
      <c r="S802" s="436"/>
      <c r="T802" s="436"/>
      <c r="U802" s="436"/>
      <c r="V802" s="436"/>
    </row>
    <row r="803" spans="1:22" ht="26.25" customHeight="1" x14ac:dyDescent="0.2">
      <c r="A803" s="436"/>
      <c r="B803" s="436"/>
      <c r="C803" s="436"/>
      <c r="D803" s="436"/>
      <c r="E803" s="436"/>
      <c r="F803" s="436"/>
      <c r="G803" s="436"/>
      <c r="H803" s="436"/>
      <c r="I803" s="436"/>
      <c r="J803" s="436"/>
      <c r="K803" s="436"/>
      <c r="L803" s="436"/>
      <c r="M803" s="436"/>
      <c r="N803" s="436"/>
      <c r="O803" s="436"/>
      <c r="P803" s="436"/>
      <c r="Q803" s="436"/>
      <c r="R803" s="436"/>
      <c r="S803" s="436"/>
      <c r="T803" s="436"/>
      <c r="U803" s="436"/>
      <c r="V803" s="436"/>
    </row>
    <row r="804" spans="1:22" ht="26.25" customHeight="1" x14ac:dyDescent="0.2">
      <c r="A804" s="436"/>
      <c r="B804" s="436"/>
      <c r="C804" s="436"/>
      <c r="D804" s="436"/>
      <c r="E804" s="436"/>
      <c r="F804" s="436"/>
      <c r="G804" s="436"/>
      <c r="H804" s="436"/>
      <c r="I804" s="436"/>
      <c r="J804" s="436"/>
      <c r="K804" s="436"/>
      <c r="L804" s="436"/>
      <c r="M804" s="436"/>
      <c r="N804" s="436"/>
      <c r="O804" s="436"/>
      <c r="P804" s="436"/>
      <c r="Q804" s="436"/>
      <c r="R804" s="436"/>
      <c r="S804" s="436"/>
      <c r="T804" s="436"/>
      <c r="U804" s="436"/>
      <c r="V804" s="436"/>
    </row>
    <row r="805" spans="1:22" ht="26.25" customHeight="1" x14ac:dyDescent="0.2">
      <c r="A805" s="436"/>
      <c r="B805" s="436"/>
      <c r="C805" s="436"/>
      <c r="D805" s="436"/>
      <c r="E805" s="436"/>
      <c r="F805" s="436"/>
      <c r="G805" s="436"/>
      <c r="H805" s="436"/>
      <c r="I805" s="436"/>
      <c r="J805" s="436"/>
      <c r="K805" s="436"/>
      <c r="L805" s="436"/>
      <c r="M805" s="436"/>
      <c r="N805" s="436"/>
      <c r="O805" s="436"/>
      <c r="P805" s="436"/>
      <c r="Q805" s="436"/>
      <c r="R805" s="436"/>
      <c r="S805" s="436"/>
      <c r="T805" s="436"/>
      <c r="U805" s="436"/>
      <c r="V805" s="436"/>
    </row>
    <row r="806" spans="1:22" ht="26.25" customHeight="1" x14ac:dyDescent="0.2">
      <c r="A806" s="436"/>
      <c r="B806" s="436"/>
      <c r="C806" s="436"/>
      <c r="D806" s="436"/>
      <c r="E806" s="436"/>
      <c r="F806" s="436"/>
      <c r="G806" s="436"/>
      <c r="H806" s="436"/>
      <c r="I806" s="436"/>
      <c r="J806" s="436"/>
      <c r="K806" s="436"/>
      <c r="L806" s="436"/>
      <c r="M806" s="436"/>
      <c r="N806" s="436"/>
      <c r="O806" s="436"/>
      <c r="P806" s="436"/>
      <c r="Q806" s="436"/>
      <c r="R806" s="436"/>
      <c r="S806" s="436"/>
      <c r="T806" s="436"/>
      <c r="U806" s="436"/>
      <c r="V806" s="436"/>
    </row>
    <row r="807" spans="1:22" ht="26.25" customHeight="1" x14ac:dyDescent="0.2">
      <c r="A807" s="436"/>
      <c r="B807" s="436"/>
      <c r="C807" s="436"/>
      <c r="D807" s="436"/>
      <c r="E807" s="436"/>
      <c r="F807" s="436"/>
      <c r="G807" s="436"/>
      <c r="H807" s="436"/>
      <c r="I807" s="436"/>
      <c r="J807" s="436"/>
      <c r="K807" s="436"/>
      <c r="L807" s="436"/>
      <c r="M807" s="436"/>
      <c r="N807" s="436"/>
      <c r="O807" s="436"/>
      <c r="P807" s="436"/>
      <c r="Q807" s="436"/>
      <c r="R807" s="436"/>
      <c r="S807" s="436"/>
      <c r="T807" s="436"/>
      <c r="U807" s="436"/>
      <c r="V807" s="436"/>
    </row>
    <row r="808" spans="1:22" ht="26.25" customHeight="1" x14ac:dyDescent="0.2">
      <c r="A808" s="436"/>
      <c r="B808" s="436"/>
      <c r="C808" s="436"/>
      <c r="D808" s="436"/>
      <c r="E808" s="436"/>
      <c r="F808" s="436"/>
      <c r="G808" s="436"/>
      <c r="H808" s="436"/>
      <c r="I808" s="436"/>
      <c r="J808" s="436"/>
      <c r="K808" s="436"/>
      <c r="L808" s="436"/>
      <c r="M808" s="436"/>
      <c r="N808" s="436"/>
      <c r="O808" s="436"/>
      <c r="P808" s="436"/>
      <c r="Q808" s="436"/>
      <c r="R808" s="436"/>
      <c r="S808" s="436"/>
      <c r="T808" s="436"/>
      <c r="U808" s="436"/>
      <c r="V808" s="436"/>
    </row>
    <row r="809" spans="1:22" ht="26.25" customHeight="1" x14ac:dyDescent="0.2">
      <c r="A809" s="436"/>
      <c r="B809" s="436"/>
      <c r="C809" s="436"/>
      <c r="D809" s="436"/>
      <c r="E809" s="436"/>
      <c r="F809" s="436"/>
      <c r="G809" s="436"/>
      <c r="H809" s="436"/>
      <c r="I809" s="436"/>
      <c r="J809" s="436"/>
      <c r="K809" s="436"/>
      <c r="L809" s="436"/>
      <c r="M809" s="436"/>
      <c r="N809" s="436"/>
      <c r="O809" s="436"/>
      <c r="P809" s="436"/>
      <c r="Q809" s="436"/>
      <c r="R809" s="436"/>
      <c r="S809" s="436"/>
      <c r="T809" s="436"/>
      <c r="U809" s="436"/>
      <c r="V809" s="436"/>
    </row>
    <row r="810" spans="1:22" ht="26.25" customHeight="1" x14ac:dyDescent="0.2">
      <c r="A810" s="436"/>
      <c r="B810" s="436"/>
      <c r="C810" s="436"/>
      <c r="D810" s="436"/>
      <c r="E810" s="436"/>
      <c r="F810" s="436"/>
      <c r="G810" s="436"/>
      <c r="H810" s="436"/>
      <c r="I810" s="436"/>
      <c r="J810" s="436"/>
      <c r="K810" s="436"/>
      <c r="L810" s="436"/>
      <c r="M810" s="436"/>
      <c r="N810" s="436"/>
      <c r="O810" s="436"/>
      <c r="P810" s="436"/>
      <c r="Q810" s="436"/>
      <c r="R810" s="436"/>
      <c r="S810" s="436"/>
      <c r="T810" s="436"/>
      <c r="U810" s="436"/>
      <c r="V810" s="436"/>
    </row>
    <row r="811" spans="1:22" ht="26.25" customHeight="1" x14ac:dyDescent="0.2">
      <c r="A811" s="436"/>
      <c r="B811" s="436"/>
      <c r="C811" s="436"/>
      <c r="D811" s="436"/>
      <c r="E811" s="436"/>
      <c r="F811" s="436"/>
      <c r="G811" s="436"/>
      <c r="H811" s="436"/>
      <c r="I811" s="436"/>
      <c r="J811" s="436"/>
      <c r="K811" s="436"/>
      <c r="L811" s="436"/>
      <c r="M811" s="436"/>
      <c r="N811" s="436"/>
      <c r="O811" s="436"/>
      <c r="P811" s="436"/>
      <c r="Q811" s="436"/>
      <c r="R811" s="436"/>
      <c r="S811" s="436"/>
      <c r="T811" s="436"/>
      <c r="U811" s="436"/>
      <c r="V811" s="436"/>
    </row>
    <row r="812" spans="1:22" ht="26.25" customHeight="1" x14ac:dyDescent="0.2">
      <c r="A812" s="436"/>
      <c r="B812" s="436"/>
      <c r="C812" s="436"/>
      <c r="D812" s="436"/>
      <c r="E812" s="436"/>
      <c r="F812" s="436"/>
      <c r="G812" s="436"/>
      <c r="H812" s="436"/>
      <c r="I812" s="436"/>
      <c r="J812" s="436"/>
      <c r="K812" s="436"/>
      <c r="L812" s="436"/>
      <c r="M812" s="436"/>
      <c r="N812" s="436"/>
      <c r="O812" s="436"/>
      <c r="P812" s="436"/>
      <c r="Q812" s="436"/>
      <c r="R812" s="436"/>
      <c r="S812" s="436"/>
      <c r="T812" s="436"/>
      <c r="U812" s="436"/>
      <c r="V812" s="436"/>
    </row>
    <row r="813" spans="1:22" ht="26.25" customHeight="1" x14ac:dyDescent="0.2">
      <c r="A813" s="436"/>
      <c r="B813" s="436"/>
      <c r="C813" s="436"/>
      <c r="D813" s="436"/>
      <c r="E813" s="436"/>
      <c r="F813" s="436"/>
      <c r="G813" s="436"/>
      <c r="H813" s="436"/>
      <c r="I813" s="436"/>
      <c r="J813" s="436"/>
      <c r="K813" s="436"/>
      <c r="L813" s="436"/>
      <c r="M813" s="436"/>
      <c r="N813" s="436"/>
      <c r="O813" s="436"/>
      <c r="P813" s="436"/>
      <c r="Q813" s="436"/>
      <c r="R813" s="436"/>
      <c r="S813" s="436"/>
      <c r="T813" s="436"/>
      <c r="U813" s="436"/>
      <c r="V813" s="436"/>
    </row>
    <row r="814" spans="1:22" ht="26.25" customHeight="1" x14ac:dyDescent="0.2">
      <c r="A814" s="436"/>
      <c r="B814" s="436"/>
      <c r="C814" s="436"/>
      <c r="D814" s="436"/>
      <c r="E814" s="436"/>
      <c r="F814" s="436"/>
      <c r="G814" s="436"/>
      <c r="H814" s="436"/>
      <c r="I814" s="436"/>
      <c r="J814" s="436"/>
      <c r="K814" s="436"/>
      <c r="L814" s="436"/>
      <c r="M814" s="436"/>
      <c r="N814" s="436"/>
      <c r="O814" s="436"/>
      <c r="P814" s="436"/>
      <c r="Q814" s="436"/>
      <c r="R814" s="436"/>
      <c r="S814" s="436"/>
      <c r="T814" s="436"/>
      <c r="U814" s="436"/>
      <c r="V814" s="436"/>
    </row>
    <row r="815" spans="1:22" ht="26.25" customHeight="1" x14ac:dyDescent="0.2">
      <c r="A815" s="436"/>
      <c r="B815" s="436"/>
      <c r="C815" s="436"/>
      <c r="D815" s="436"/>
      <c r="E815" s="436"/>
      <c r="F815" s="436"/>
      <c r="G815" s="436"/>
      <c r="H815" s="436"/>
      <c r="I815" s="436"/>
      <c r="J815" s="436"/>
      <c r="K815" s="436"/>
      <c r="L815" s="436"/>
      <c r="M815" s="436"/>
      <c r="N815" s="436"/>
      <c r="O815" s="436"/>
      <c r="P815" s="436"/>
      <c r="Q815" s="436"/>
      <c r="R815" s="436"/>
      <c r="S815" s="436"/>
      <c r="T815" s="436"/>
      <c r="U815" s="436"/>
      <c r="V815" s="436"/>
    </row>
    <row r="816" spans="1:22" ht="26.25" customHeight="1" x14ac:dyDescent="0.2">
      <c r="A816" s="436"/>
      <c r="B816" s="436"/>
      <c r="C816" s="436"/>
      <c r="D816" s="436"/>
      <c r="E816" s="436"/>
      <c r="F816" s="436"/>
      <c r="G816" s="436"/>
      <c r="H816" s="436"/>
      <c r="I816" s="436"/>
      <c r="J816" s="436"/>
      <c r="K816" s="436"/>
      <c r="L816" s="436"/>
      <c r="M816" s="436"/>
      <c r="N816" s="436"/>
      <c r="O816" s="436"/>
      <c r="P816" s="436"/>
      <c r="Q816" s="436"/>
      <c r="R816" s="436"/>
      <c r="S816" s="436"/>
      <c r="T816" s="436"/>
      <c r="U816" s="436"/>
      <c r="V816" s="436"/>
    </row>
    <row r="817" spans="1:22" ht="26.25" customHeight="1" x14ac:dyDescent="0.2">
      <c r="A817" s="436"/>
      <c r="B817" s="436"/>
      <c r="C817" s="436"/>
      <c r="D817" s="436"/>
      <c r="E817" s="436"/>
      <c r="F817" s="436"/>
      <c r="G817" s="436"/>
      <c r="H817" s="436"/>
      <c r="I817" s="436"/>
      <c r="J817" s="436"/>
      <c r="K817" s="436"/>
      <c r="L817" s="436"/>
      <c r="M817" s="436"/>
      <c r="N817" s="436"/>
      <c r="O817" s="436"/>
      <c r="P817" s="436"/>
      <c r="Q817" s="436"/>
      <c r="R817" s="436"/>
      <c r="S817" s="436"/>
      <c r="T817" s="436"/>
      <c r="U817" s="436"/>
      <c r="V817" s="436"/>
    </row>
    <row r="818" spans="1:22" ht="26.25" customHeight="1" x14ac:dyDescent="0.2">
      <c r="A818" s="436"/>
      <c r="B818" s="436"/>
      <c r="C818" s="436"/>
      <c r="D818" s="436"/>
      <c r="E818" s="436"/>
      <c r="F818" s="436"/>
      <c r="G818" s="436"/>
      <c r="H818" s="436"/>
      <c r="I818" s="436"/>
      <c r="J818" s="436"/>
      <c r="K818" s="436"/>
      <c r="L818" s="436"/>
      <c r="M818" s="436"/>
      <c r="N818" s="436"/>
      <c r="O818" s="436"/>
      <c r="P818" s="436"/>
      <c r="Q818" s="436"/>
      <c r="R818" s="436"/>
      <c r="S818" s="436"/>
      <c r="T818" s="436"/>
      <c r="U818" s="436"/>
      <c r="V818" s="436"/>
    </row>
    <row r="819" spans="1:22" ht="26.25" customHeight="1" x14ac:dyDescent="0.2">
      <c r="A819" s="436"/>
      <c r="B819" s="436"/>
      <c r="C819" s="436"/>
      <c r="D819" s="436"/>
      <c r="E819" s="436"/>
      <c r="F819" s="436"/>
      <c r="G819" s="436"/>
      <c r="H819" s="436"/>
      <c r="I819" s="436"/>
      <c r="J819" s="436"/>
      <c r="K819" s="436"/>
      <c r="L819" s="436"/>
      <c r="M819" s="436"/>
      <c r="N819" s="436"/>
      <c r="O819" s="436"/>
      <c r="P819" s="436"/>
      <c r="Q819" s="436"/>
      <c r="R819" s="436"/>
      <c r="S819" s="436"/>
      <c r="T819" s="436"/>
      <c r="U819" s="436"/>
      <c r="V819" s="436"/>
    </row>
    <row r="820" spans="1:22" ht="26.25" customHeight="1" x14ac:dyDescent="0.2">
      <c r="A820" s="436"/>
      <c r="B820" s="436"/>
      <c r="C820" s="436"/>
      <c r="D820" s="436"/>
      <c r="E820" s="436"/>
      <c r="F820" s="436"/>
      <c r="G820" s="436"/>
      <c r="H820" s="436"/>
      <c r="I820" s="436"/>
      <c r="J820" s="436"/>
      <c r="K820" s="436"/>
      <c r="L820" s="436"/>
      <c r="M820" s="436"/>
      <c r="N820" s="436"/>
      <c r="O820" s="436"/>
      <c r="P820" s="436"/>
      <c r="Q820" s="436"/>
      <c r="R820" s="436"/>
      <c r="S820" s="436"/>
      <c r="T820" s="436"/>
      <c r="U820" s="436"/>
      <c r="V820" s="436"/>
    </row>
    <row r="821" spans="1:22" ht="26.25" customHeight="1" x14ac:dyDescent="0.2">
      <c r="A821" s="436"/>
      <c r="B821" s="436"/>
      <c r="C821" s="436"/>
      <c r="D821" s="436"/>
      <c r="E821" s="436"/>
      <c r="F821" s="436"/>
      <c r="G821" s="436"/>
      <c r="H821" s="436"/>
      <c r="I821" s="436"/>
      <c r="J821" s="436"/>
      <c r="K821" s="436"/>
      <c r="L821" s="436"/>
      <c r="M821" s="436"/>
      <c r="N821" s="436"/>
      <c r="O821" s="436"/>
      <c r="P821" s="436"/>
      <c r="Q821" s="436"/>
      <c r="R821" s="436"/>
      <c r="S821" s="436"/>
      <c r="T821" s="436"/>
      <c r="U821" s="436"/>
      <c r="V821" s="436"/>
    </row>
    <row r="822" spans="1:22" ht="26.25" customHeight="1" x14ac:dyDescent="0.2">
      <c r="A822" s="436"/>
      <c r="B822" s="436"/>
      <c r="C822" s="436"/>
      <c r="D822" s="436"/>
      <c r="E822" s="436"/>
      <c r="F822" s="436"/>
      <c r="G822" s="436"/>
      <c r="H822" s="436"/>
      <c r="I822" s="436"/>
      <c r="J822" s="436"/>
      <c r="K822" s="436"/>
      <c r="L822" s="436"/>
      <c r="M822" s="436"/>
      <c r="N822" s="436"/>
      <c r="O822" s="436"/>
      <c r="P822" s="436"/>
      <c r="Q822" s="436"/>
      <c r="R822" s="436"/>
      <c r="S822" s="436"/>
      <c r="T822" s="436"/>
      <c r="U822" s="436"/>
      <c r="V822" s="436"/>
    </row>
    <row r="823" spans="1:22" ht="26.25" customHeight="1" x14ac:dyDescent="0.2">
      <c r="A823" s="436"/>
      <c r="B823" s="436"/>
      <c r="C823" s="436"/>
      <c r="D823" s="436"/>
      <c r="E823" s="436"/>
      <c r="F823" s="436"/>
      <c r="G823" s="436"/>
      <c r="H823" s="436"/>
      <c r="I823" s="436"/>
      <c r="J823" s="436"/>
      <c r="K823" s="436"/>
      <c r="L823" s="436"/>
      <c r="M823" s="436"/>
      <c r="N823" s="436"/>
      <c r="O823" s="436"/>
      <c r="P823" s="436"/>
      <c r="Q823" s="436"/>
      <c r="R823" s="436"/>
      <c r="S823" s="436"/>
      <c r="T823" s="436"/>
      <c r="U823" s="436"/>
      <c r="V823" s="436"/>
    </row>
    <row r="824" spans="1:22" ht="26.25" customHeight="1" x14ac:dyDescent="0.2">
      <c r="A824" s="436"/>
      <c r="B824" s="436"/>
      <c r="C824" s="436"/>
      <c r="D824" s="436"/>
      <c r="E824" s="436"/>
      <c r="F824" s="436"/>
      <c r="G824" s="436"/>
      <c r="H824" s="436"/>
      <c r="I824" s="436"/>
      <c r="J824" s="436"/>
      <c r="K824" s="436"/>
      <c r="L824" s="436"/>
      <c r="M824" s="436"/>
      <c r="N824" s="436"/>
      <c r="O824" s="436"/>
      <c r="P824" s="436"/>
      <c r="Q824" s="436"/>
      <c r="R824" s="436"/>
      <c r="S824" s="436"/>
      <c r="T824" s="436"/>
      <c r="U824" s="436"/>
      <c r="V824" s="436"/>
    </row>
    <row r="825" spans="1:22" ht="26.25" customHeight="1" x14ac:dyDescent="0.2">
      <c r="A825" s="436"/>
      <c r="B825" s="436"/>
      <c r="C825" s="436"/>
      <c r="D825" s="436"/>
      <c r="E825" s="436"/>
      <c r="F825" s="436"/>
      <c r="G825" s="436"/>
      <c r="H825" s="436"/>
      <c r="I825" s="436"/>
      <c r="J825" s="436"/>
      <c r="K825" s="436"/>
      <c r="L825" s="436"/>
      <c r="M825" s="436"/>
      <c r="N825" s="436"/>
      <c r="O825" s="436"/>
      <c r="P825" s="436"/>
      <c r="Q825" s="436"/>
      <c r="R825" s="436"/>
      <c r="S825" s="436"/>
      <c r="T825" s="436"/>
      <c r="U825" s="436"/>
      <c r="V825" s="436"/>
    </row>
    <row r="826" spans="1:22" ht="26.25" customHeight="1" x14ac:dyDescent="0.2">
      <c r="A826" s="436"/>
      <c r="B826" s="436"/>
      <c r="C826" s="436"/>
      <c r="D826" s="436"/>
      <c r="E826" s="436"/>
      <c r="F826" s="436"/>
      <c r="G826" s="436"/>
      <c r="H826" s="436"/>
      <c r="I826" s="436"/>
      <c r="J826" s="436"/>
      <c r="K826" s="436"/>
      <c r="L826" s="436"/>
      <c r="M826" s="436"/>
      <c r="N826" s="436"/>
      <c r="O826" s="436"/>
      <c r="P826" s="436"/>
      <c r="Q826" s="436"/>
      <c r="R826" s="436"/>
      <c r="S826" s="436"/>
      <c r="T826" s="436"/>
      <c r="U826" s="436"/>
      <c r="V826" s="436"/>
    </row>
    <row r="827" spans="1:22" ht="26.25" customHeight="1" x14ac:dyDescent="0.2">
      <c r="A827" s="436"/>
      <c r="B827" s="436"/>
      <c r="C827" s="436"/>
      <c r="D827" s="436"/>
      <c r="E827" s="436"/>
      <c r="F827" s="436"/>
      <c r="G827" s="436"/>
      <c r="H827" s="436"/>
      <c r="I827" s="436"/>
      <c r="J827" s="436"/>
      <c r="K827" s="436"/>
      <c r="L827" s="436"/>
      <c r="M827" s="436"/>
      <c r="N827" s="436"/>
      <c r="O827" s="436"/>
      <c r="P827" s="436"/>
      <c r="Q827" s="436"/>
      <c r="R827" s="436"/>
      <c r="S827" s="436"/>
      <c r="T827" s="436"/>
      <c r="U827" s="436"/>
      <c r="V827" s="436"/>
    </row>
    <row r="828" spans="1:22" ht="26.25" customHeight="1" x14ac:dyDescent="0.2">
      <c r="A828" s="436"/>
      <c r="B828" s="436"/>
      <c r="C828" s="436"/>
      <c r="D828" s="436"/>
      <c r="E828" s="436"/>
      <c r="F828" s="436"/>
      <c r="G828" s="436"/>
      <c r="H828" s="436"/>
      <c r="I828" s="436"/>
      <c r="J828" s="436"/>
      <c r="K828" s="436"/>
      <c r="L828" s="436"/>
      <c r="M828" s="436"/>
      <c r="N828" s="436"/>
      <c r="O828" s="436"/>
      <c r="P828" s="436"/>
      <c r="Q828" s="436"/>
      <c r="R828" s="436"/>
      <c r="S828" s="436"/>
      <c r="T828" s="436"/>
      <c r="U828" s="436"/>
      <c r="V828" s="436"/>
    </row>
    <row r="829" spans="1:22" ht="26.25" customHeight="1" x14ac:dyDescent="0.2">
      <c r="A829" s="436"/>
      <c r="B829" s="436"/>
      <c r="C829" s="436"/>
      <c r="D829" s="436"/>
      <c r="E829" s="436"/>
      <c r="F829" s="436"/>
      <c r="G829" s="436"/>
      <c r="H829" s="436"/>
      <c r="I829" s="436"/>
      <c r="J829" s="436"/>
      <c r="K829" s="436"/>
      <c r="L829" s="436"/>
      <c r="M829" s="436"/>
      <c r="N829" s="436"/>
      <c r="O829" s="436"/>
      <c r="P829" s="436"/>
      <c r="Q829" s="436"/>
      <c r="R829" s="436"/>
      <c r="S829" s="436"/>
      <c r="T829" s="436"/>
      <c r="U829" s="436"/>
      <c r="V829" s="436"/>
    </row>
    <row r="830" spans="1:22" ht="26.25" customHeight="1" x14ac:dyDescent="0.2">
      <c r="A830" s="436"/>
      <c r="B830" s="436"/>
      <c r="C830" s="436"/>
      <c r="D830" s="436"/>
      <c r="E830" s="436"/>
      <c r="F830" s="436"/>
      <c r="G830" s="436"/>
      <c r="H830" s="436"/>
      <c r="I830" s="436"/>
      <c r="J830" s="436"/>
      <c r="K830" s="436"/>
      <c r="L830" s="436"/>
      <c r="M830" s="436"/>
      <c r="N830" s="436"/>
      <c r="O830" s="436"/>
      <c r="P830" s="436"/>
      <c r="Q830" s="436"/>
      <c r="R830" s="436"/>
      <c r="S830" s="436"/>
      <c r="T830" s="436"/>
      <c r="U830" s="436"/>
      <c r="V830" s="436"/>
    </row>
    <row r="831" spans="1:22" ht="26.25" customHeight="1" x14ac:dyDescent="0.2">
      <c r="A831" s="436"/>
      <c r="B831" s="436"/>
      <c r="C831" s="436"/>
      <c r="D831" s="436"/>
      <c r="E831" s="436"/>
      <c r="F831" s="436"/>
      <c r="G831" s="436"/>
      <c r="H831" s="436"/>
      <c r="I831" s="436"/>
      <c r="J831" s="436"/>
      <c r="K831" s="436"/>
      <c r="L831" s="436"/>
      <c r="M831" s="436"/>
      <c r="N831" s="436"/>
      <c r="O831" s="436"/>
      <c r="P831" s="436"/>
      <c r="Q831" s="436"/>
      <c r="R831" s="436"/>
      <c r="S831" s="436"/>
      <c r="T831" s="436"/>
      <c r="U831" s="436"/>
      <c r="V831" s="436"/>
    </row>
    <row r="832" spans="1:22" ht="26.25" customHeight="1" x14ac:dyDescent="0.2">
      <c r="A832" s="436"/>
      <c r="B832" s="436"/>
      <c r="C832" s="436"/>
      <c r="D832" s="436"/>
      <c r="E832" s="436"/>
      <c r="F832" s="436"/>
      <c r="G832" s="436"/>
      <c r="H832" s="436"/>
      <c r="I832" s="436"/>
      <c r="J832" s="436"/>
      <c r="K832" s="436"/>
      <c r="L832" s="436"/>
      <c r="M832" s="436"/>
      <c r="N832" s="436"/>
      <c r="O832" s="436"/>
      <c r="P832" s="436"/>
      <c r="Q832" s="436"/>
      <c r="R832" s="436"/>
      <c r="S832" s="436"/>
      <c r="T832" s="436"/>
      <c r="U832" s="436"/>
      <c r="V832" s="436"/>
    </row>
    <row r="833" spans="1:22" ht="26.25" customHeight="1" x14ac:dyDescent="0.2">
      <c r="A833" s="436"/>
      <c r="B833" s="436"/>
      <c r="C833" s="436"/>
      <c r="D833" s="436"/>
      <c r="E833" s="436"/>
      <c r="F833" s="436"/>
      <c r="G833" s="436"/>
      <c r="H833" s="436"/>
      <c r="I833" s="436"/>
      <c r="J833" s="436"/>
      <c r="K833" s="436"/>
      <c r="L833" s="436"/>
      <c r="M833" s="436"/>
      <c r="N833" s="436"/>
      <c r="O833" s="436"/>
      <c r="P833" s="436"/>
      <c r="Q833" s="436"/>
      <c r="R833" s="436"/>
      <c r="S833" s="436"/>
      <c r="T833" s="436"/>
      <c r="U833" s="436"/>
      <c r="V833" s="436"/>
    </row>
    <row r="834" spans="1:22" ht="26.25" customHeight="1" x14ac:dyDescent="0.2">
      <c r="A834" s="436"/>
      <c r="B834" s="436"/>
      <c r="C834" s="436"/>
      <c r="D834" s="436"/>
      <c r="E834" s="436"/>
      <c r="F834" s="436"/>
      <c r="G834" s="436"/>
      <c r="H834" s="436"/>
      <c r="I834" s="436"/>
      <c r="J834" s="436"/>
      <c r="K834" s="436"/>
      <c r="L834" s="436"/>
      <c r="M834" s="436"/>
      <c r="N834" s="436"/>
      <c r="O834" s="436"/>
      <c r="P834" s="436"/>
      <c r="Q834" s="436"/>
      <c r="R834" s="436"/>
      <c r="S834" s="436"/>
      <c r="T834" s="436"/>
      <c r="U834" s="436"/>
      <c r="V834" s="436"/>
    </row>
    <row r="835" spans="1:22" ht="26.25" customHeight="1" x14ac:dyDescent="0.2">
      <c r="A835" s="436"/>
      <c r="B835" s="436"/>
      <c r="C835" s="436"/>
      <c r="D835" s="436"/>
      <c r="E835" s="436"/>
      <c r="F835" s="436"/>
      <c r="G835" s="436"/>
      <c r="H835" s="436"/>
      <c r="I835" s="436"/>
      <c r="J835" s="436"/>
      <c r="K835" s="436"/>
      <c r="L835" s="436"/>
      <c r="M835" s="436"/>
      <c r="N835" s="436"/>
      <c r="O835" s="436"/>
      <c r="P835" s="436"/>
      <c r="Q835" s="436"/>
      <c r="R835" s="436"/>
      <c r="S835" s="436"/>
      <c r="T835" s="436"/>
      <c r="U835" s="436"/>
      <c r="V835" s="436"/>
    </row>
    <row r="836" spans="1:22" ht="26.25" customHeight="1" x14ac:dyDescent="0.2">
      <c r="A836" s="436"/>
      <c r="B836" s="436"/>
      <c r="C836" s="436"/>
      <c r="D836" s="436"/>
      <c r="E836" s="436"/>
      <c r="F836" s="436"/>
      <c r="G836" s="436"/>
      <c r="H836" s="436"/>
      <c r="I836" s="436"/>
      <c r="J836" s="436"/>
      <c r="K836" s="436"/>
      <c r="L836" s="436"/>
      <c r="M836" s="436"/>
      <c r="N836" s="436"/>
      <c r="O836" s="436"/>
      <c r="P836" s="436"/>
      <c r="Q836" s="436"/>
      <c r="R836" s="436"/>
      <c r="S836" s="436"/>
      <c r="T836" s="436"/>
      <c r="U836" s="436"/>
      <c r="V836" s="436"/>
    </row>
    <row r="837" spans="1:22" ht="26.25" customHeight="1" x14ac:dyDescent="0.2">
      <c r="A837" s="436"/>
      <c r="B837" s="436"/>
      <c r="C837" s="436"/>
      <c r="D837" s="436"/>
      <c r="E837" s="436"/>
      <c r="F837" s="436"/>
      <c r="G837" s="436"/>
      <c r="H837" s="436"/>
      <c r="I837" s="436"/>
      <c r="J837" s="436"/>
      <c r="K837" s="436"/>
      <c r="L837" s="436"/>
      <c r="M837" s="436"/>
      <c r="N837" s="436"/>
      <c r="O837" s="436"/>
      <c r="P837" s="436"/>
      <c r="Q837" s="436"/>
      <c r="R837" s="436"/>
      <c r="S837" s="436"/>
      <c r="T837" s="436"/>
      <c r="U837" s="436"/>
      <c r="V837" s="436"/>
    </row>
    <row r="838" spans="1:22" ht="26.25" customHeight="1" x14ac:dyDescent="0.2">
      <c r="A838" s="436"/>
      <c r="B838" s="436"/>
      <c r="C838" s="436"/>
      <c r="D838" s="436"/>
      <c r="E838" s="436"/>
      <c r="F838" s="436"/>
      <c r="G838" s="436"/>
      <c r="H838" s="436"/>
      <c r="I838" s="436"/>
      <c r="J838" s="436"/>
      <c r="K838" s="436"/>
      <c r="L838" s="436"/>
      <c r="M838" s="436"/>
      <c r="N838" s="436"/>
      <c r="O838" s="436"/>
      <c r="P838" s="436"/>
      <c r="Q838" s="436"/>
      <c r="R838" s="436"/>
      <c r="S838" s="436"/>
      <c r="T838" s="436"/>
      <c r="U838" s="436"/>
      <c r="V838" s="436"/>
    </row>
    <row r="839" spans="1:22" ht="26.25" customHeight="1" x14ac:dyDescent="0.2">
      <c r="A839" s="436"/>
      <c r="B839" s="436"/>
      <c r="C839" s="436"/>
      <c r="D839" s="436"/>
      <c r="E839" s="436"/>
      <c r="F839" s="436"/>
      <c r="G839" s="436"/>
      <c r="H839" s="436"/>
      <c r="I839" s="436"/>
      <c r="J839" s="436"/>
      <c r="K839" s="436"/>
      <c r="L839" s="436"/>
      <c r="M839" s="436"/>
      <c r="N839" s="436"/>
      <c r="O839" s="436"/>
      <c r="P839" s="436"/>
      <c r="Q839" s="436"/>
      <c r="R839" s="436"/>
      <c r="S839" s="436"/>
      <c r="T839" s="436"/>
      <c r="U839" s="436"/>
      <c r="V839" s="436"/>
    </row>
    <row r="840" spans="1:22" ht="26.25" customHeight="1" x14ac:dyDescent="0.2">
      <c r="A840" s="436"/>
      <c r="B840" s="436"/>
      <c r="C840" s="436"/>
      <c r="D840" s="436"/>
      <c r="E840" s="436"/>
      <c r="F840" s="436"/>
      <c r="G840" s="436"/>
      <c r="H840" s="436"/>
      <c r="I840" s="436"/>
      <c r="J840" s="436"/>
      <c r="K840" s="436"/>
      <c r="L840" s="436"/>
      <c r="M840" s="436"/>
      <c r="N840" s="436"/>
      <c r="O840" s="436"/>
      <c r="P840" s="436"/>
      <c r="Q840" s="436"/>
      <c r="R840" s="436"/>
      <c r="S840" s="436"/>
      <c r="T840" s="436"/>
      <c r="U840" s="436"/>
      <c r="V840" s="436"/>
    </row>
    <row r="841" spans="1:22" ht="26.25" customHeight="1" x14ac:dyDescent="0.2">
      <c r="A841" s="436"/>
      <c r="B841" s="436"/>
      <c r="C841" s="436"/>
      <c r="D841" s="436"/>
      <c r="E841" s="436"/>
      <c r="F841" s="436"/>
      <c r="G841" s="436"/>
      <c r="H841" s="436"/>
      <c r="I841" s="436"/>
      <c r="J841" s="436"/>
      <c r="K841" s="436"/>
      <c r="L841" s="436"/>
      <c r="M841" s="436"/>
      <c r="N841" s="436"/>
      <c r="O841" s="436"/>
      <c r="P841" s="436"/>
      <c r="Q841" s="436"/>
      <c r="R841" s="436"/>
      <c r="S841" s="436"/>
      <c r="T841" s="436"/>
      <c r="U841" s="436"/>
      <c r="V841" s="436"/>
    </row>
    <row r="842" spans="1:22" ht="26.25" customHeight="1" x14ac:dyDescent="0.2">
      <c r="A842" s="436"/>
      <c r="B842" s="436"/>
      <c r="C842" s="436"/>
      <c r="D842" s="436"/>
      <c r="E842" s="436"/>
      <c r="F842" s="436"/>
      <c r="G842" s="436"/>
      <c r="H842" s="436"/>
      <c r="I842" s="436"/>
      <c r="J842" s="436"/>
      <c r="K842" s="436"/>
      <c r="L842" s="436"/>
      <c r="M842" s="436"/>
      <c r="N842" s="436"/>
      <c r="O842" s="436"/>
      <c r="P842" s="436"/>
      <c r="Q842" s="436"/>
      <c r="R842" s="436"/>
      <c r="S842" s="436"/>
      <c r="T842" s="436"/>
      <c r="U842" s="436"/>
      <c r="V842" s="436"/>
    </row>
    <row r="843" spans="1:22" ht="26.25" customHeight="1" x14ac:dyDescent="0.2">
      <c r="A843" s="436"/>
      <c r="B843" s="436"/>
      <c r="C843" s="436"/>
      <c r="D843" s="436"/>
      <c r="E843" s="436"/>
      <c r="F843" s="436"/>
      <c r="G843" s="436"/>
      <c r="H843" s="436"/>
      <c r="I843" s="436"/>
      <c r="J843" s="436"/>
      <c r="K843" s="436"/>
      <c r="L843" s="436"/>
      <c r="M843" s="436"/>
      <c r="N843" s="436"/>
      <c r="O843" s="436"/>
      <c r="P843" s="436"/>
      <c r="Q843" s="436"/>
      <c r="R843" s="436"/>
      <c r="S843" s="436"/>
      <c r="T843" s="436"/>
      <c r="U843" s="436"/>
      <c r="V843" s="436"/>
    </row>
    <row r="844" spans="1:22" ht="26.25" customHeight="1" x14ac:dyDescent="0.2">
      <c r="A844" s="436"/>
      <c r="B844" s="436"/>
      <c r="C844" s="436"/>
      <c r="D844" s="436"/>
      <c r="E844" s="436"/>
      <c r="F844" s="436"/>
      <c r="G844" s="436"/>
      <c r="H844" s="436"/>
      <c r="I844" s="436"/>
      <c r="J844" s="436"/>
      <c r="K844" s="436"/>
      <c r="L844" s="436"/>
      <c r="M844" s="436"/>
      <c r="N844" s="436"/>
      <c r="O844" s="436"/>
      <c r="P844" s="436"/>
      <c r="Q844" s="436"/>
      <c r="R844" s="436"/>
      <c r="S844" s="436"/>
      <c r="T844" s="436"/>
      <c r="U844" s="436"/>
      <c r="V844" s="436"/>
    </row>
    <row r="845" spans="1:22" ht="26.25" customHeight="1" x14ac:dyDescent="0.2">
      <c r="A845" s="436"/>
      <c r="B845" s="436"/>
      <c r="C845" s="436"/>
      <c r="D845" s="436"/>
      <c r="E845" s="436"/>
      <c r="F845" s="436"/>
      <c r="G845" s="436"/>
      <c r="H845" s="436"/>
      <c r="I845" s="436"/>
      <c r="J845" s="436"/>
      <c r="K845" s="436"/>
      <c r="L845" s="436"/>
      <c r="M845" s="436"/>
      <c r="N845" s="436"/>
      <c r="O845" s="436"/>
      <c r="P845" s="436"/>
      <c r="Q845" s="436"/>
      <c r="R845" s="436"/>
      <c r="S845" s="436"/>
      <c r="T845" s="436"/>
      <c r="U845" s="436"/>
      <c r="V845" s="436"/>
    </row>
    <row r="846" spans="1:22" ht="26.25" customHeight="1" x14ac:dyDescent="0.2">
      <c r="A846" s="436"/>
      <c r="B846" s="436"/>
      <c r="C846" s="436"/>
      <c r="D846" s="436"/>
      <c r="E846" s="436"/>
      <c r="F846" s="436"/>
      <c r="G846" s="436"/>
      <c r="H846" s="436"/>
      <c r="I846" s="436"/>
      <c r="J846" s="436"/>
      <c r="K846" s="436"/>
      <c r="L846" s="436"/>
      <c r="M846" s="436"/>
      <c r="N846" s="436"/>
      <c r="O846" s="436"/>
      <c r="P846" s="436"/>
      <c r="Q846" s="436"/>
      <c r="R846" s="436"/>
      <c r="S846" s="436"/>
      <c r="T846" s="436"/>
      <c r="U846" s="436"/>
      <c r="V846" s="436"/>
    </row>
    <row r="847" spans="1:22" ht="26.25" customHeight="1" x14ac:dyDescent="0.2">
      <c r="A847" s="436"/>
      <c r="B847" s="436"/>
      <c r="C847" s="436"/>
      <c r="D847" s="436"/>
      <c r="E847" s="436"/>
      <c r="F847" s="436"/>
      <c r="G847" s="436"/>
      <c r="H847" s="436"/>
      <c r="I847" s="436"/>
      <c r="J847" s="436"/>
      <c r="K847" s="436"/>
      <c r="L847" s="436"/>
      <c r="M847" s="436"/>
      <c r="N847" s="436"/>
      <c r="O847" s="436"/>
      <c r="P847" s="436"/>
      <c r="Q847" s="436"/>
      <c r="R847" s="436"/>
      <c r="S847" s="436"/>
      <c r="T847" s="436"/>
      <c r="U847" s="436"/>
      <c r="V847" s="436"/>
    </row>
    <row r="848" spans="1:22" ht="26.25" customHeight="1" x14ac:dyDescent="0.2">
      <c r="A848" s="436"/>
      <c r="B848" s="436"/>
      <c r="C848" s="436"/>
      <c r="D848" s="436"/>
      <c r="E848" s="436"/>
      <c r="F848" s="436"/>
      <c r="G848" s="436"/>
      <c r="H848" s="436"/>
      <c r="I848" s="436"/>
      <c r="J848" s="436"/>
      <c r="K848" s="436"/>
      <c r="L848" s="436"/>
      <c r="M848" s="436"/>
      <c r="N848" s="436"/>
      <c r="O848" s="436"/>
      <c r="P848" s="436"/>
      <c r="Q848" s="436"/>
      <c r="R848" s="436"/>
      <c r="S848" s="436"/>
      <c r="T848" s="436"/>
      <c r="U848" s="436"/>
      <c r="V848" s="436"/>
    </row>
    <row r="849" spans="1:22" ht="26.25" customHeight="1" x14ac:dyDescent="0.2">
      <c r="A849" s="436"/>
      <c r="B849" s="436"/>
      <c r="C849" s="436"/>
      <c r="D849" s="436"/>
      <c r="E849" s="436"/>
      <c r="F849" s="436"/>
      <c r="G849" s="436"/>
      <c r="H849" s="436"/>
      <c r="I849" s="436"/>
      <c r="J849" s="436"/>
      <c r="K849" s="436"/>
      <c r="L849" s="436"/>
      <c r="M849" s="436"/>
      <c r="N849" s="436"/>
      <c r="O849" s="436"/>
      <c r="P849" s="436"/>
      <c r="Q849" s="436"/>
      <c r="R849" s="436"/>
      <c r="S849" s="436"/>
      <c r="T849" s="436"/>
      <c r="U849" s="436"/>
      <c r="V849" s="436"/>
    </row>
    <row r="850" spans="1:22" ht="26.25" customHeight="1" x14ac:dyDescent="0.2">
      <c r="A850" s="436"/>
      <c r="B850" s="436"/>
      <c r="C850" s="436"/>
      <c r="D850" s="436"/>
      <c r="E850" s="436"/>
      <c r="F850" s="436"/>
      <c r="G850" s="436"/>
      <c r="H850" s="436"/>
      <c r="I850" s="436"/>
      <c r="J850" s="436"/>
      <c r="K850" s="436"/>
      <c r="L850" s="436"/>
      <c r="M850" s="436"/>
      <c r="N850" s="436"/>
      <c r="O850" s="436"/>
      <c r="P850" s="436"/>
      <c r="Q850" s="436"/>
      <c r="R850" s="436"/>
      <c r="S850" s="436"/>
      <c r="T850" s="436"/>
      <c r="U850" s="436"/>
      <c r="V850" s="436"/>
    </row>
    <row r="851" spans="1:22" ht="26.25" customHeight="1" x14ac:dyDescent="0.2">
      <c r="A851" s="436"/>
      <c r="B851" s="436"/>
      <c r="C851" s="436"/>
      <c r="D851" s="436"/>
      <c r="E851" s="436"/>
      <c r="F851" s="436"/>
      <c r="G851" s="436"/>
      <c r="H851" s="436"/>
      <c r="I851" s="436"/>
      <c r="J851" s="436"/>
      <c r="K851" s="436"/>
      <c r="L851" s="436"/>
      <c r="M851" s="436"/>
      <c r="N851" s="436"/>
      <c r="O851" s="436"/>
      <c r="P851" s="436"/>
      <c r="Q851" s="436"/>
      <c r="R851" s="436"/>
      <c r="S851" s="436"/>
      <c r="T851" s="436"/>
      <c r="U851" s="436"/>
      <c r="V851" s="436"/>
    </row>
    <row r="852" spans="1:22" ht="26.25" customHeight="1" x14ac:dyDescent="0.2">
      <c r="A852" s="436"/>
      <c r="B852" s="436"/>
      <c r="C852" s="436"/>
      <c r="D852" s="436"/>
      <c r="E852" s="436"/>
      <c r="F852" s="436"/>
      <c r="G852" s="436"/>
      <c r="H852" s="436"/>
      <c r="I852" s="436"/>
      <c r="J852" s="436"/>
      <c r="K852" s="436"/>
      <c r="L852" s="436"/>
      <c r="M852" s="436"/>
      <c r="N852" s="436"/>
      <c r="O852" s="436"/>
      <c r="P852" s="436"/>
      <c r="Q852" s="436"/>
      <c r="R852" s="436"/>
      <c r="S852" s="436"/>
      <c r="T852" s="436"/>
      <c r="U852" s="436"/>
      <c r="V852" s="436"/>
    </row>
    <row r="853" spans="1:22" ht="26.25" customHeight="1" x14ac:dyDescent="0.2">
      <c r="A853" s="436"/>
      <c r="B853" s="436"/>
      <c r="C853" s="436"/>
      <c r="D853" s="436"/>
      <c r="E853" s="436"/>
      <c r="F853" s="436"/>
      <c r="G853" s="436"/>
      <c r="H853" s="436"/>
      <c r="I853" s="436"/>
      <c r="J853" s="436"/>
      <c r="K853" s="436"/>
      <c r="L853" s="436"/>
      <c r="M853" s="436"/>
      <c r="N853" s="436"/>
      <c r="O853" s="436"/>
      <c r="P853" s="436"/>
      <c r="Q853" s="436"/>
      <c r="R853" s="436"/>
      <c r="S853" s="436"/>
      <c r="T853" s="436"/>
      <c r="U853" s="436"/>
      <c r="V853" s="436"/>
    </row>
    <row r="854" spans="1:22" ht="26.25" customHeight="1" x14ac:dyDescent="0.2">
      <c r="A854" s="436"/>
      <c r="B854" s="436"/>
      <c r="C854" s="436"/>
      <c r="D854" s="436"/>
      <c r="E854" s="436"/>
      <c r="F854" s="436"/>
      <c r="G854" s="436"/>
      <c r="H854" s="436"/>
      <c r="I854" s="436"/>
      <c r="J854" s="436"/>
      <c r="K854" s="436"/>
      <c r="L854" s="436"/>
      <c r="M854" s="436"/>
      <c r="N854" s="436"/>
      <c r="O854" s="436"/>
      <c r="P854" s="436"/>
      <c r="Q854" s="436"/>
      <c r="R854" s="436"/>
      <c r="S854" s="436"/>
      <c r="T854" s="436"/>
      <c r="U854" s="436"/>
      <c r="V854" s="436"/>
    </row>
    <row r="855" spans="1:22" ht="26.25" customHeight="1" x14ac:dyDescent="0.2">
      <c r="A855" s="436"/>
      <c r="B855" s="436"/>
      <c r="C855" s="436"/>
      <c r="D855" s="436"/>
      <c r="E855" s="436"/>
      <c r="F855" s="436"/>
      <c r="G855" s="436"/>
      <c r="H855" s="436"/>
      <c r="I855" s="436"/>
      <c r="J855" s="436"/>
      <c r="K855" s="436"/>
      <c r="L855" s="436"/>
      <c r="M855" s="436"/>
      <c r="N855" s="436"/>
      <c r="O855" s="436"/>
      <c r="P855" s="436"/>
      <c r="Q855" s="436"/>
      <c r="R855" s="436"/>
      <c r="S855" s="436"/>
      <c r="T855" s="436"/>
      <c r="U855" s="436"/>
      <c r="V855" s="436"/>
    </row>
    <row r="856" spans="1:22" ht="26.25" customHeight="1" x14ac:dyDescent="0.2">
      <c r="A856" s="436"/>
      <c r="B856" s="436"/>
      <c r="C856" s="436"/>
      <c r="D856" s="436"/>
      <c r="E856" s="436"/>
      <c r="F856" s="436"/>
      <c r="G856" s="436"/>
      <c r="H856" s="436"/>
      <c r="I856" s="436"/>
      <c r="J856" s="436"/>
      <c r="K856" s="436"/>
      <c r="L856" s="436"/>
      <c r="M856" s="436"/>
      <c r="N856" s="436"/>
      <c r="O856" s="436"/>
      <c r="P856" s="436"/>
      <c r="Q856" s="436"/>
      <c r="R856" s="436"/>
      <c r="S856" s="436"/>
      <c r="T856" s="436"/>
      <c r="U856" s="436"/>
      <c r="V856" s="436"/>
    </row>
    <row r="857" spans="1:22" ht="26.25" customHeight="1" x14ac:dyDescent="0.2">
      <c r="A857" s="436"/>
      <c r="B857" s="436"/>
      <c r="C857" s="436"/>
      <c r="D857" s="436"/>
      <c r="E857" s="436"/>
      <c r="F857" s="436"/>
      <c r="G857" s="436"/>
      <c r="H857" s="436"/>
      <c r="I857" s="436"/>
      <c r="J857" s="436"/>
      <c r="K857" s="436"/>
      <c r="L857" s="436"/>
      <c r="M857" s="436"/>
      <c r="N857" s="436"/>
      <c r="O857" s="436"/>
      <c r="P857" s="436"/>
      <c r="Q857" s="436"/>
      <c r="R857" s="436"/>
      <c r="S857" s="436"/>
      <c r="T857" s="436"/>
      <c r="U857" s="436"/>
      <c r="V857" s="436"/>
    </row>
    <row r="858" spans="1:22" ht="26.25" customHeight="1" x14ac:dyDescent="0.2">
      <c r="A858" s="436"/>
      <c r="B858" s="436"/>
      <c r="C858" s="436"/>
      <c r="D858" s="436"/>
      <c r="E858" s="436"/>
      <c r="F858" s="436"/>
      <c r="G858" s="436"/>
      <c r="H858" s="436"/>
      <c r="I858" s="436"/>
      <c r="J858" s="436"/>
      <c r="K858" s="436"/>
      <c r="L858" s="436"/>
      <c r="M858" s="436"/>
      <c r="N858" s="436"/>
      <c r="O858" s="436"/>
      <c r="P858" s="436"/>
      <c r="Q858" s="436"/>
      <c r="R858" s="436"/>
      <c r="S858" s="436"/>
      <c r="T858" s="436"/>
      <c r="U858" s="436"/>
      <c r="V858" s="436"/>
    </row>
    <row r="859" spans="1:22" ht="26.25" customHeight="1" x14ac:dyDescent="0.2">
      <c r="A859" s="436"/>
      <c r="B859" s="436"/>
      <c r="C859" s="436"/>
      <c r="D859" s="436"/>
      <c r="E859" s="436"/>
      <c r="F859" s="436"/>
      <c r="G859" s="436"/>
      <c r="H859" s="436"/>
      <c r="I859" s="436"/>
      <c r="J859" s="436"/>
      <c r="K859" s="436"/>
      <c r="L859" s="436"/>
      <c r="M859" s="436"/>
      <c r="N859" s="436"/>
      <c r="O859" s="436"/>
      <c r="P859" s="436"/>
      <c r="Q859" s="436"/>
      <c r="R859" s="436"/>
      <c r="S859" s="436"/>
      <c r="T859" s="436"/>
      <c r="U859" s="436"/>
      <c r="V859" s="436"/>
    </row>
    <row r="860" spans="1:22" ht="26.25" customHeight="1" x14ac:dyDescent="0.2">
      <c r="A860" s="436"/>
      <c r="B860" s="436"/>
      <c r="C860" s="436"/>
      <c r="D860" s="436"/>
      <c r="E860" s="436"/>
      <c r="F860" s="436"/>
      <c r="G860" s="436"/>
      <c r="H860" s="436"/>
      <c r="I860" s="436"/>
      <c r="J860" s="436"/>
      <c r="K860" s="436"/>
      <c r="L860" s="436"/>
      <c r="M860" s="436"/>
      <c r="N860" s="436"/>
      <c r="O860" s="436"/>
      <c r="P860" s="436"/>
      <c r="Q860" s="436"/>
      <c r="R860" s="436"/>
      <c r="S860" s="436"/>
      <c r="T860" s="436"/>
      <c r="U860" s="436"/>
      <c r="V860" s="436"/>
    </row>
    <row r="861" spans="1:22" ht="26.25" customHeight="1" x14ac:dyDescent="0.2">
      <c r="A861" s="436"/>
      <c r="B861" s="436"/>
      <c r="C861" s="436"/>
      <c r="D861" s="436"/>
      <c r="E861" s="436"/>
      <c r="F861" s="436"/>
      <c r="G861" s="436"/>
      <c r="H861" s="436"/>
      <c r="I861" s="436"/>
      <c r="J861" s="436"/>
      <c r="K861" s="436"/>
      <c r="L861" s="436"/>
      <c r="M861" s="436"/>
      <c r="N861" s="436"/>
      <c r="O861" s="436"/>
      <c r="P861" s="436"/>
      <c r="Q861" s="436"/>
      <c r="R861" s="436"/>
      <c r="S861" s="436"/>
      <c r="T861" s="436"/>
      <c r="U861" s="436"/>
      <c r="V861" s="436"/>
    </row>
    <row r="862" spans="1:22" ht="26.25" customHeight="1" x14ac:dyDescent="0.2">
      <c r="A862" s="436"/>
      <c r="B862" s="436"/>
      <c r="C862" s="436"/>
      <c r="D862" s="436"/>
      <c r="E862" s="436"/>
      <c r="F862" s="436"/>
      <c r="G862" s="436"/>
      <c r="H862" s="436"/>
      <c r="I862" s="436"/>
      <c r="J862" s="436"/>
      <c r="K862" s="436"/>
      <c r="L862" s="436"/>
      <c r="M862" s="436"/>
      <c r="N862" s="436"/>
      <c r="O862" s="436"/>
      <c r="P862" s="436"/>
      <c r="Q862" s="436"/>
      <c r="R862" s="436"/>
      <c r="S862" s="436"/>
      <c r="T862" s="436"/>
      <c r="U862" s="436"/>
      <c r="V862" s="436"/>
    </row>
    <row r="863" spans="1:22" ht="26.25" customHeight="1" x14ac:dyDescent="0.2">
      <c r="A863" s="436"/>
      <c r="B863" s="436"/>
      <c r="C863" s="436"/>
      <c r="D863" s="436"/>
      <c r="E863" s="436"/>
      <c r="F863" s="436"/>
      <c r="G863" s="436"/>
      <c r="H863" s="436"/>
      <c r="I863" s="436"/>
      <c r="J863" s="436"/>
      <c r="K863" s="436"/>
      <c r="L863" s="436"/>
      <c r="M863" s="436"/>
      <c r="N863" s="436"/>
      <c r="O863" s="436"/>
      <c r="P863" s="436"/>
      <c r="Q863" s="436"/>
      <c r="R863" s="436"/>
      <c r="S863" s="436"/>
      <c r="T863" s="436"/>
      <c r="U863" s="436"/>
      <c r="V863" s="436"/>
    </row>
    <row r="864" spans="1:22" ht="26.25" customHeight="1" x14ac:dyDescent="0.2">
      <c r="A864" s="436"/>
      <c r="B864" s="436"/>
      <c r="C864" s="436"/>
      <c r="D864" s="436"/>
      <c r="E864" s="436"/>
      <c r="F864" s="436"/>
      <c r="G864" s="436"/>
      <c r="H864" s="436"/>
      <c r="I864" s="436"/>
      <c r="J864" s="436"/>
      <c r="K864" s="436"/>
      <c r="L864" s="436"/>
      <c r="M864" s="436"/>
      <c r="N864" s="436"/>
      <c r="O864" s="436"/>
      <c r="P864" s="436"/>
      <c r="Q864" s="436"/>
      <c r="R864" s="436"/>
      <c r="S864" s="436"/>
      <c r="T864" s="436"/>
      <c r="U864" s="436"/>
      <c r="V864" s="436"/>
    </row>
    <row r="865" spans="1:22" ht="26.25" customHeight="1" x14ac:dyDescent="0.2">
      <c r="A865" s="436"/>
      <c r="B865" s="436"/>
      <c r="C865" s="436"/>
      <c r="D865" s="436"/>
      <c r="E865" s="436"/>
      <c r="F865" s="436"/>
      <c r="G865" s="436"/>
      <c r="H865" s="436"/>
      <c r="I865" s="436"/>
      <c r="J865" s="436"/>
      <c r="K865" s="436"/>
      <c r="L865" s="436"/>
      <c r="M865" s="436"/>
      <c r="N865" s="436"/>
      <c r="O865" s="436"/>
      <c r="P865" s="436"/>
      <c r="Q865" s="436"/>
      <c r="R865" s="436"/>
      <c r="S865" s="436"/>
      <c r="T865" s="436"/>
      <c r="U865" s="436"/>
      <c r="V865" s="436"/>
    </row>
    <row r="866" spans="1:22" ht="26.25" customHeight="1" x14ac:dyDescent="0.2">
      <c r="A866" s="436"/>
      <c r="B866" s="436"/>
      <c r="C866" s="436"/>
      <c r="D866" s="436"/>
      <c r="E866" s="436"/>
      <c r="F866" s="436"/>
      <c r="G866" s="436"/>
      <c r="H866" s="436"/>
      <c r="I866" s="436"/>
      <c r="J866" s="436"/>
      <c r="K866" s="436"/>
      <c r="L866" s="436"/>
      <c r="M866" s="436"/>
      <c r="N866" s="436"/>
      <c r="O866" s="436"/>
      <c r="P866" s="436"/>
      <c r="Q866" s="436"/>
      <c r="R866" s="436"/>
      <c r="S866" s="436"/>
      <c r="T866" s="436"/>
      <c r="U866" s="436"/>
      <c r="V866" s="436"/>
    </row>
    <row r="867" spans="1:22" ht="26.25" customHeight="1" x14ac:dyDescent="0.2">
      <c r="A867" s="436"/>
      <c r="B867" s="436"/>
      <c r="C867" s="436"/>
      <c r="D867" s="436"/>
      <c r="E867" s="436"/>
      <c r="F867" s="436"/>
      <c r="G867" s="436"/>
      <c r="H867" s="436"/>
      <c r="I867" s="436"/>
      <c r="J867" s="436"/>
      <c r="K867" s="436"/>
      <c r="L867" s="436"/>
      <c r="M867" s="436"/>
      <c r="N867" s="436"/>
      <c r="O867" s="436"/>
      <c r="P867" s="436"/>
      <c r="Q867" s="436"/>
      <c r="R867" s="436"/>
      <c r="S867" s="436"/>
      <c r="T867" s="436"/>
      <c r="U867" s="436"/>
      <c r="V867" s="436"/>
    </row>
    <row r="868" spans="1:22" ht="26.25" customHeight="1" x14ac:dyDescent="0.2">
      <c r="A868" s="436"/>
      <c r="B868" s="436"/>
      <c r="C868" s="436"/>
      <c r="D868" s="436"/>
      <c r="E868" s="436"/>
      <c r="F868" s="436"/>
      <c r="G868" s="436"/>
      <c r="H868" s="436"/>
      <c r="I868" s="436"/>
      <c r="J868" s="436"/>
      <c r="K868" s="436"/>
      <c r="L868" s="436"/>
      <c r="M868" s="436"/>
      <c r="N868" s="436"/>
      <c r="O868" s="436"/>
      <c r="P868" s="436"/>
      <c r="Q868" s="436"/>
      <c r="R868" s="436"/>
      <c r="S868" s="436"/>
      <c r="T868" s="436"/>
      <c r="U868" s="436"/>
      <c r="V868" s="436"/>
    </row>
    <row r="869" spans="1:22" ht="26.25" customHeight="1" x14ac:dyDescent="0.2">
      <c r="A869" s="436"/>
      <c r="B869" s="436"/>
      <c r="C869" s="436"/>
      <c r="D869" s="436"/>
      <c r="E869" s="436"/>
      <c r="F869" s="436"/>
      <c r="G869" s="436"/>
      <c r="H869" s="436"/>
      <c r="I869" s="436"/>
      <c r="J869" s="436"/>
      <c r="K869" s="436"/>
      <c r="L869" s="436"/>
      <c r="M869" s="436"/>
      <c r="N869" s="436"/>
      <c r="O869" s="436"/>
      <c r="P869" s="436"/>
      <c r="Q869" s="436"/>
      <c r="R869" s="436"/>
      <c r="S869" s="436"/>
      <c r="T869" s="436"/>
      <c r="U869" s="436"/>
      <c r="V869" s="436"/>
    </row>
    <row r="870" spans="1:22" ht="26.25" customHeight="1" x14ac:dyDescent="0.2">
      <c r="A870" s="436"/>
      <c r="B870" s="436"/>
      <c r="C870" s="436"/>
      <c r="D870" s="436"/>
      <c r="E870" s="436"/>
      <c r="F870" s="436"/>
      <c r="G870" s="436"/>
      <c r="H870" s="436"/>
      <c r="I870" s="436"/>
      <c r="J870" s="436"/>
      <c r="K870" s="436"/>
      <c r="L870" s="436"/>
      <c r="M870" s="436"/>
      <c r="N870" s="436"/>
      <c r="O870" s="436"/>
      <c r="P870" s="436"/>
      <c r="Q870" s="436"/>
      <c r="R870" s="436"/>
      <c r="S870" s="436"/>
      <c r="T870" s="436"/>
      <c r="U870" s="436"/>
      <c r="V870" s="436"/>
    </row>
    <row r="871" spans="1:22" ht="26.25" customHeight="1" x14ac:dyDescent="0.2">
      <c r="A871" s="436"/>
      <c r="B871" s="436"/>
      <c r="C871" s="436"/>
      <c r="D871" s="436"/>
      <c r="E871" s="436"/>
      <c r="F871" s="436"/>
      <c r="G871" s="436"/>
      <c r="H871" s="436"/>
      <c r="I871" s="436"/>
      <c r="J871" s="436"/>
      <c r="K871" s="436"/>
      <c r="L871" s="436"/>
      <c r="M871" s="436"/>
      <c r="N871" s="436"/>
      <c r="O871" s="436"/>
      <c r="P871" s="436"/>
      <c r="Q871" s="436"/>
      <c r="R871" s="436"/>
      <c r="S871" s="436"/>
      <c r="T871" s="436"/>
      <c r="U871" s="436"/>
      <c r="V871" s="436"/>
    </row>
    <row r="872" spans="1:22" ht="26.25" customHeight="1" x14ac:dyDescent="0.2">
      <c r="A872" s="436"/>
      <c r="B872" s="436"/>
      <c r="C872" s="436"/>
      <c r="D872" s="436"/>
      <c r="E872" s="436"/>
      <c r="F872" s="436"/>
      <c r="G872" s="436"/>
      <c r="H872" s="436"/>
      <c r="I872" s="436"/>
      <c r="J872" s="436"/>
      <c r="K872" s="436"/>
      <c r="L872" s="436"/>
      <c r="M872" s="436"/>
      <c r="N872" s="436"/>
      <c r="O872" s="436"/>
      <c r="P872" s="436"/>
      <c r="Q872" s="436"/>
      <c r="R872" s="436"/>
      <c r="S872" s="436"/>
      <c r="T872" s="436"/>
      <c r="U872" s="436"/>
      <c r="V872" s="436"/>
    </row>
    <row r="873" spans="1:22" ht="26.25" customHeight="1" x14ac:dyDescent="0.2">
      <c r="A873" s="436"/>
      <c r="B873" s="436"/>
      <c r="C873" s="436"/>
      <c r="D873" s="436"/>
      <c r="E873" s="436"/>
      <c r="F873" s="436"/>
      <c r="G873" s="436"/>
      <c r="H873" s="436"/>
      <c r="I873" s="436"/>
      <c r="J873" s="436"/>
      <c r="K873" s="436"/>
      <c r="L873" s="436"/>
      <c r="M873" s="436"/>
      <c r="N873" s="436"/>
      <c r="O873" s="436"/>
      <c r="P873" s="436"/>
      <c r="Q873" s="436"/>
      <c r="R873" s="436"/>
      <c r="S873" s="436"/>
      <c r="T873" s="436"/>
      <c r="U873" s="436"/>
      <c r="V873" s="436"/>
    </row>
    <row r="874" spans="1:22" ht="26.25" customHeight="1" x14ac:dyDescent="0.2">
      <c r="A874" s="436"/>
      <c r="B874" s="436"/>
      <c r="C874" s="436"/>
      <c r="D874" s="436"/>
      <c r="E874" s="436"/>
      <c r="F874" s="436"/>
      <c r="G874" s="436"/>
      <c r="H874" s="436"/>
      <c r="I874" s="436"/>
      <c r="J874" s="436"/>
      <c r="K874" s="436"/>
      <c r="L874" s="436"/>
      <c r="M874" s="436"/>
      <c r="N874" s="436"/>
      <c r="O874" s="436"/>
      <c r="P874" s="436"/>
      <c r="Q874" s="436"/>
      <c r="R874" s="436"/>
      <c r="S874" s="436"/>
      <c r="T874" s="436"/>
      <c r="U874" s="436"/>
      <c r="V874" s="436"/>
    </row>
    <row r="875" spans="1:22" ht="26.25" customHeight="1" x14ac:dyDescent="0.2">
      <c r="A875" s="436"/>
      <c r="B875" s="436"/>
      <c r="C875" s="436"/>
      <c r="D875" s="436"/>
      <c r="E875" s="436"/>
      <c r="F875" s="436"/>
      <c r="G875" s="436"/>
      <c r="H875" s="436"/>
      <c r="I875" s="436"/>
      <c r="J875" s="436"/>
      <c r="K875" s="436"/>
      <c r="L875" s="436"/>
      <c r="M875" s="436"/>
      <c r="N875" s="436"/>
      <c r="O875" s="436"/>
      <c r="P875" s="436"/>
      <c r="Q875" s="436"/>
      <c r="R875" s="436"/>
      <c r="S875" s="436"/>
      <c r="T875" s="436"/>
      <c r="U875" s="436"/>
      <c r="V875" s="436"/>
    </row>
    <row r="876" spans="1:22" ht="26.25" customHeight="1" x14ac:dyDescent="0.2">
      <c r="A876" s="436"/>
      <c r="B876" s="436"/>
      <c r="C876" s="436"/>
      <c r="D876" s="436"/>
      <c r="E876" s="436"/>
      <c r="F876" s="436"/>
      <c r="G876" s="436"/>
      <c r="H876" s="436"/>
      <c r="I876" s="436"/>
      <c r="J876" s="436"/>
      <c r="K876" s="436"/>
      <c r="L876" s="436"/>
      <c r="M876" s="436"/>
      <c r="N876" s="436"/>
      <c r="O876" s="436"/>
      <c r="P876" s="436"/>
      <c r="Q876" s="436"/>
      <c r="R876" s="436"/>
      <c r="S876" s="436"/>
      <c r="T876" s="436"/>
      <c r="U876" s="436"/>
      <c r="V876" s="436"/>
    </row>
    <row r="877" spans="1:22" ht="26.25" customHeight="1" x14ac:dyDescent="0.2">
      <c r="A877" s="436"/>
      <c r="B877" s="436"/>
      <c r="C877" s="436"/>
      <c r="D877" s="436"/>
      <c r="E877" s="436"/>
      <c r="F877" s="436"/>
      <c r="G877" s="436"/>
      <c r="H877" s="436"/>
      <c r="I877" s="436"/>
      <c r="J877" s="436"/>
      <c r="K877" s="436"/>
      <c r="L877" s="436"/>
      <c r="M877" s="436"/>
      <c r="N877" s="436"/>
      <c r="O877" s="436"/>
      <c r="P877" s="436"/>
      <c r="Q877" s="436"/>
      <c r="R877" s="436"/>
      <c r="S877" s="436"/>
      <c r="T877" s="436"/>
      <c r="U877" s="436"/>
      <c r="V877" s="436"/>
    </row>
    <row r="878" spans="1:22" ht="26.25" customHeight="1" x14ac:dyDescent="0.2">
      <c r="A878" s="436"/>
      <c r="B878" s="436"/>
      <c r="C878" s="436"/>
      <c r="D878" s="436"/>
      <c r="E878" s="436"/>
      <c r="F878" s="436"/>
      <c r="G878" s="436"/>
      <c r="H878" s="436"/>
      <c r="I878" s="436"/>
      <c r="J878" s="436"/>
      <c r="K878" s="436"/>
      <c r="L878" s="436"/>
      <c r="M878" s="436"/>
      <c r="N878" s="436"/>
      <c r="O878" s="436"/>
      <c r="P878" s="436"/>
      <c r="Q878" s="436"/>
      <c r="R878" s="436"/>
      <c r="S878" s="436"/>
      <c r="T878" s="436"/>
      <c r="U878" s="436"/>
      <c r="V878" s="436"/>
    </row>
    <row r="879" spans="1:22" ht="26.25" customHeight="1" x14ac:dyDescent="0.2">
      <c r="A879" s="436"/>
      <c r="B879" s="436"/>
      <c r="C879" s="436"/>
      <c r="D879" s="436"/>
      <c r="E879" s="436"/>
      <c r="F879" s="436"/>
      <c r="G879" s="436"/>
      <c r="H879" s="436"/>
      <c r="I879" s="436"/>
      <c r="J879" s="436"/>
      <c r="K879" s="436"/>
      <c r="L879" s="436"/>
      <c r="M879" s="436"/>
      <c r="N879" s="436"/>
      <c r="O879" s="436"/>
      <c r="P879" s="436"/>
      <c r="Q879" s="436"/>
      <c r="R879" s="436"/>
      <c r="S879" s="436"/>
      <c r="T879" s="436"/>
      <c r="U879" s="436"/>
      <c r="V879" s="436"/>
    </row>
    <row r="880" spans="1:22" ht="26.25" customHeight="1" x14ac:dyDescent="0.2">
      <c r="A880" s="436"/>
      <c r="B880" s="436"/>
      <c r="C880" s="436"/>
      <c r="D880" s="436"/>
      <c r="E880" s="436"/>
      <c r="F880" s="436"/>
      <c r="G880" s="436"/>
      <c r="H880" s="436"/>
      <c r="I880" s="436"/>
      <c r="J880" s="436"/>
      <c r="K880" s="436"/>
      <c r="L880" s="436"/>
      <c r="M880" s="436"/>
      <c r="N880" s="436"/>
      <c r="O880" s="436"/>
      <c r="P880" s="436"/>
      <c r="Q880" s="436"/>
      <c r="R880" s="436"/>
      <c r="S880" s="436"/>
      <c r="T880" s="436"/>
      <c r="U880" s="436"/>
      <c r="V880" s="436"/>
    </row>
    <row r="881" spans="1:22" ht="26.25" customHeight="1" x14ac:dyDescent="0.2">
      <c r="A881" s="436"/>
      <c r="B881" s="436"/>
      <c r="C881" s="436"/>
      <c r="D881" s="436"/>
      <c r="E881" s="436"/>
      <c r="F881" s="436"/>
      <c r="G881" s="436"/>
      <c r="H881" s="436"/>
      <c r="I881" s="436"/>
      <c r="J881" s="436"/>
      <c r="K881" s="436"/>
      <c r="L881" s="436"/>
      <c r="M881" s="436"/>
      <c r="N881" s="436"/>
      <c r="O881" s="436"/>
      <c r="P881" s="436"/>
      <c r="Q881" s="436"/>
      <c r="R881" s="436"/>
      <c r="S881" s="436"/>
      <c r="T881" s="436"/>
      <c r="U881" s="436"/>
      <c r="V881" s="436"/>
    </row>
    <row r="882" spans="1:22" ht="26.25" customHeight="1" x14ac:dyDescent="0.2">
      <c r="A882" s="436"/>
      <c r="B882" s="436"/>
      <c r="C882" s="436"/>
      <c r="D882" s="436"/>
      <c r="E882" s="436"/>
      <c r="F882" s="436"/>
      <c r="G882" s="436"/>
      <c r="H882" s="436"/>
      <c r="I882" s="436"/>
      <c r="J882" s="436"/>
      <c r="K882" s="436"/>
      <c r="L882" s="436"/>
      <c r="M882" s="436"/>
      <c r="N882" s="436"/>
      <c r="O882" s="436"/>
      <c r="P882" s="436"/>
      <c r="Q882" s="436"/>
      <c r="R882" s="436"/>
      <c r="S882" s="436"/>
      <c r="T882" s="436"/>
      <c r="U882" s="436"/>
      <c r="V882" s="436"/>
    </row>
    <row r="883" spans="1:22" ht="26.25" customHeight="1" x14ac:dyDescent="0.2">
      <c r="A883" s="436"/>
      <c r="B883" s="436"/>
      <c r="C883" s="436"/>
      <c r="D883" s="436"/>
      <c r="E883" s="436"/>
      <c r="F883" s="436"/>
      <c r="G883" s="436"/>
      <c r="H883" s="436"/>
      <c r="I883" s="436"/>
      <c r="J883" s="436"/>
      <c r="K883" s="436"/>
      <c r="L883" s="436"/>
      <c r="M883" s="436"/>
      <c r="N883" s="436"/>
      <c r="O883" s="436"/>
      <c r="P883" s="436"/>
      <c r="Q883" s="436"/>
      <c r="R883" s="436"/>
      <c r="S883" s="436"/>
      <c r="T883" s="436"/>
      <c r="U883" s="436"/>
      <c r="V883" s="436"/>
    </row>
    <row r="884" spans="1:22" ht="26.25" customHeight="1" x14ac:dyDescent="0.2">
      <c r="A884" s="436"/>
      <c r="B884" s="436"/>
      <c r="C884" s="436"/>
      <c r="D884" s="436"/>
      <c r="E884" s="436"/>
      <c r="F884" s="436"/>
      <c r="G884" s="436"/>
      <c r="H884" s="436"/>
      <c r="I884" s="436"/>
      <c r="J884" s="436"/>
      <c r="K884" s="436"/>
      <c r="L884" s="436"/>
      <c r="M884" s="436"/>
      <c r="N884" s="436"/>
      <c r="O884" s="436"/>
      <c r="P884" s="436"/>
      <c r="Q884" s="436"/>
      <c r="R884" s="436"/>
      <c r="S884" s="436"/>
      <c r="T884" s="436"/>
      <c r="U884" s="436"/>
      <c r="V884" s="436"/>
    </row>
    <row r="885" spans="1:22" ht="26.25" customHeight="1" x14ac:dyDescent="0.2">
      <c r="A885" s="436"/>
      <c r="B885" s="436"/>
      <c r="C885" s="436"/>
      <c r="D885" s="436"/>
      <c r="E885" s="436"/>
      <c r="F885" s="436"/>
      <c r="G885" s="436"/>
      <c r="H885" s="436"/>
      <c r="I885" s="436"/>
      <c r="J885" s="436"/>
      <c r="K885" s="436"/>
      <c r="L885" s="436"/>
      <c r="M885" s="436"/>
      <c r="N885" s="436"/>
      <c r="O885" s="436"/>
      <c r="P885" s="436"/>
      <c r="Q885" s="436"/>
      <c r="R885" s="436"/>
      <c r="S885" s="436"/>
      <c r="T885" s="436"/>
      <c r="U885" s="436"/>
      <c r="V885" s="436"/>
    </row>
    <row r="886" spans="1:22" ht="26.25" customHeight="1" x14ac:dyDescent="0.2">
      <c r="A886" s="436"/>
      <c r="B886" s="436"/>
      <c r="C886" s="436"/>
      <c r="D886" s="436"/>
      <c r="E886" s="436"/>
      <c r="F886" s="436"/>
      <c r="G886" s="436"/>
      <c r="H886" s="436"/>
      <c r="I886" s="436"/>
      <c r="J886" s="436"/>
      <c r="K886" s="436"/>
      <c r="L886" s="436"/>
      <c r="M886" s="436"/>
      <c r="N886" s="436"/>
      <c r="O886" s="436"/>
      <c r="P886" s="436"/>
      <c r="Q886" s="436"/>
      <c r="R886" s="436"/>
      <c r="S886" s="436"/>
      <c r="T886" s="436"/>
      <c r="U886" s="436"/>
      <c r="V886" s="436"/>
    </row>
    <row r="887" spans="1:22" ht="26.25" customHeight="1" x14ac:dyDescent="0.2">
      <c r="A887" s="436"/>
      <c r="B887" s="436"/>
      <c r="C887" s="436"/>
      <c r="D887" s="436"/>
      <c r="E887" s="436"/>
      <c r="F887" s="436"/>
      <c r="G887" s="436"/>
      <c r="H887" s="436"/>
      <c r="I887" s="436"/>
      <c r="J887" s="436"/>
      <c r="K887" s="436"/>
      <c r="L887" s="436"/>
      <c r="M887" s="436"/>
      <c r="N887" s="436"/>
      <c r="O887" s="436"/>
      <c r="P887" s="436"/>
      <c r="Q887" s="436"/>
      <c r="R887" s="436"/>
      <c r="S887" s="436"/>
      <c r="T887" s="436"/>
      <c r="U887" s="436"/>
      <c r="V887" s="436"/>
    </row>
    <row r="888" spans="1:22" ht="26.25" customHeight="1" x14ac:dyDescent="0.2">
      <c r="A888" s="436"/>
      <c r="B888" s="436"/>
      <c r="C888" s="436"/>
      <c r="D888" s="436"/>
      <c r="E888" s="436"/>
      <c r="F888" s="436"/>
      <c r="G888" s="436"/>
      <c r="H888" s="436"/>
      <c r="I888" s="436"/>
      <c r="J888" s="436"/>
      <c r="K888" s="436"/>
      <c r="L888" s="436"/>
      <c r="M888" s="436"/>
      <c r="N888" s="436"/>
      <c r="O888" s="436"/>
      <c r="P888" s="436"/>
      <c r="Q888" s="436"/>
      <c r="R888" s="436"/>
      <c r="S888" s="436"/>
      <c r="T888" s="436"/>
      <c r="U888" s="436"/>
      <c r="V888" s="436"/>
    </row>
    <row r="889" spans="1:22" ht="26.25" customHeight="1" x14ac:dyDescent="0.2">
      <c r="A889" s="436"/>
      <c r="B889" s="436"/>
      <c r="C889" s="436"/>
      <c r="D889" s="436"/>
      <c r="E889" s="436"/>
      <c r="F889" s="436"/>
      <c r="G889" s="436"/>
      <c r="H889" s="436"/>
      <c r="I889" s="436"/>
      <c r="J889" s="436"/>
      <c r="K889" s="436"/>
      <c r="L889" s="436"/>
      <c r="M889" s="436"/>
      <c r="N889" s="436"/>
      <c r="O889" s="436"/>
      <c r="P889" s="436"/>
      <c r="Q889" s="436"/>
      <c r="R889" s="436"/>
      <c r="S889" s="436"/>
      <c r="T889" s="436"/>
      <c r="U889" s="436"/>
      <c r="V889" s="436"/>
    </row>
    <row r="890" spans="1:22" ht="26.25" customHeight="1" x14ac:dyDescent="0.2">
      <c r="A890" s="436"/>
      <c r="B890" s="436"/>
      <c r="C890" s="436"/>
      <c r="D890" s="436"/>
      <c r="E890" s="436"/>
      <c r="F890" s="436"/>
      <c r="G890" s="436"/>
      <c r="H890" s="436"/>
      <c r="I890" s="436"/>
      <c r="J890" s="436"/>
      <c r="K890" s="436"/>
      <c r="L890" s="436"/>
      <c r="M890" s="436"/>
      <c r="N890" s="436"/>
      <c r="O890" s="436"/>
      <c r="P890" s="436"/>
      <c r="Q890" s="436"/>
      <c r="R890" s="436"/>
      <c r="S890" s="436"/>
      <c r="T890" s="436"/>
      <c r="U890" s="436"/>
      <c r="V890" s="436"/>
    </row>
    <row r="891" spans="1:22" ht="26.25" customHeight="1" x14ac:dyDescent="0.2">
      <c r="A891" s="436"/>
      <c r="B891" s="436"/>
      <c r="C891" s="436"/>
      <c r="D891" s="436"/>
      <c r="E891" s="436"/>
      <c r="F891" s="436"/>
      <c r="G891" s="436"/>
      <c r="H891" s="436"/>
      <c r="I891" s="436"/>
      <c r="J891" s="436"/>
      <c r="K891" s="436"/>
      <c r="L891" s="436"/>
      <c r="M891" s="436"/>
      <c r="N891" s="436"/>
      <c r="O891" s="436"/>
      <c r="P891" s="436"/>
      <c r="Q891" s="436"/>
      <c r="R891" s="436"/>
      <c r="S891" s="436"/>
      <c r="T891" s="436"/>
      <c r="U891" s="436"/>
      <c r="V891" s="436"/>
    </row>
    <row r="892" spans="1:22" ht="26.25" customHeight="1" x14ac:dyDescent="0.2">
      <c r="A892" s="436"/>
      <c r="B892" s="436"/>
      <c r="C892" s="436"/>
      <c r="D892" s="436"/>
      <c r="E892" s="436"/>
      <c r="F892" s="436"/>
      <c r="G892" s="436"/>
      <c r="H892" s="436"/>
      <c r="I892" s="436"/>
      <c r="J892" s="436"/>
      <c r="K892" s="436"/>
      <c r="L892" s="436"/>
      <c r="M892" s="436"/>
      <c r="N892" s="436"/>
      <c r="O892" s="436"/>
      <c r="P892" s="436"/>
      <c r="Q892" s="436"/>
      <c r="R892" s="436"/>
      <c r="S892" s="436"/>
      <c r="T892" s="436"/>
      <c r="U892" s="436"/>
      <c r="V892" s="436"/>
    </row>
    <row r="893" spans="1:22" ht="26.25" customHeight="1" x14ac:dyDescent="0.2">
      <c r="A893" s="436"/>
      <c r="B893" s="436"/>
      <c r="C893" s="436"/>
      <c r="D893" s="436"/>
      <c r="E893" s="436"/>
      <c r="F893" s="436"/>
      <c r="G893" s="436"/>
      <c r="H893" s="436"/>
      <c r="I893" s="436"/>
      <c r="J893" s="436"/>
      <c r="K893" s="436"/>
      <c r="L893" s="436"/>
      <c r="M893" s="436"/>
      <c r="N893" s="436"/>
      <c r="O893" s="436"/>
      <c r="P893" s="436"/>
      <c r="Q893" s="436"/>
      <c r="R893" s="436"/>
      <c r="S893" s="436"/>
      <c r="T893" s="436"/>
      <c r="U893" s="436"/>
      <c r="V893" s="436"/>
    </row>
    <row r="894" spans="1:22" ht="26.25" customHeight="1" x14ac:dyDescent="0.2">
      <c r="A894" s="436"/>
      <c r="B894" s="436"/>
      <c r="C894" s="436"/>
      <c r="D894" s="436"/>
      <c r="E894" s="436"/>
      <c r="F894" s="436"/>
      <c r="G894" s="436"/>
      <c r="H894" s="436"/>
      <c r="I894" s="436"/>
      <c r="J894" s="436"/>
      <c r="K894" s="436"/>
      <c r="L894" s="436"/>
      <c r="M894" s="436"/>
      <c r="N894" s="436"/>
      <c r="O894" s="436"/>
      <c r="P894" s="436"/>
      <c r="Q894" s="436"/>
      <c r="R894" s="436"/>
      <c r="S894" s="436"/>
      <c r="T894" s="436"/>
      <c r="U894" s="436"/>
      <c r="V894" s="436"/>
    </row>
    <row r="895" spans="1:22" ht="26.25" customHeight="1" x14ac:dyDescent="0.2">
      <c r="A895" s="436"/>
      <c r="B895" s="436"/>
      <c r="C895" s="436"/>
      <c r="D895" s="436"/>
      <c r="E895" s="436"/>
      <c r="F895" s="436"/>
      <c r="G895" s="436"/>
      <c r="H895" s="436"/>
      <c r="I895" s="436"/>
      <c r="J895" s="436"/>
      <c r="K895" s="436"/>
      <c r="L895" s="436"/>
      <c r="M895" s="436"/>
      <c r="N895" s="436"/>
      <c r="O895" s="436"/>
      <c r="P895" s="436"/>
      <c r="Q895" s="436"/>
      <c r="R895" s="436"/>
      <c r="S895" s="436"/>
      <c r="T895" s="436"/>
      <c r="U895" s="436"/>
      <c r="V895" s="436"/>
    </row>
    <row r="896" spans="1:22" ht="26.25" customHeight="1" x14ac:dyDescent="0.2">
      <c r="A896" s="436"/>
      <c r="B896" s="436"/>
      <c r="C896" s="436"/>
      <c r="D896" s="436"/>
      <c r="E896" s="436"/>
      <c r="F896" s="436"/>
      <c r="G896" s="436"/>
      <c r="H896" s="436"/>
      <c r="I896" s="436"/>
      <c r="J896" s="436"/>
      <c r="K896" s="436"/>
      <c r="L896" s="436"/>
      <c r="M896" s="436"/>
      <c r="N896" s="436"/>
      <c r="O896" s="436"/>
      <c r="P896" s="436"/>
      <c r="Q896" s="436"/>
      <c r="R896" s="436"/>
      <c r="S896" s="436"/>
      <c r="T896" s="436"/>
      <c r="U896" s="436"/>
      <c r="V896" s="436"/>
    </row>
    <row r="897" spans="1:22" ht="26.25" customHeight="1" x14ac:dyDescent="0.2">
      <c r="A897" s="436"/>
      <c r="B897" s="436"/>
      <c r="C897" s="436"/>
      <c r="D897" s="436"/>
      <c r="E897" s="436"/>
      <c r="F897" s="436"/>
      <c r="G897" s="436"/>
      <c r="H897" s="436"/>
      <c r="I897" s="436"/>
      <c r="J897" s="436"/>
      <c r="K897" s="436"/>
      <c r="L897" s="436"/>
      <c r="M897" s="436"/>
      <c r="N897" s="436"/>
      <c r="O897" s="436"/>
      <c r="P897" s="436"/>
      <c r="Q897" s="436"/>
      <c r="R897" s="436"/>
      <c r="S897" s="436"/>
      <c r="T897" s="436"/>
      <c r="U897" s="436"/>
      <c r="V897" s="436"/>
    </row>
    <row r="898" spans="1:22" ht="26.25" customHeight="1" x14ac:dyDescent="0.2">
      <c r="A898" s="436"/>
      <c r="B898" s="436"/>
      <c r="C898" s="436"/>
      <c r="D898" s="436"/>
      <c r="E898" s="436"/>
      <c r="F898" s="436"/>
      <c r="G898" s="436"/>
      <c r="H898" s="436"/>
      <c r="I898" s="436"/>
      <c r="J898" s="436"/>
      <c r="K898" s="436"/>
      <c r="L898" s="436"/>
      <c r="M898" s="436"/>
      <c r="N898" s="436"/>
      <c r="O898" s="436"/>
      <c r="P898" s="436"/>
      <c r="Q898" s="436"/>
      <c r="R898" s="436"/>
      <c r="S898" s="436"/>
      <c r="T898" s="436"/>
      <c r="U898" s="436"/>
      <c r="V898" s="436"/>
    </row>
    <row r="899" spans="1:22" ht="26.25" customHeight="1" x14ac:dyDescent="0.2">
      <c r="A899" s="436"/>
      <c r="B899" s="436"/>
      <c r="C899" s="436"/>
      <c r="D899" s="436"/>
      <c r="E899" s="436"/>
      <c r="F899" s="436"/>
      <c r="G899" s="436"/>
      <c r="H899" s="436"/>
      <c r="I899" s="436"/>
      <c r="J899" s="436"/>
      <c r="K899" s="436"/>
      <c r="L899" s="436"/>
      <c r="M899" s="436"/>
      <c r="N899" s="436"/>
      <c r="O899" s="436"/>
      <c r="P899" s="436"/>
      <c r="Q899" s="436"/>
      <c r="R899" s="436"/>
      <c r="S899" s="436"/>
      <c r="T899" s="436"/>
      <c r="U899" s="436"/>
      <c r="V899" s="436"/>
    </row>
    <row r="900" spans="1:22" ht="26.25" customHeight="1" x14ac:dyDescent="0.2">
      <c r="A900" s="436"/>
      <c r="B900" s="436"/>
      <c r="C900" s="436"/>
      <c r="D900" s="436"/>
      <c r="E900" s="436"/>
      <c r="F900" s="436"/>
      <c r="G900" s="436"/>
      <c r="H900" s="436"/>
      <c r="I900" s="436"/>
      <c r="J900" s="436"/>
      <c r="K900" s="436"/>
      <c r="L900" s="436"/>
      <c r="M900" s="436"/>
      <c r="N900" s="436"/>
      <c r="O900" s="436"/>
      <c r="P900" s="436"/>
      <c r="Q900" s="436"/>
      <c r="R900" s="436"/>
      <c r="S900" s="436"/>
      <c r="T900" s="436"/>
      <c r="U900" s="436"/>
      <c r="V900" s="436"/>
    </row>
    <row r="901" spans="1:22" ht="26.25" customHeight="1" x14ac:dyDescent="0.2">
      <c r="A901" s="436"/>
      <c r="B901" s="436"/>
      <c r="C901" s="436"/>
      <c r="D901" s="436"/>
      <c r="E901" s="436"/>
      <c r="F901" s="436"/>
      <c r="G901" s="436"/>
      <c r="H901" s="436"/>
      <c r="I901" s="436"/>
      <c r="J901" s="436"/>
      <c r="K901" s="436"/>
      <c r="L901" s="436"/>
      <c r="M901" s="436"/>
      <c r="N901" s="436"/>
      <c r="O901" s="436"/>
      <c r="P901" s="436"/>
      <c r="Q901" s="436"/>
      <c r="R901" s="436"/>
      <c r="S901" s="436"/>
      <c r="T901" s="436"/>
      <c r="U901" s="436"/>
      <c r="V901" s="436"/>
    </row>
    <row r="902" spans="1:22" ht="26.25" customHeight="1" x14ac:dyDescent="0.2">
      <c r="A902" s="436"/>
      <c r="B902" s="436"/>
      <c r="C902" s="436"/>
      <c r="D902" s="436"/>
      <c r="E902" s="436"/>
      <c r="F902" s="436"/>
      <c r="G902" s="436"/>
      <c r="H902" s="436"/>
      <c r="I902" s="436"/>
      <c r="J902" s="436"/>
      <c r="K902" s="436"/>
      <c r="L902" s="436"/>
      <c r="M902" s="436"/>
      <c r="N902" s="436"/>
      <c r="O902" s="436"/>
      <c r="P902" s="436"/>
      <c r="Q902" s="436"/>
      <c r="R902" s="436"/>
      <c r="S902" s="436"/>
      <c r="T902" s="436"/>
      <c r="U902" s="436"/>
      <c r="V902" s="436"/>
    </row>
    <row r="903" spans="1:22" ht="26.25" customHeight="1" x14ac:dyDescent="0.2">
      <c r="A903" s="436"/>
      <c r="B903" s="436"/>
      <c r="C903" s="436"/>
      <c r="D903" s="436"/>
      <c r="E903" s="436"/>
      <c r="F903" s="436"/>
      <c r="G903" s="436"/>
      <c r="H903" s="436"/>
      <c r="I903" s="436"/>
      <c r="J903" s="436"/>
      <c r="K903" s="436"/>
      <c r="L903" s="436"/>
      <c r="M903" s="436"/>
      <c r="N903" s="436"/>
      <c r="O903" s="436"/>
      <c r="P903" s="436"/>
      <c r="Q903" s="436"/>
      <c r="R903" s="436"/>
      <c r="S903" s="436"/>
      <c r="T903" s="436"/>
      <c r="U903" s="436"/>
      <c r="V903" s="436"/>
    </row>
    <row r="904" spans="1:22" ht="26.25" customHeight="1" x14ac:dyDescent="0.2">
      <c r="A904" s="436"/>
      <c r="B904" s="436"/>
      <c r="C904" s="436"/>
      <c r="D904" s="436"/>
      <c r="E904" s="436"/>
      <c r="F904" s="436"/>
      <c r="G904" s="436"/>
      <c r="H904" s="436"/>
      <c r="I904" s="436"/>
      <c r="J904" s="436"/>
      <c r="K904" s="436"/>
      <c r="L904" s="436"/>
      <c r="M904" s="436"/>
      <c r="N904" s="436"/>
      <c r="O904" s="436"/>
      <c r="P904" s="436"/>
      <c r="Q904" s="436"/>
      <c r="R904" s="436"/>
      <c r="S904" s="436"/>
      <c r="T904" s="436"/>
      <c r="U904" s="436"/>
      <c r="V904" s="436"/>
    </row>
    <row r="905" spans="1:22" ht="26.25" customHeight="1" x14ac:dyDescent="0.2">
      <c r="A905" s="436"/>
      <c r="B905" s="436"/>
      <c r="C905" s="436"/>
      <c r="D905" s="436"/>
      <c r="E905" s="436"/>
      <c r="F905" s="436"/>
      <c r="G905" s="436"/>
      <c r="H905" s="436"/>
      <c r="I905" s="436"/>
      <c r="J905" s="436"/>
      <c r="K905" s="436"/>
      <c r="L905" s="436"/>
      <c r="M905" s="436"/>
      <c r="N905" s="436"/>
      <c r="O905" s="436"/>
      <c r="P905" s="436"/>
      <c r="Q905" s="436"/>
      <c r="R905" s="436"/>
      <c r="S905" s="436"/>
      <c r="T905" s="436"/>
      <c r="U905" s="436"/>
      <c r="V905" s="436"/>
    </row>
    <row r="906" spans="1:22" ht="26.25" customHeight="1" x14ac:dyDescent="0.2">
      <c r="A906" s="436"/>
      <c r="B906" s="436"/>
      <c r="C906" s="436"/>
      <c r="D906" s="436"/>
      <c r="E906" s="436"/>
      <c r="F906" s="436"/>
      <c r="G906" s="436"/>
      <c r="H906" s="436"/>
      <c r="I906" s="436"/>
      <c r="J906" s="436"/>
      <c r="K906" s="436"/>
      <c r="L906" s="436"/>
      <c r="M906" s="436"/>
      <c r="N906" s="436"/>
      <c r="O906" s="436"/>
      <c r="P906" s="436"/>
      <c r="Q906" s="436"/>
      <c r="R906" s="436"/>
      <c r="S906" s="436"/>
      <c r="T906" s="436"/>
      <c r="U906" s="436"/>
      <c r="V906" s="436"/>
    </row>
    <row r="907" spans="1:22" ht="26.25" customHeight="1" x14ac:dyDescent="0.2">
      <c r="A907" s="436"/>
      <c r="B907" s="436"/>
      <c r="C907" s="436"/>
      <c r="D907" s="436"/>
      <c r="E907" s="436"/>
      <c r="F907" s="436"/>
      <c r="G907" s="436"/>
      <c r="H907" s="436"/>
      <c r="I907" s="436"/>
      <c r="J907" s="436"/>
      <c r="K907" s="436"/>
      <c r="L907" s="436"/>
      <c r="M907" s="436"/>
      <c r="N907" s="436"/>
      <c r="O907" s="436"/>
      <c r="P907" s="436"/>
      <c r="Q907" s="436"/>
      <c r="R907" s="436"/>
      <c r="S907" s="436"/>
      <c r="T907" s="436"/>
      <c r="U907" s="436"/>
      <c r="V907" s="436"/>
    </row>
    <row r="908" spans="1:22" ht="26.25" customHeight="1" x14ac:dyDescent="0.2">
      <c r="A908" s="436"/>
      <c r="B908" s="436"/>
      <c r="C908" s="436"/>
      <c r="D908" s="436"/>
      <c r="E908" s="436"/>
      <c r="F908" s="436"/>
      <c r="G908" s="436"/>
      <c r="H908" s="436"/>
      <c r="I908" s="436"/>
      <c r="J908" s="436"/>
      <c r="K908" s="436"/>
      <c r="L908" s="436"/>
      <c r="M908" s="436"/>
      <c r="N908" s="436"/>
      <c r="O908" s="436"/>
      <c r="P908" s="436"/>
      <c r="Q908" s="436"/>
      <c r="R908" s="436"/>
      <c r="S908" s="436"/>
      <c r="T908" s="436"/>
      <c r="U908" s="436"/>
      <c r="V908" s="436"/>
    </row>
    <row r="909" spans="1:22" ht="26.25" customHeight="1" x14ac:dyDescent="0.2">
      <c r="A909" s="436"/>
      <c r="B909" s="436"/>
      <c r="C909" s="436"/>
      <c r="D909" s="436"/>
      <c r="E909" s="436"/>
      <c r="F909" s="436"/>
      <c r="G909" s="436"/>
      <c r="H909" s="436"/>
      <c r="I909" s="436"/>
      <c r="J909" s="436"/>
      <c r="K909" s="436"/>
      <c r="L909" s="436"/>
      <c r="M909" s="436"/>
      <c r="N909" s="436"/>
      <c r="O909" s="436"/>
      <c r="P909" s="436"/>
      <c r="Q909" s="436"/>
      <c r="R909" s="436"/>
      <c r="S909" s="436"/>
      <c r="T909" s="436"/>
      <c r="U909" s="436"/>
      <c r="V909" s="436"/>
    </row>
    <row r="910" spans="1:22" ht="26.25" customHeight="1" x14ac:dyDescent="0.2">
      <c r="A910" s="436"/>
      <c r="B910" s="436"/>
      <c r="C910" s="436"/>
      <c r="D910" s="436"/>
      <c r="E910" s="436"/>
      <c r="F910" s="436"/>
      <c r="G910" s="436"/>
      <c r="H910" s="436"/>
      <c r="I910" s="436"/>
      <c r="J910" s="436"/>
      <c r="K910" s="436"/>
      <c r="L910" s="436"/>
      <c r="M910" s="436"/>
      <c r="N910" s="436"/>
      <c r="O910" s="436"/>
      <c r="P910" s="436"/>
      <c r="Q910" s="436"/>
      <c r="R910" s="436"/>
      <c r="S910" s="436"/>
      <c r="T910" s="436"/>
      <c r="U910" s="436"/>
      <c r="V910" s="436"/>
    </row>
    <row r="911" spans="1:22" ht="26.25" customHeight="1" x14ac:dyDescent="0.2">
      <c r="A911" s="436"/>
      <c r="B911" s="436"/>
      <c r="C911" s="436"/>
      <c r="D911" s="436"/>
      <c r="E911" s="436"/>
      <c r="F911" s="436"/>
      <c r="G911" s="436"/>
      <c r="H911" s="436"/>
      <c r="I911" s="436"/>
      <c r="J911" s="436"/>
      <c r="K911" s="436"/>
      <c r="L911" s="436"/>
      <c r="M911" s="436"/>
      <c r="N911" s="436"/>
      <c r="O911" s="436"/>
      <c r="P911" s="436"/>
      <c r="Q911" s="436"/>
      <c r="R911" s="436"/>
      <c r="S911" s="436"/>
      <c r="T911" s="436"/>
      <c r="U911" s="436"/>
      <c r="V911" s="436"/>
    </row>
    <row r="912" spans="1:22" ht="26.25" customHeight="1" x14ac:dyDescent="0.2">
      <c r="A912" s="436"/>
      <c r="B912" s="436"/>
      <c r="C912" s="436"/>
      <c r="D912" s="436"/>
      <c r="E912" s="436"/>
      <c r="F912" s="436"/>
      <c r="G912" s="436"/>
      <c r="H912" s="436"/>
      <c r="I912" s="436"/>
      <c r="J912" s="436"/>
      <c r="K912" s="436"/>
      <c r="L912" s="436"/>
      <c r="M912" s="436"/>
      <c r="N912" s="436"/>
      <c r="O912" s="436"/>
      <c r="P912" s="436"/>
      <c r="Q912" s="436"/>
      <c r="R912" s="436"/>
      <c r="S912" s="436"/>
      <c r="T912" s="436"/>
      <c r="U912" s="436"/>
      <c r="V912" s="436"/>
    </row>
    <row r="913" spans="1:22" ht="26.25" customHeight="1" x14ac:dyDescent="0.2">
      <c r="A913" s="436"/>
      <c r="B913" s="436"/>
      <c r="C913" s="436"/>
      <c r="D913" s="436"/>
      <c r="E913" s="436"/>
      <c r="F913" s="436"/>
      <c r="G913" s="436"/>
      <c r="H913" s="436"/>
      <c r="I913" s="436"/>
      <c r="J913" s="436"/>
      <c r="K913" s="436"/>
      <c r="L913" s="436"/>
      <c r="M913" s="436"/>
      <c r="N913" s="436"/>
      <c r="O913" s="436"/>
      <c r="P913" s="436"/>
      <c r="Q913" s="436"/>
      <c r="R913" s="436"/>
      <c r="S913" s="436"/>
      <c r="T913" s="436"/>
      <c r="U913" s="436"/>
      <c r="V913" s="436"/>
    </row>
    <row r="914" spans="1:22" ht="26.25" customHeight="1" x14ac:dyDescent="0.2">
      <c r="A914" s="436"/>
      <c r="B914" s="436"/>
      <c r="C914" s="436"/>
      <c r="D914" s="436"/>
      <c r="E914" s="436"/>
      <c r="F914" s="436"/>
      <c r="G914" s="436"/>
      <c r="H914" s="436"/>
      <c r="I914" s="436"/>
      <c r="J914" s="436"/>
      <c r="K914" s="436"/>
      <c r="L914" s="436"/>
      <c r="M914" s="436"/>
      <c r="N914" s="436"/>
      <c r="O914" s="436"/>
      <c r="P914" s="436"/>
      <c r="Q914" s="436"/>
      <c r="R914" s="436"/>
      <c r="S914" s="436"/>
      <c r="T914" s="436"/>
      <c r="U914" s="436"/>
      <c r="V914" s="436"/>
    </row>
    <row r="915" spans="1:22" ht="26.25" customHeight="1" x14ac:dyDescent="0.2">
      <c r="A915" s="436"/>
      <c r="B915" s="436"/>
      <c r="C915" s="436"/>
      <c r="D915" s="436"/>
      <c r="E915" s="436"/>
      <c r="F915" s="436"/>
      <c r="G915" s="436"/>
      <c r="H915" s="436"/>
      <c r="I915" s="436"/>
      <c r="J915" s="436"/>
      <c r="K915" s="436"/>
      <c r="L915" s="436"/>
      <c r="M915" s="436"/>
      <c r="N915" s="436"/>
      <c r="O915" s="436"/>
      <c r="P915" s="436"/>
      <c r="Q915" s="436"/>
      <c r="R915" s="436"/>
      <c r="S915" s="436"/>
      <c r="T915" s="436"/>
      <c r="U915" s="436"/>
      <c r="V915" s="436"/>
    </row>
    <row r="916" spans="1:22" ht="26.25" customHeight="1" x14ac:dyDescent="0.2">
      <c r="A916" s="436"/>
      <c r="B916" s="436"/>
      <c r="C916" s="436"/>
      <c r="D916" s="436"/>
      <c r="E916" s="436"/>
      <c r="F916" s="436"/>
      <c r="G916" s="436"/>
      <c r="H916" s="436"/>
      <c r="I916" s="436"/>
      <c r="J916" s="436"/>
      <c r="K916" s="436"/>
      <c r="L916" s="436"/>
      <c r="M916" s="436"/>
      <c r="N916" s="436"/>
      <c r="O916" s="436"/>
      <c r="P916" s="436"/>
      <c r="Q916" s="436"/>
      <c r="R916" s="436"/>
      <c r="S916" s="436"/>
      <c r="T916" s="436"/>
      <c r="U916" s="436"/>
      <c r="V916" s="436"/>
    </row>
    <row r="917" spans="1:22" ht="26.25" customHeight="1" x14ac:dyDescent="0.2">
      <c r="A917" s="436"/>
      <c r="B917" s="436"/>
      <c r="C917" s="436"/>
      <c r="D917" s="436"/>
      <c r="E917" s="436"/>
      <c r="F917" s="436"/>
      <c r="G917" s="436"/>
      <c r="H917" s="436"/>
      <c r="I917" s="436"/>
      <c r="J917" s="436"/>
      <c r="K917" s="436"/>
      <c r="L917" s="436"/>
      <c r="M917" s="436"/>
      <c r="N917" s="436"/>
      <c r="O917" s="436"/>
      <c r="P917" s="436"/>
      <c r="Q917" s="436"/>
      <c r="R917" s="436"/>
      <c r="S917" s="436"/>
      <c r="T917" s="436"/>
      <c r="U917" s="436"/>
      <c r="V917" s="436"/>
    </row>
    <row r="918" spans="1:22" ht="26.25" customHeight="1" x14ac:dyDescent="0.2">
      <c r="A918" s="436"/>
      <c r="B918" s="436"/>
      <c r="C918" s="436"/>
      <c r="D918" s="436"/>
      <c r="E918" s="436"/>
      <c r="F918" s="436"/>
      <c r="G918" s="436"/>
      <c r="H918" s="436"/>
      <c r="I918" s="436"/>
      <c r="J918" s="436"/>
      <c r="K918" s="436"/>
      <c r="L918" s="436"/>
      <c r="M918" s="436"/>
      <c r="N918" s="436"/>
      <c r="O918" s="436"/>
      <c r="P918" s="436"/>
      <c r="Q918" s="436"/>
      <c r="R918" s="436"/>
      <c r="S918" s="436"/>
      <c r="T918" s="436"/>
      <c r="U918" s="436"/>
      <c r="V918" s="436"/>
    </row>
    <row r="919" spans="1:22" ht="26.25" customHeight="1" x14ac:dyDescent="0.2">
      <c r="A919" s="436"/>
      <c r="B919" s="436"/>
      <c r="C919" s="436"/>
      <c r="D919" s="436"/>
      <c r="E919" s="436"/>
      <c r="F919" s="436"/>
      <c r="G919" s="436"/>
      <c r="H919" s="436"/>
      <c r="I919" s="436"/>
      <c r="J919" s="436"/>
      <c r="K919" s="436"/>
      <c r="L919" s="436"/>
      <c r="M919" s="436"/>
      <c r="N919" s="436"/>
      <c r="O919" s="436"/>
      <c r="P919" s="436"/>
      <c r="Q919" s="436"/>
      <c r="R919" s="436"/>
      <c r="S919" s="436"/>
      <c r="T919" s="436"/>
      <c r="U919" s="436"/>
      <c r="V919" s="436"/>
    </row>
    <row r="920" spans="1:22" ht="26.25" customHeight="1" x14ac:dyDescent="0.2">
      <c r="A920" s="436"/>
      <c r="B920" s="436"/>
      <c r="C920" s="436"/>
      <c r="D920" s="436"/>
      <c r="E920" s="436"/>
      <c r="F920" s="436"/>
      <c r="G920" s="436"/>
      <c r="H920" s="436"/>
      <c r="I920" s="436"/>
      <c r="J920" s="436"/>
      <c r="K920" s="436"/>
      <c r="L920" s="436"/>
      <c r="M920" s="436"/>
      <c r="N920" s="436"/>
      <c r="O920" s="436"/>
      <c r="P920" s="436"/>
      <c r="Q920" s="436"/>
      <c r="R920" s="436"/>
      <c r="S920" s="436"/>
      <c r="T920" s="436"/>
      <c r="U920" s="436"/>
      <c r="V920" s="436"/>
    </row>
    <row r="921" spans="1:22" ht="26.25" customHeight="1" x14ac:dyDescent="0.2">
      <c r="A921" s="436"/>
      <c r="B921" s="436"/>
      <c r="C921" s="436"/>
      <c r="D921" s="436"/>
      <c r="E921" s="436"/>
      <c r="F921" s="436"/>
      <c r="G921" s="436"/>
      <c r="H921" s="436"/>
      <c r="I921" s="436"/>
      <c r="J921" s="436"/>
      <c r="K921" s="436"/>
      <c r="L921" s="436"/>
      <c r="M921" s="436"/>
      <c r="N921" s="436"/>
      <c r="O921" s="436"/>
      <c r="P921" s="436"/>
      <c r="Q921" s="436"/>
      <c r="R921" s="436"/>
      <c r="S921" s="436"/>
      <c r="T921" s="436"/>
      <c r="U921" s="436"/>
      <c r="V921" s="436"/>
    </row>
    <row r="922" spans="1:22" ht="26.25" customHeight="1" x14ac:dyDescent="0.2">
      <c r="A922" s="436"/>
      <c r="B922" s="436"/>
      <c r="C922" s="436"/>
      <c r="D922" s="436"/>
      <c r="E922" s="436"/>
      <c r="F922" s="436"/>
      <c r="G922" s="436"/>
      <c r="H922" s="436"/>
      <c r="I922" s="436"/>
      <c r="J922" s="436"/>
      <c r="K922" s="436"/>
      <c r="L922" s="436"/>
      <c r="M922" s="436"/>
      <c r="N922" s="436"/>
      <c r="O922" s="436"/>
      <c r="P922" s="436"/>
      <c r="Q922" s="436"/>
      <c r="R922" s="436"/>
      <c r="S922" s="436"/>
      <c r="T922" s="436"/>
      <c r="U922" s="436"/>
      <c r="V922" s="436"/>
    </row>
    <row r="923" spans="1:22" ht="26.25" customHeight="1" x14ac:dyDescent="0.2">
      <c r="A923" s="436"/>
      <c r="B923" s="436"/>
      <c r="C923" s="436"/>
      <c r="D923" s="436"/>
      <c r="E923" s="436"/>
      <c r="F923" s="436"/>
      <c r="G923" s="436"/>
      <c r="H923" s="436"/>
      <c r="I923" s="436"/>
      <c r="J923" s="436"/>
      <c r="K923" s="436"/>
      <c r="L923" s="436"/>
      <c r="M923" s="436"/>
      <c r="N923" s="436"/>
      <c r="O923" s="436"/>
      <c r="P923" s="436"/>
      <c r="Q923" s="436"/>
      <c r="R923" s="436"/>
      <c r="S923" s="436"/>
      <c r="T923" s="436"/>
      <c r="U923" s="436"/>
      <c r="V923" s="436"/>
    </row>
    <row r="924" spans="1:22" ht="26.25" customHeight="1" x14ac:dyDescent="0.2">
      <c r="A924" s="436"/>
      <c r="B924" s="436"/>
      <c r="C924" s="436"/>
      <c r="D924" s="436"/>
      <c r="E924" s="436"/>
      <c r="F924" s="436"/>
      <c r="G924" s="436"/>
      <c r="H924" s="436"/>
      <c r="I924" s="436"/>
      <c r="J924" s="436"/>
      <c r="K924" s="436"/>
      <c r="L924" s="436"/>
      <c r="M924" s="436"/>
      <c r="N924" s="436"/>
      <c r="O924" s="436"/>
      <c r="P924" s="436"/>
      <c r="Q924" s="436"/>
      <c r="R924" s="436"/>
      <c r="S924" s="436"/>
      <c r="T924" s="436"/>
      <c r="U924" s="436"/>
      <c r="V924" s="436"/>
    </row>
    <row r="925" spans="1:22" ht="26.25" customHeight="1" x14ac:dyDescent="0.2">
      <c r="A925" s="436"/>
      <c r="B925" s="436"/>
      <c r="C925" s="436"/>
      <c r="D925" s="436"/>
      <c r="E925" s="436"/>
      <c r="F925" s="436"/>
      <c r="G925" s="436"/>
      <c r="H925" s="436"/>
      <c r="I925" s="436"/>
      <c r="J925" s="436"/>
      <c r="K925" s="436"/>
      <c r="L925" s="436"/>
      <c r="M925" s="436"/>
      <c r="N925" s="436"/>
      <c r="O925" s="436"/>
      <c r="P925" s="436"/>
      <c r="Q925" s="436"/>
      <c r="R925" s="436"/>
      <c r="S925" s="436"/>
      <c r="T925" s="436"/>
      <c r="U925" s="436"/>
      <c r="V925" s="436"/>
    </row>
    <row r="926" spans="1:22" ht="26.25" customHeight="1" x14ac:dyDescent="0.2">
      <c r="A926" s="436"/>
      <c r="B926" s="436"/>
      <c r="C926" s="436"/>
      <c r="D926" s="436"/>
      <c r="E926" s="436"/>
      <c r="F926" s="436"/>
      <c r="G926" s="436"/>
      <c r="H926" s="436"/>
      <c r="I926" s="436"/>
      <c r="J926" s="436"/>
      <c r="K926" s="436"/>
      <c r="L926" s="436"/>
      <c r="M926" s="436"/>
      <c r="N926" s="436"/>
      <c r="O926" s="436"/>
      <c r="P926" s="436"/>
      <c r="Q926" s="436"/>
      <c r="R926" s="436"/>
      <c r="S926" s="436"/>
      <c r="T926" s="436"/>
      <c r="U926" s="436"/>
      <c r="V926" s="436"/>
    </row>
    <row r="927" spans="1:22" ht="26.25" customHeight="1" x14ac:dyDescent="0.2">
      <c r="A927" s="436"/>
      <c r="B927" s="436"/>
      <c r="C927" s="436"/>
      <c r="D927" s="436"/>
      <c r="E927" s="436"/>
      <c r="F927" s="436"/>
      <c r="G927" s="436"/>
      <c r="H927" s="436"/>
      <c r="I927" s="436"/>
      <c r="J927" s="436"/>
      <c r="K927" s="436"/>
      <c r="L927" s="436"/>
      <c r="M927" s="436"/>
      <c r="N927" s="436"/>
      <c r="O927" s="436"/>
      <c r="P927" s="436"/>
      <c r="Q927" s="436"/>
      <c r="R927" s="436"/>
      <c r="S927" s="436"/>
      <c r="T927" s="436"/>
      <c r="U927" s="436"/>
      <c r="V927" s="436"/>
    </row>
    <row r="928" spans="1:22" ht="26.25" customHeight="1" x14ac:dyDescent="0.2">
      <c r="A928" s="436"/>
      <c r="B928" s="436"/>
      <c r="C928" s="436"/>
      <c r="D928" s="436"/>
      <c r="E928" s="436"/>
      <c r="F928" s="436"/>
      <c r="G928" s="436"/>
      <c r="H928" s="436"/>
      <c r="I928" s="436"/>
      <c r="J928" s="436"/>
      <c r="K928" s="436"/>
      <c r="L928" s="436"/>
      <c r="M928" s="436"/>
      <c r="N928" s="436"/>
      <c r="O928" s="436"/>
      <c r="P928" s="436"/>
      <c r="Q928" s="436"/>
      <c r="R928" s="436"/>
      <c r="S928" s="436"/>
      <c r="T928" s="436"/>
      <c r="U928" s="436"/>
      <c r="V928" s="436"/>
    </row>
    <row r="929" spans="1:22" ht="26.25" customHeight="1" x14ac:dyDescent="0.2">
      <c r="A929" s="436"/>
      <c r="B929" s="436"/>
      <c r="C929" s="436"/>
      <c r="D929" s="436"/>
      <c r="E929" s="436"/>
      <c r="F929" s="436"/>
      <c r="G929" s="436"/>
      <c r="H929" s="436"/>
      <c r="I929" s="436"/>
      <c r="J929" s="436"/>
      <c r="K929" s="436"/>
      <c r="L929" s="436"/>
      <c r="M929" s="436"/>
      <c r="N929" s="436"/>
      <c r="O929" s="436"/>
      <c r="P929" s="436"/>
      <c r="Q929" s="436"/>
      <c r="R929" s="436"/>
      <c r="S929" s="436"/>
      <c r="T929" s="436"/>
      <c r="U929" s="436"/>
      <c r="V929" s="436"/>
    </row>
    <row r="930" spans="1:22" ht="26.25" customHeight="1" x14ac:dyDescent="0.2">
      <c r="A930" s="436"/>
      <c r="B930" s="436"/>
      <c r="C930" s="436"/>
      <c r="D930" s="436"/>
      <c r="E930" s="436"/>
      <c r="F930" s="436"/>
      <c r="G930" s="436"/>
      <c r="H930" s="436"/>
      <c r="I930" s="436"/>
      <c r="J930" s="436"/>
      <c r="K930" s="436"/>
      <c r="L930" s="436"/>
      <c r="M930" s="436"/>
      <c r="N930" s="436"/>
      <c r="O930" s="436"/>
      <c r="P930" s="436"/>
      <c r="Q930" s="436"/>
      <c r="R930" s="436"/>
      <c r="S930" s="436"/>
      <c r="T930" s="436"/>
      <c r="U930" s="436"/>
      <c r="V930" s="436"/>
    </row>
    <row r="931" spans="1:22" ht="26.25" customHeight="1" x14ac:dyDescent="0.2">
      <c r="A931" s="436"/>
      <c r="B931" s="436"/>
      <c r="C931" s="436"/>
      <c r="D931" s="436"/>
      <c r="E931" s="436"/>
      <c r="F931" s="436"/>
      <c r="G931" s="436"/>
      <c r="H931" s="436"/>
      <c r="I931" s="436"/>
      <c r="J931" s="436"/>
      <c r="K931" s="436"/>
      <c r="L931" s="436"/>
      <c r="M931" s="436"/>
      <c r="N931" s="436"/>
      <c r="O931" s="436"/>
      <c r="P931" s="436"/>
      <c r="Q931" s="436"/>
      <c r="R931" s="436"/>
      <c r="S931" s="436"/>
      <c r="T931" s="436"/>
      <c r="U931" s="436"/>
      <c r="V931" s="436"/>
    </row>
    <row r="932" spans="1:22" ht="26.25" customHeight="1" x14ac:dyDescent="0.2">
      <c r="A932" s="436"/>
      <c r="B932" s="436"/>
      <c r="C932" s="436"/>
      <c r="D932" s="436"/>
      <c r="E932" s="436"/>
      <c r="F932" s="436"/>
      <c r="G932" s="436"/>
      <c r="H932" s="436"/>
      <c r="I932" s="436"/>
      <c r="J932" s="436"/>
      <c r="K932" s="436"/>
      <c r="L932" s="436"/>
      <c r="M932" s="436"/>
      <c r="N932" s="436"/>
      <c r="O932" s="436"/>
      <c r="P932" s="436"/>
      <c r="Q932" s="436"/>
      <c r="R932" s="436"/>
      <c r="S932" s="436"/>
      <c r="T932" s="436"/>
      <c r="U932" s="436"/>
      <c r="V932" s="436"/>
    </row>
    <row r="933" spans="1:22" ht="26.25" customHeight="1" x14ac:dyDescent="0.2">
      <c r="A933" s="436"/>
      <c r="B933" s="436"/>
      <c r="C933" s="436"/>
      <c r="D933" s="436"/>
      <c r="E933" s="436"/>
      <c r="F933" s="436"/>
      <c r="G933" s="436"/>
      <c r="H933" s="436"/>
      <c r="I933" s="436"/>
      <c r="J933" s="436"/>
      <c r="K933" s="436"/>
      <c r="L933" s="436"/>
      <c r="M933" s="436"/>
      <c r="N933" s="436"/>
      <c r="O933" s="436"/>
      <c r="P933" s="436"/>
      <c r="Q933" s="436"/>
      <c r="R933" s="436"/>
      <c r="S933" s="436"/>
      <c r="T933" s="436"/>
      <c r="U933" s="436"/>
      <c r="V933" s="436"/>
    </row>
    <row r="934" spans="1:22" ht="26.25" customHeight="1" x14ac:dyDescent="0.2">
      <c r="A934" s="436"/>
      <c r="B934" s="436"/>
      <c r="C934" s="436"/>
      <c r="D934" s="436"/>
      <c r="E934" s="436"/>
      <c r="F934" s="436"/>
      <c r="G934" s="436"/>
      <c r="H934" s="436"/>
      <c r="I934" s="436"/>
      <c r="J934" s="436"/>
      <c r="K934" s="436"/>
      <c r="L934" s="436"/>
      <c r="M934" s="436"/>
      <c r="N934" s="436"/>
      <c r="O934" s="436"/>
      <c r="P934" s="436"/>
      <c r="Q934" s="436"/>
      <c r="R934" s="436"/>
      <c r="S934" s="436"/>
      <c r="T934" s="436"/>
      <c r="U934" s="436"/>
      <c r="V934" s="436"/>
    </row>
    <row r="935" spans="1:22" ht="26.25" customHeight="1" x14ac:dyDescent="0.2">
      <c r="A935" s="436"/>
      <c r="B935" s="436"/>
      <c r="C935" s="436"/>
      <c r="D935" s="436"/>
      <c r="E935" s="436"/>
      <c r="F935" s="436"/>
      <c r="G935" s="436"/>
      <c r="H935" s="436"/>
      <c r="I935" s="436"/>
      <c r="J935" s="436"/>
      <c r="K935" s="436"/>
      <c r="L935" s="436"/>
      <c r="M935" s="436"/>
      <c r="N935" s="436"/>
      <c r="O935" s="436"/>
      <c r="P935" s="436"/>
      <c r="Q935" s="436"/>
      <c r="R935" s="436"/>
      <c r="S935" s="436"/>
      <c r="T935" s="436"/>
      <c r="U935" s="436"/>
      <c r="V935" s="436"/>
    </row>
    <row r="936" spans="1:22" ht="26.25" customHeight="1" x14ac:dyDescent="0.2">
      <c r="A936" s="436"/>
      <c r="B936" s="436"/>
      <c r="C936" s="436"/>
      <c r="D936" s="436"/>
      <c r="E936" s="436"/>
      <c r="F936" s="436"/>
      <c r="G936" s="436"/>
      <c r="H936" s="436"/>
      <c r="I936" s="436"/>
      <c r="J936" s="436"/>
      <c r="K936" s="436"/>
      <c r="L936" s="436"/>
      <c r="M936" s="436"/>
      <c r="N936" s="436"/>
      <c r="O936" s="436"/>
      <c r="P936" s="436"/>
      <c r="Q936" s="436"/>
      <c r="R936" s="436"/>
      <c r="S936" s="436"/>
      <c r="T936" s="436"/>
      <c r="U936" s="436"/>
      <c r="V936" s="436"/>
    </row>
    <row r="937" spans="1:22" ht="26.25" customHeight="1" x14ac:dyDescent="0.2">
      <c r="A937" s="436"/>
      <c r="B937" s="436"/>
      <c r="C937" s="436"/>
      <c r="D937" s="436"/>
      <c r="E937" s="436"/>
      <c r="F937" s="436"/>
      <c r="G937" s="436"/>
      <c r="H937" s="436"/>
      <c r="I937" s="436"/>
      <c r="J937" s="436"/>
      <c r="K937" s="436"/>
      <c r="L937" s="436"/>
      <c r="M937" s="436"/>
      <c r="N937" s="436"/>
      <c r="O937" s="436"/>
      <c r="P937" s="436"/>
      <c r="Q937" s="436"/>
      <c r="R937" s="436"/>
      <c r="S937" s="436"/>
      <c r="T937" s="436"/>
      <c r="U937" s="436"/>
      <c r="V937" s="436"/>
    </row>
    <row r="938" spans="1:22" ht="26.25" customHeight="1" x14ac:dyDescent="0.2">
      <c r="A938" s="436"/>
      <c r="B938" s="436"/>
      <c r="C938" s="436"/>
      <c r="D938" s="436"/>
      <c r="E938" s="436"/>
      <c r="F938" s="436"/>
      <c r="G938" s="436"/>
      <c r="H938" s="436"/>
      <c r="I938" s="436"/>
      <c r="J938" s="436"/>
      <c r="K938" s="436"/>
      <c r="L938" s="436"/>
      <c r="M938" s="436"/>
      <c r="N938" s="436"/>
      <c r="O938" s="436"/>
      <c r="P938" s="436"/>
      <c r="Q938" s="436"/>
      <c r="R938" s="436"/>
      <c r="S938" s="436"/>
      <c r="T938" s="436"/>
      <c r="U938" s="436"/>
      <c r="V938" s="436"/>
    </row>
    <row r="939" spans="1:22" ht="26.25" customHeight="1" x14ac:dyDescent="0.2">
      <c r="A939" s="436"/>
      <c r="B939" s="436"/>
      <c r="C939" s="436"/>
      <c r="D939" s="436"/>
      <c r="E939" s="436"/>
      <c r="F939" s="436"/>
      <c r="G939" s="436"/>
      <c r="H939" s="436"/>
      <c r="I939" s="436"/>
      <c r="J939" s="436"/>
      <c r="K939" s="436"/>
      <c r="L939" s="436"/>
      <c r="M939" s="436"/>
      <c r="N939" s="436"/>
      <c r="O939" s="436"/>
      <c r="P939" s="436"/>
      <c r="Q939" s="436"/>
      <c r="R939" s="436"/>
      <c r="S939" s="436"/>
      <c r="T939" s="436"/>
      <c r="U939" s="436"/>
      <c r="V939" s="436"/>
    </row>
    <row r="940" spans="1:22" ht="26.25" customHeight="1" x14ac:dyDescent="0.2">
      <c r="A940" s="436"/>
      <c r="B940" s="436"/>
      <c r="C940" s="436"/>
      <c r="D940" s="436"/>
      <c r="E940" s="436"/>
      <c r="F940" s="436"/>
      <c r="G940" s="436"/>
      <c r="H940" s="436"/>
      <c r="I940" s="436"/>
      <c r="J940" s="436"/>
      <c r="K940" s="436"/>
      <c r="L940" s="436"/>
      <c r="M940" s="436"/>
      <c r="N940" s="436"/>
      <c r="O940" s="436"/>
      <c r="P940" s="436"/>
      <c r="Q940" s="436"/>
      <c r="R940" s="436"/>
      <c r="S940" s="436"/>
      <c r="T940" s="436"/>
      <c r="U940" s="436"/>
      <c r="V940" s="436"/>
    </row>
    <row r="941" spans="1:22" ht="26.25" customHeight="1" x14ac:dyDescent="0.2">
      <c r="A941" s="436"/>
      <c r="B941" s="436"/>
      <c r="C941" s="436"/>
      <c r="D941" s="436"/>
      <c r="E941" s="436"/>
      <c r="F941" s="436"/>
      <c r="G941" s="436"/>
      <c r="H941" s="436"/>
      <c r="I941" s="436"/>
      <c r="J941" s="436"/>
      <c r="K941" s="436"/>
      <c r="L941" s="436"/>
      <c r="M941" s="436"/>
      <c r="N941" s="436"/>
      <c r="O941" s="436"/>
      <c r="P941" s="436"/>
      <c r="Q941" s="436"/>
      <c r="R941" s="436"/>
      <c r="S941" s="436"/>
      <c r="T941" s="436"/>
      <c r="U941" s="436"/>
      <c r="V941" s="436"/>
    </row>
    <row r="942" spans="1:22" ht="26.25" customHeight="1" x14ac:dyDescent="0.2">
      <c r="A942" s="436"/>
      <c r="B942" s="436"/>
      <c r="C942" s="436"/>
      <c r="D942" s="436"/>
      <c r="E942" s="436"/>
      <c r="F942" s="436"/>
      <c r="G942" s="436"/>
      <c r="H942" s="436"/>
      <c r="I942" s="436"/>
      <c r="J942" s="436"/>
      <c r="K942" s="436"/>
      <c r="L942" s="436"/>
      <c r="M942" s="436"/>
      <c r="N942" s="436"/>
      <c r="O942" s="436"/>
      <c r="P942" s="436"/>
      <c r="Q942" s="436"/>
      <c r="R942" s="436"/>
      <c r="S942" s="436"/>
      <c r="T942" s="436"/>
      <c r="U942" s="436"/>
      <c r="V942" s="436"/>
    </row>
    <row r="943" spans="1:22" ht="26.25" customHeight="1" x14ac:dyDescent="0.2">
      <c r="A943" s="436"/>
      <c r="B943" s="436"/>
      <c r="C943" s="436"/>
      <c r="D943" s="436"/>
      <c r="E943" s="436"/>
      <c r="F943" s="436"/>
      <c r="G943" s="436"/>
      <c r="H943" s="436"/>
      <c r="I943" s="436"/>
      <c r="J943" s="436"/>
      <c r="K943" s="436"/>
      <c r="L943" s="436"/>
      <c r="M943" s="436"/>
      <c r="N943" s="436"/>
      <c r="O943" s="436"/>
      <c r="P943" s="436"/>
      <c r="Q943" s="436"/>
      <c r="R943" s="436"/>
      <c r="S943" s="436"/>
      <c r="T943" s="436"/>
      <c r="U943" s="436"/>
      <c r="V943" s="436"/>
    </row>
    <row r="944" spans="1:22" ht="26.25" customHeight="1" x14ac:dyDescent="0.2">
      <c r="A944" s="436"/>
      <c r="B944" s="436"/>
      <c r="C944" s="436"/>
      <c r="D944" s="436"/>
      <c r="E944" s="436"/>
      <c r="F944" s="436"/>
      <c r="G944" s="436"/>
      <c r="H944" s="436"/>
      <c r="I944" s="436"/>
      <c r="J944" s="436"/>
      <c r="K944" s="436"/>
      <c r="L944" s="436"/>
      <c r="M944" s="436"/>
      <c r="N944" s="436"/>
      <c r="O944" s="436"/>
      <c r="P944" s="436"/>
      <c r="Q944" s="436"/>
      <c r="R944" s="436"/>
      <c r="S944" s="436"/>
      <c r="T944" s="436"/>
      <c r="U944" s="436"/>
      <c r="V944" s="436"/>
    </row>
    <row r="945" spans="1:22" ht="26.25" customHeight="1" x14ac:dyDescent="0.2">
      <c r="A945" s="436"/>
      <c r="B945" s="436"/>
      <c r="C945" s="436"/>
      <c r="D945" s="436"/>
      <c r="E945" s="436"/>
      <c r="F945" s="436"/>
      <c r="G945" s="436"/>
      <c r="H945" s="436"/>
      <c r="I945" s="436"/>
      <c r="J945" s="436"/>
      <c r="K945" s="436"/>
      <c r="L945" s="436"/>
      <c r="M945" s="436"/>
      <c r="N945" s="436"/>
      <c r="O945" s="436"/>
      <c r="P945" s="436"/>
      <c r="Q945" s="436"/>
      <c r="R945" s="436"/>
      <c r="S945" s="436"/>
      <c r="T945" s="436"/>
      <c r="U945" s="436"/>
      <c r="V945" s="436"/>
    </row>
    <row r="946" spans="1:22" ht="26.25" customHeight="1" x14ac:dyDescent="0.2">
      <c r="A946" s="436"/>
      <c r="B946" s="436"/>
      <c r="C946" s="436"/>
      <c r="D946" s="436"/>
      <c r="E946" s="436"/>
      <c r="F946" s="436"/>
      <c r="G946" s="436"/>
      <c r="H946" s="436"/>
      <c r="I946" s="436"/>
      <c r="J946" s="436"/>
      <c r="K946" s="436"/>
      <c r="L946" s="436"/>
      <c r="M946" s="436"/>
      <c r="N946" s="436"/>
      <c r="O946" s="436"/>
      <c r="P946" s="436"/>
      <c r="Q946" s="436"/>
      <c r="R946" s="436"/>
      <c r="S946" s="436"/>
      <c r="T946" s="436"/>
      <c r="U946" s="436"/>
      <c r="V946" s="436"/>
    </row>
    <row r="947" spans="1:22" ht="26.25" customHeight="1" x14ac:dyDescent="0.2">
      <c r="A947" s="436"/>
      <c r="B947" s="436"/>
      <c r="C947" s="436"/>
      <c r="D947" s="436"/>
      <c r="E947" s="436"/>
      <c r="F947" s="436"/>
      <c r="G947" s="436"/>
      <c r="H947" s="436"/>
      <c r="I947" s="436"/>
      <c r="J947" s="436"/>
      <c r="K947" s="436"/>
      <c r="L947" s="436"/>
      <c r="M947" s="436"/>
      <c r="N947" s="436"/>
      <c r="O947" s="436"/>
      <c r="P947" s="436"/>
      <c r="Q947" s="436"/>
      <c r="R947" s="436"/>
      <c r="S947" s="436"/>
      <c r="T947" s="436"/>
      <c r="U947" s="436"/>
      <c r="V947" s="436"/>
    </row>
    <row r="948" spans="1:22" ht="26.25" customHeight="1" x14ac:dyDescent="0.2">
      <c r="A948" s="436"/>
      <c r="B948" s="436"/>
      <c r="C948" s="436"/>
      <c r="D948" s="436"/>
      <c r="E948" s="436"/>
      <c r="F948" s="436"/>
      <c r="G948" s="436"/>
      <c r="H948" s="436"/>
      <c r="I948" s="436"/>
      <c r="J948" s="436"/>
      <c r="K948" s="436"/>
      <c r="L948" s="436"/>
      <c r="M948" s="436"/>
      <c r="N948" s="436"/>
      <c r="O948" s="436"/>
      <c r="P948" s="436"/>
      <c r="Q948" s="436"/>
      <c r="R948" s="436"/>
      <c r="S948" s="436"/>
      <c r="T948" s="436"/>
      <c r="U948" s="436"/>
      <c r="V948" s="436"/>
    </row>
    <row r="949" spans="1:22" ht="26.25" customHeight="1" x14ac:dyDescent="0.2">
      <c r="A949" s="436"/>
      <c r="B949" s="436"/>
      <c r="C949" s="436"/>
      <c r="D949" s="436"/>
      <c r="E949" s="436"/>
      <c r="F949" s="436"/>
      <c r="G949" s="436"/>
      <c r="H949" s="436"/>
      <c r="I949" s="436"/>
      <c r="J949" s="436"/>
      <c r="K949" s="436"/>
      <c r="L949" s="436"/>
      <c r="M949" s="436"/>
      <c r="N949" s="436"/>
      <c r="O949" s="436"/>
      <c r="P949" s="436"/>
      <c r="Q949" s="436"/>
      <c r="R949" s="436"/>
      <c r="S949" s="436"/>
      <c r="T949" s="436"/>
      <c r="U949" s="436"/>
      <c r="V949" s="436"/>
    </row>
    <row r="950" spans="1:22" ht="26.25" customHeight="1" x14ac:dyDescent="0.2">
      <c r="A950" s="436"/>
      <c r="B950" s="436"/>
      <c r="C950" s="436"/>
      <c r="D950" s="436"/>
      <c r="E950" s="436"/>
      <c r="F950" s="436"/>
      <c r="G950" s="436"/>
      <c r="H950" s="436"/>
      <c r="I950" s="436"/>
      <c r="J950" s="436"/>
      <c r="K950" s="436"/>
      <c r="L950" s="436"/>
      <c r="M950" s="436"/>
      <c r="N950" s="436"/>
      <c r="O950" s="436"/>
      <c r="P950" s="436"/>
      <c r="Q950" s="436"/>
      <c r="R950" s="436"/>
      <c r="S950" s="436"/>
      <c r="T950" s="436"/>
      <c r="U950" s="436"/>
      <c r="V950" s="436"/>
    </row>
    <row r="951" spans="1:22" ht="26.25" customHeight="1" x14ac:dyDescent="0.2">
      <c r="A951" s="436"/>
      <c r="B951" s="436"/>
      <c r="C951" s="436"/>
      <c r="D951" s="436"/>
      <c r="E951" s="436"/>
      <c r="F951" s="436"/>
      <c r="G951" s="436"/>
      <c r="H951" s="436"/>
      <c r="I951" s="436"/>
      <c r="J951" s="436"/>
      <c r="K951" s="436"/>
      <c r="L951" s="436"/>
      <c r="M951" s="436"/>
      <c r="N951" s="436"/>
      <c r="O951" s="436"/>
      <c r="P951" s="436"/>
      <c r="Q951" s="436"/>
      <c r="R951" s="436"/>
      <c r="S951" s="436"/>
      <c r="T951" s="436"/>
      <c r="U951" s="436"/>
      <c r="V951" s="436"/>
    </row>
    <row r="952" spans="1:22" ht="26.25" customHeight="1" x14ac:dyDescent="0.2">
      <c r="A952" s="436"/>
      <c r="B952" s="436"/>
      <c r="C952" s="436"/>
      <c r="D952" s="436"/>
      <c r="E952" s="436"/>
      <c r="F952" s="436"/>
      <c r="G952" s="436"/>
      <c r="H952" s="436"/>
      <c r="I952" s="436"/>
      <c r="J952" s="436"/>
      <c r="K952" s="436"/>
      <c r="L952" s="436"/>
      <c r="M952" s="436"/>
      <c r="N952" s="436"/>
      <c r="O952" s="436"/>
      <c r="P952" s="436"/>
      <c r="Q952" s="436"/>
      <c r="R952" s="436"/>
      <c r="S952" s="436"/>
      <c r="T952" s="436"/>
      <c r="U952" s="436"/>
      <c r="V952" s="436"/>
    </row>
    <row r="953" spans="1:22" ht="26.25" customHeight="1" x14ac:dyDescent="0.2">
      <c r="A953" s="436"/>
      <c r="B953" s="436"/>
      <c r="C953" s="436"/>
      <c r="D953" s="436"/>
      <c r="E953" s="436"/>
      <c r="F953" s="436"/>
      <c r="G953" s="436"/>
      <c r="H953" s="436"/>
      <c r="I953" s="436"/>
      <c r="J953" s="436"/>
      <c r="K953" s="436"/>
      <c r="L953" s="436"/>
      <c r="M953" s="436"/>
      <c r="N953" s="436"/>
      <c r="O953" s="436"/>
      <c r="P953" s="436"/>
      <c r="Q953" s="436"/>
      <c r="R953" s="436"/>
      <c r="S953" s="436"/>
      <c r="T953" s="436"/>
      <c r="U953" s="436"/>
      <c r="V953" s="436"/>
    </row>
    <row r="954" spans="1:22" ht="26.25" customHeight="1" x14ac:dyDescent="0.2">
      <c r="A954" s="436"/>
      <c r="B954" s="436"/>
      <c r="C954" s="436"/>
      <c r="D954" s="436"/>
      <c r="E954" s="436"/>
      <c r="F954" s="436"/>
      <c r="G954" s="436"/>
      <c r="H954" s="436"/>
      <c r="I954" s="436"/>
      <c r="J954" s="436"/>
      <c r="K954" s="436"/>
      <c r="L954" s="436"/>
      <c r="M954" s="436"/>
      <c r="N954" s="436"/>
      <c r="O954" s="436"/>
      <c r="P954" s="436"/>
      <c r="Q954" s="436"/>
      <c r="R954" s="436"/>
      <c r="S954" s="436"/>
      <c r="T954" s="436"/>
      <c r="U954" s="436"/>
      <c r="V954" s="436"/>
    </row>
    <row r="955" spans="1:22" ht="26.25" customHeight="1" x14ac:dyDescent="0.2">
      <c r="A955" s="436"/>
      <c r="B955" s="436"/>
      <c r="C955" s="436"/>
      <c r="D955" s="436"/>
      <c r="E955" s="436"/>
      <c r="F955" s="436"/>
      <c r="G955" s="436"/>
      <c r="H955" s="436"/>
      <c r="I955" s="436"/>
      <c r="J955" s="436"/>
      <c r="K955" s="436"/>
      <c r="L955" s="436"/>
      <c r="M955" s="436"/>
      <c r="N955" s="436"/>
      <c r="O955" s="436"/>
      <c r="P955" s="436"/>
      <c r="Q955" s="436"/>
      <c r="R955" s="436"/>
      <c r="S955" s="436"/>
      <c r="T955" s="436"/>
      <c r="U955" s="436"/>
      <c r="V955" s="436"/>
    </row>
    <row r="956" spans="1:22" ht="26.25" customHeight="1" x14ac:dyDescent="0.2">
      <c r="A956" s="436"/>
      <c r="B956" s="436"/>
      <c r="C956" s="436"/>
      <c r="D956" s="436"/>
      <c r="E956" s="436"/>
      <c r="F956" s="436"/>
      <c r="G956" s="436"/>
      <c r="H956" s="436"/>
      <c r="I956" s="436"/>
      <c r="J956" s="436"/>
      <c r="K956" s="436"/>
      <c r="L956" s="436"/>
      <c r="M956" s="436"/>
      <c r="N956" s="436"/>
      <c r="O956" s="436"/>
      <c r="P956" s="436"/>
      <c r="Q956" s="436"/>
      <c r="R956" s="436"/>
      <c r="S956" s="436"/>
      <c r="T956" s="436"/>
      <c r="U956" s="436"/>
      <c r="V956" s="436"/>
    </row>
    <row r="957" spans="1:22" ht="26.25" customHeight="1" x14ac:dyDescent="0.2">
      <c r="A957" s="436"/>
      <c r="B957" s="436"/>
      <c r="C957" s="436"/>
      <c r="D957" s="436"/>
      <c r="E957" s="436"/>
      <c r="F957" s="436"/>
      <c r="G957" s="436"/>
      <c r="H957" s="436"/>
      <c r="I957" s="436"/>
      <c r="J957" s="436"/>
      <c r="K957" s="436"/>
      <c r="L957" s="436"/>
      <c r="M957" s="436"/>
      <c r="N957" s="436"/>
      <c r="O957" s="436"/>
      <c r="P957" s="436"/>
      <c r="Q957" s="436"/>
      <c r="R957" s="436"/>
      <c r="S957" s="436"/>
      <c r="T957" s="436"/>
      <c r="U957" s="436"/>
      <c r="V957" s="436"/>
    </row>
    <row r="958" spans="1:22" ht="26.25" customHeight="1" x14ac:dyDescent="0.2">
      <c r="A958" s="436"/>
      <c r="B958" s="436"/>
      <c r="C958" s="436"/>
      <c r="D958" s="436"/>
      <c r="E958" s="436"/>
      <c r="F958" s="436"/>
      <c r="G958" s="436"/>
      <c r="H958" s="436"/>
      <c r="I958" s="436"/>
      <c r="J958" s="436"/>
      <c r="K958" s="436"/>
      <c r="L958" s="436"/>
      <c r="M958" s="436"/>
      <c r="N958" s="436"/>
      <c r="O958" s="436"/>
      <c r="P958" s="436"/>
      <c r="Q958" s="436"/>
      <c r="R958" s="436"/>
      <c r="S958" s="436"/>
      <c r="T958" s="436"/>
      <c r="U958" s="436"/>
      <c r="V958" s="436"/>
    </row>
    <row r="959" spans="1:22" ht="26.25" customHeight="1" x14ac:dyDescent="0.2">
      <c r="A959" s="436"/>
      <c r="B959" s="436"/>
      <c r="C959" s="436"/>
      <c r="D959" s="436"/>
      <c r="E959" s="436"/>
      <c r="F959" s="436"/>
      <c r="G959" s="436"/>
      <c r="H959" s="436"/>
      <c r="I959" s="436"/>
      <c r="J959" s="436"/>
      <c r="K959" s="436"/>
      <c r="L959" s="436"/>
      <c r="M959" s="436"/>
      <c r="N959" s="436"/>
      <c r="O959" s="436"/>
      <c r="P959" s="436"/>
      <c r="Q959" s="436"/>
      <c r="R959" s="436"/>
      <c r="S959" s="436"/>
      <c r="T959" s="436"/>
      <c r="U959" s="436"/>
      <c r="V959" s="436"/>
    </row>
    <row r="960" spans="1:22" ht="26.25" customHeight="1" x14ac:dyDescent="0.2">
      <c r="A960" s="436"/>
      <c r="B960" s="436"/>
      <c r="C960" s="436"/>
      <c r="D960" s="436"/>
      <c r="E960" s="436"/>
      <c r="F960" s="436"/>
      <c r="G960" s="436"/>
      <c r="H960" s="436"/>
      <c r="I960" s="436"/>
      <c r="J960" s="436"/>
      <c r="K960" s="436"/>
      <c r="L960" s="436"/>
      <c r="M960" s="436"/>
      <c r="N960" s="436"/>
      <c r="O960" s="436"/>
      <c r="P960" s="436"/>
      <c r="Q960" s="436"/>
      <c r="R960" s="436"/>
      <c r="S960" s="436"/>
      <c r="T960" s="436"/>
      <c r="U960" s="436"/>
      <c r="V960" s="436"/>
    </row>
    <row r="961" spans="1:22" ht="26.25" customHeight="1" x14ac:dyDescent="0.2">
      <c r="A961" s="436"/>
      <c r="B961" s="436"/>
      <c r="C961" s="436"/>
      <c r="D961" s="436"/>
      <c r="E961" s="436"/>
      <c r="F961" s="436"/>
      <c r="G961" s="436"/>
      <c r="H961" s="436"/>
      <c r="I961" s="436"/>
      <c r="J961" s="436"/>
      <c r="K961" s="436"/>
      <c r="L961" s="436"/>
      <c r="M961" s="436"/>
      <c r="N961" s="436"/>
      <c r="O961" s="436"/>
      <c r="P961" s="436"/>
      <c r="Q961" s="436"/>
      <c r="R961" s="436"/>
      <c r="S961" s="436"/>
      <c r="T961" s="436"/>
      <c r="U961" s="436"/>
      <c r="V961" s="436"/>
    </row>
    <row r="962" spans="1:22" ht="26.25" customHeight="1" x14ac:dyDescent="0.2">
      <c r="A962" s="436"/>
      <c r="B962" s="436"/>
      <c r="C962" s="436"/>
      <c r="D962" s="436"/>
      <c r="E962" s="436"/>
      <c r="F962" s="436"/>
      <c r="G962" s="436"/>
      <c r="H962" s="436"/>
      <c r="I962" s="436"/>
      <c r="J962" s="436"/>
      <c r="K962" s="436"/>
      <c r="L962" s="436"/>
      <c r="M962" s="436"/>
      <c r="N962" s="436"/>
      <c r="O962" s="436"/>
      <c r="P962" s="436"/>
      <c r="Q962" s="436"/>
      <c r="R962" s="436"/>
      <c r="S962" s="436"/>
      <c r="T962" s="436"/>
      <c r="U962" s="436"/>
      <c r="V962" s="436"/>
    </row>
    <row r="963" spans="1:22" ht="26.25" customHeight="1" x14ac:dyDescent="0.2">
      <c r="A963" s="436"/>
      <c r="B963" s="436"/>
      <c r="C963" s="436"/>
      <c r="D963" s="436"/>
      <c r="E963" s="436"/>
      <c r="F963" s="436"/>
      <c r="G963" s="436"/>
      <c r="H963" s="436"/>
      <c r="I963" s="436"/>
      <c r="J963" s="436"/>
      <c r="K963" s="436"/>
      <c r="L963" s="436"/>
      <c r="M963" s="436"/>
      <c r="N963" s="436"/>
      <c r="O963" s="436"/>
      <c r="P963" s="436"/>
      <c r="Q963" s="436"/>
      <c r="R963" s="436"/>
      <c r="S963" s="436"/>
      <c r="T963" s="436"/>
      <c r="U963" s="436"/>
      <c r="V963" s="436"/>
    </row>
    <row r="964" spans="1:22" ht="26.25" customHeight="1" x14ac:dyDescent="0.2">
      <c r="A964" s="436"/>
      <c r="B964" s="436"/>
      <c r="C964" s="436"/>
      <c r="D964" s="436"/>
      <c r="E964" s="436"/>
      <c r="F964" s="436"/>
      <c r="G964" s="436"/>
      <c r="H964" s="436"/>
      <c r="I964" s="436"/>
      <c r="J964" s="436"/>
      <c r="K964" s="436"/>
      <c r="L964" s="436"/>
      <c r="M964" s="436"/>
      <c r="N964" s="436"/>
      <c r="O964" s="436"/>
      <c r="P964" s="436"/>
      <c r="Q964" s="436"/>
      <c r="R964" s="436"/>
      <c r="S964" s="436"/>
      <c r="T964" s="436"/>
      <c r="U964" s="436"/>
      <c r="V964" s="436"/>
    </row>
    <row r="965" spans="1:22" ht="26.25" customHeight="1" x14ac:dyDescent="0.2">
      <c r="A965" s="436"/>
      <c r="B965" s="436"/>
      <c r="C965" s="436"/>
      <c r="D965" s="436"/>
      <c r="E965" s="436"/>
      <c r="F965" s="436"/>
      <c r="G965" s="436"/>
      <c r="H965" s="436"/>
      <c r="I965" s="436"/>
      <c r="J965" s="436"/>
      <c r="K965" s="436"/>
      <c r="L965" s="436"/>
      <c r="M965" s="436"/>
      <c r="N965" s="436"/>
      <c r="O965" s="436"/>
      <c r="P965" s="436"/>
      <c r="Q965" s="436"/>
      <c r="R965" s="436"/>
      <c r="S965" s="436"/>
      <c r="T965" s="436"/>
      <c r="U965" s="436"/>
      <c r="V965" s="436"/>
    </row>
    <row r="966" spans="1:22" ht="26.25" customHeight="1" x14ac:dyDescent="0.2">
      <c r="A966" s="436"/>
      <c r="B966" s="436"/>
      <c r="C966" s="436"/>
      <c r="D966" s="436"/>
      <c r="E966" s="436"/>
      <c r="F966" s="436"/>
      <c r="G966" s="436"/>
      <c r="H966" s="436"/>
      <c r="I966" s="436"/>
      <c r="J966" s="436"/>
      <c r="K966" s="436"/>
      <c r="L966" s="436"/>
      <c r="M966" s="436"/>
      <c r="N966" s="436"/>
      <c r="O966" s="436"/>
      <c r="P966" s="436"/>
      <c r="Q966" s="436"/>
      <c r="R966" s="436"/>
      <c r="S966" s="436"/>
      <c r="T966" s="436"/>
      <c r="U966" s="436"/>
      <c r="V966" s="436"/>
    </row>
    <row r="967" spans="1:22" ht="26.25" customHeight="1" x14ac:dyDescent="0.2">
      <c r="A967" s="436"/>
      <c r="B967" s="436"/>
      <c r="C967" s="436"/>
      <c r="D967" s="436"/>
      <c r="E967" s="436"/>
      <c r="F967" s="436"/>
      <c r="G967" s="436"/>
      <c r="H967" s="436"/>
      <c r="I967" s="436"/>
      <c r="J967" s="436"/>
      <c r="K967" s="436"/>
      <c r="L967" s="436"/>
      <c r="M967" s="436"/>
      <c r="N967" s="436"/>
      <c r="O967" s="436"/>
      <c r="P967" s="436"/>
      <c r="Q967" s="436"/>
      <c r="R967" s="436"/>
      <c r="S967" s="436"/>
      <c r="T967" s="436"/>
      <c r="U967" s="436"/>
      <c r="V967" s="436"/>
    </row>
    <row r="968" spans="1:22" ht="26.25" customHeight="1" x14ac:dyDescent="0.2">
      <c r="A968" s="436"/>
      <c r="B968" s="436"/>
      <c r="C968" s="436"/>
      <c r="D968" s="436"/>
      <c r="E968" s="436"/>
      <c r="F968" s="436"/>
      <c r="G968" s="436"/>
      <c r="H968" s="436"/>
      <c r="I968" s="436"/>
      <c r="J968" s="436"/>
      <c r="K968" s="436"/>
      <c r="L968" s="436"/>
      <c r="M968" s="436"/>
      <c r="N968" s="436"/>
      <c r="O968" s="436"/>
      <c r="P968" s="436"/>
      <c r="Q968" s="436"/>
      <c r="R968" s="436"/>
      <c r="S968" s="436"/>
      <c r="T968" s="436"/>
      <c r="U968" s="436"/>
      <c r="V968" s="436"/>
    </row>
    <row r="969" spans="1:22" ht="26.25" customHeight="1" x14ac:dyDescent="0.2">
      <c r="A969" s="436"/>
      <c r="B969" s="436"/>
      <c r="C969" s="436"/>
      <c r="D969" s="436"/>
      <c r="E969" s="436"/>
      <c r="F969" s="436"/>
      <c r="G969" s="436"/>
      <c r="H969" s="436"/>
      <c r="I969" s="436"/>
      <c r="J969" s="436"/>
      <c r="K969" s="436"/>
      <c r="L969" s="436"/>
      <c r="M969" s="436"/>
      <c r="N969" s="436"/>
      <c r="O969" s="436"/>
      <c r="P969" s="436"/>
      <c r="Q969" s="436"/>
      <c r="R969" s="436"/>
      <c r="S969" s="436"/>
      <c r="T969" s="436"/>
      <c r="U969" s="436"/>
      <c r="V969" s="436"/>
    </row>
    <row r="970" spans="1:22" ht="26.25" customHeight="1" x14ac:dyDescent="0.2">
      <c r="A970" s="436"/>
      <c r="B970" s="436"/>
      <c r="C970" s="436"/>
      <c r="D970" s="436"/>
      <c r="E970" s="436"/>
      <c r="F970" s="436"/>
      <c r="G970" s="436"/>
      <c r="H970" s="436"/>
      <c r="I970" s="436"/>
      <c r="J970" s="436"/>
      <c r="K970" s="436"/>
      <c r="L970" s="436"/>
      <c r="M970" s="436"/>
      <c r="N970" s="436"/>
      <c r="O970" s="436"/>
      <c r="P970" s="436"/>
      <c r="Q970" s="436"/>
      <c r="R970" s="436"/>
      <c r="S970" s="436"/>
      <c r="T970" s="436"/>
      <c r="U970" s="436"/>
      <c r="V970" s="436"/>
    </row>
    <row r="971" spans="1:22" ht="26.25" customHeight="1" x14ac:dyDescent="0.2">
      <c r="A971" s="436"/>
      <c r="B971" s="436"/>
      <c r="C971" s="436"/>
      <c r="D971" s="436"/>
      <c r="E971" s="436"/>
      <c r="F971" s="436"/>
      <c r="G971" s="436"/>
      <c r="H971" s="436"/>
      <c r="I971" s="436"/>
      <c r="J971" s="436"/>
      <c r="K971" s="436"/>
      <c r="L971" s="436"/>
      <c r="M971" s="436"/>
      <c r="N971" s="436"/>
      <c r="O971" s="436"/>
      <c r="P971" s="436"/>
      <c r="Q971" s="436"/>
      <c r="R971" s="436"/>
      <c r="S971" s="436"/>
      <c r="T971" s="436"/>
      <c r="U971" s="436"/>
      <c r="V971" s="436"/>
    </row>
    <row r="972" spans="1:22" ht="26.25" customHeight="1" x14ac:dyDescent="0.2">
      <c r="A972" s="436"/>
      <c r="B972" s="436"/>
      <c r="C972" s="436"/>
      <c r="D972" s="436"/>
      <c r="E972" s="436"/>
      <c r="F972" s="436"/>
      <c r="G972" s="436"/>
      <c r="H972" s="436"/>
      <c r="I972" s="436"/>
      <c r="J972" s="436"/>
      <c r="K972" s="436"/>
      <c r="L972" s="436"/>
      <c r="M972" s="436"/>
      <c r="N972" s="436"/>
      <c r="O972" s="436"/>
      <c r="P972" s="436"/>
      <c r="Q972" s="436"/>
      <c r="R972" s="436"/>
      <c r="S972" s="436"/>
      <c r="T972" s="436"/>
      <c r="U972" s="436"/>
      <c r="V972" s="436"/>
    </row>
    <row r="973" spans="1:22" ht="26.25" customHeight="1" x14ac:dyDescent="0.2">
      <c r="A973" s="436"/>
      <c r="B973" s="436"/>
      <c r="C973" s="436"/>
      <c r="D973" s="436"/>
      <c r="E973" s="436"/>
      <c r="F973" s="436"/>
      <c r="G973" s="436"/>
      <c r="H973" s="436"/>
      <c r="I973" s="436"/>
      <c r="J973" s="436"/>
      <c r="K973" s="436"/>
      <c r="L973" s="436"/>
      <c r="M973" s="436"/>
      <c r="N973" s="436"/>
      <c r="O973" s="436"/>
      <c r="P973" s="436"/>
      <c r="Q973" s="436"/>
      <c r="R973" s="436"/>
      <c r="S973" s="436"/>
      <c r="T973" s="436"/>
      <c r="U973" s="436"/>
      <c r="V973" s="436"/>
    </row>
    <row r="974" spans="1:22" ht="26.25" customHeight="1" x14ac:dyDescent="0.2">
      <c r="A974" s="436"/>
      <c r="B974" s="436"/>
      <c r="C974" s="436"/>
      <c r="D974" s="436"/>
      <c r="E974" s="436"/>
      <c r="F974" s="436"/>
      <c r="G974" s="436"/>
      <c r="H974" s="436"/>
      <c r="I974" s="436"/>
      <c r="J974" s="436"/>
      <c r="K974" s="436"/>
      <c r="L974" s="436"/>
      <c r="M974" s="436"/>
      <c r="N974" s="436"/>
      <c r="O974" s="436"/>
      <c r="P974" s="436"/>
      <c r="Q974" s="436"/>
      <c r="R974" s="436"/>
      <c r="S974" s="436"/>
      <c r="T974" s="436"/>
      <c r="U974" s="436"/>
      <c r="V974" s="436"/>
    </row>
    <row r="975" spans="1:22" ht="26.25" customHeight="1" x14ac:dyDescent="0.2">
      <c r="A975" s="436"/>
      <c r="B975" s="436"/>
      <c r="C975" s="436"/>
      <c r="D975" s="436"/>
      <c r="E975" s="436"/>
      <c r="F975" s="436"/>
      <c r="G975" s="436"/>
      <c r="H975" s="436"/>
      <c r="I975" s="436"/>
      <c r="J975" s="436"/>
      <c r="K975" s="436"/>
      <c r="L975" s="436"/>
      <c r="M975" s="436"/>
      <c r="N975" s="436"/>
      <c r="O975" s="436"/>
      <c r="P975" s="436"/>
      <c r="Q975" s="436"/>
      <c r="R975" s="436"/>
      <c r="S975" s="436"/>
      <c r="T975" s="436"/>
      <c r="U975" s="436"/>
      <c r="V975" s="436"/>
    </row>
    <row r="976" spans="1:22" ht="26.25" customHeight="1" x14ac:dyDescent="0.2">
      <c r="A976" s="436"/>
      <c r="B976" s="436"/>
      <c r="C976" s="436"/>
      <c r="D976" s="436"/>
      <c r="E976" s="436"/>
      <c r="F976" s="436"/>
      <c r="G976" s="436"/>
      <c r="H976" s="436"/>
      <c r="I976" s="436"/>
      <c r="J976" s="436"/>
      <c r="K976" s="436"/>
      <c r="L976" s="436"/>
      <c r="M976" s="436"/>
      <c r="N976" s="436"/>
      <c r="O976" s="436"/>
      <c r="P976" s="436"/>
      <c r="Q976" s="436"/>
      <c r="R976" s="436"/>
      <c r="S976" s="436"/>
      <c r="T976" s="436"/>
      <c r="U976" s="436"/>
      <c r="V976" s="436"/>
    </row>
    <row r="977" spans="1:22" ht="26.25" customHeight="1" x14ac:dyDescent="0.2">
      <c r="A977" s="436"/>
      <c r="B977" s="436"/>
      <c r="C977" s="436"/>
      <c r="D977" s="436"/>
      <c r="E977" s="436"/>
      <c r="F977" s="436"/>
      <c r="G977" s="436"/>
      <c r="H977" s="436"/>
      <c r="I977" s="436"/>
      <c r="J977" s="436"/>
      <c r="K977" s="436"/>
      <c r="L977" s="436"/>
      <c r="M977" s="436"/>
      <c r="N977" s="436"/>
      <c r="O977" s="436"/>
      <c r="P977" s="436"/>
      <c r="Q977" s="436"/>
      <c r="R977" s="436"/>
      <c r="S977" s="436"/>
      <c r="T977" s="436"/>
      <c r="U977" s="436"/>
      <c r="V977" s="436"/>
    </row>
  </sheetData>
  <sheetProtection sheet="1"/>
  <mergeCells count="835">
    <mergeCell ref="P1:Q1"/>
    <mergeCell ref="A2:H2"/>
    <mergeCell ref="I2:M2"/>
    <mergeCell ref="N2:Q2"/>
    <mergeCell ref="Z2:Z10"/>
    <mergeCell ref="A3:Q4"/>
    <mergeCell ref="A5:M5"/>
    <mergeCell ref="N5:Q5"/>
    <mergeCell ref="A6:M6"/>
    <mergeCell ref="A7:D7"/>
    <mergeCell ref="A10:D10"/>
    <mergeCell ref="E10:F10"/>
    <mergeCell ref="G10:L10"/>
    <mergeCell ref="M10:P10"/>
    <mergeCell ref="A11:D11"/>
    <mergeCell ref="E11:F11"/>
    <mergeCell ref="M11:P11"/>
    <mergeCell ref="E7:L7"/>
    <mergeCell ref="N7:Q7"/>
    <mergeCell ref="A8:D8"/>
    <mergeCell ref="E8:L8"/>
    <mergeCell ref="M8:P8"/>
    <mergeCell ref="A9:D9"/>
    <mergeCell ref="E9:L9"/>
    <mergeCell ref="M9:P9"/>
    <mergeCell ref="A12:H12"/>
    <mergeCell ref="I12:J12"/>
    <mergeCell ref="K12:L12"/>
    <mergeCell ref="M12:P12"/>
    <mergeCell ref="A13:J13"/>
    <mergeCell ref="K13:N14"/>
    <mergeCell ref="O13:Q13"/>
    <mergeCell ref="A14:J15"/>
    <mergeCell ref="K15:O15"/>
    <mergeCell ref="AF15:AG15"/>
    <mergeCell ref="A16:J16"/>
    <mergeCell ref="K16:O16"/>
    <mergeCell ref="AF16:AG16"/>
    <mergeCell ref="A17:J18"/>
    <mergeCell ref="K17:O17"/>
    <mergeCell ref="AF17:AG17"/>
    <mergeCell ref="K18:O18"/>
    <mergeCell ref="AF18:AG18"/>
    <mergeCell ref="A21:D21"/>
    <mergeCell ref="E21:H21"/>
    <mergeCell ref="I21:L21"/>
    <mergeCell ref="M21:Q21"/>
    <mergeCell ref="AF21:AG21"/>
    <mergeCell ref="A22:Q22"/>
    <mergeCell ref="AF22:AG22"/>
    <mergeCell ref="A19:Q19"/>
    <mergeCell ref="AF19:AG19"/>
    <mergeCell ref="A20:D20"/>
    <mergeCell ref="E20:H20"/>
    <mergeCell ref="I20:L20"/>
    <mergeCell ref="M20:Q20"/>
    <mergeCell ref="S20:V20"/>
    <mergeCell ref="AF20:AG20"/>
    <mergeCell ref="AF25:AG25"/>
    <mergeCell ref="A26:Q26"/>
    <mergeCell ref="AF26:AG26"/>
    <mergeCell ref="A27:Q28"/>
    <mergeCell ref="AF27:AG27"/>
    <mergeCell ref="A23:L23"/>
    <mergeCell ref="M23:Q23"/>
    <mergeCell ref="AF23:AG23"/>
    <mergeCell ref="A24:L24"/>
    <mergeCell ref="M24:Q24"/>
    <mergeCell ref="AF24:AG24"/>
    <mergeCell ref="A29:Q29"/>
    <mergeCell ref="A30:Q31"/>
    <mergeCell ref="A32:Q32"/>
    <mergeCell ref="A33:L33"/>
    <mergeCell ref="M33:Q33"/>
    <mergeCell ref="A34:L34"/>
    <mergeCell ref="M34:Q34"/>
    <mergeCell ref="A25:L25"/>
    <mergeCell ref="M25:Q25"/>
    <mergeCell ref="A44:Q44"/>
    <mergeCell ref="A45:Q46"/>
    <mergeCell ref="P47:Q47"/>
    <mergeCell ref="A48:M48"/>
    <mergeCell ref="N48:Q48"/>
    <mergeCell ref="A49:M49"/>
    <mergeCell ref="A35:Q35"/>
    <mergeCell ref="A36:Q37"/>
    <mergeCell ref="A38:Q38"/>
    <mergeCell ref="A39:Q40"/>
    <mergeCell ref="A41:Q41"/>
    <mergeCell ref="A42:Q43"/>
    <mergeCell ref="A52:D52"/>
    <mergeCell ref="E52:L52"/>
    <mergeCell ref="M52:P52"/>
    <mergeCell ref="A53:D53"/>
    <mergeCell ref="E53:F53"/>
    <mergeCell ref="G53:L53"/>
    <mergeCell ref="M53:P53"/>
    <mergeCell ref="A50:D50"/>
    <mergeCell ref="E50:L50"/>
    <mergeCell ref="N50:Q50"/>
    <mergeCell ref="A51:D51"/>
    <mergeCell ref="E51:L51"/>
    <mergeCell ref="M51:P51"/>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S63:V63"/>
    <mergeCell ref="A64:D64"/>
    <mergeCell ref="E64:H64"/>
    <mergeCell ref="I64:L64"/>
    <mergeCell ref="M64:Q64"/>
    <mergeCell ref="A65:Q65"/>
    <mergeCell ref="A60:J61"/>
    <mergeCell ref="K60:O60"/>
    <mergeCell ref="K61:O61"/>
    <mergeCell ref="A62:Q62"/>
    <mergeCell ref="A63:D63"/>
    <mergeCell ref="E63:H63"/>
    <mergeCell ref="I63:L63"/>
    <mergeCell ref="M63:Q63"/>
    <mergeCell ref="A69:Q69"/>
    <mergeCell ref="A70:Q71"/>
    <mergeCell ref="A72:Q72"/>
    <mergeCell ref="A73:Q74"/>
    <mergeCell ref="A75:Q75"/>
    <mergeCell ref="A76:L76"/>
    <mergeCell ref="M76:Q76"/>
    <mergeCell ref="A66:L66"/>
    <mergeCell ref="M66:Q66"/>
    <mergeCell ref="A67:L67"/>
    <mergeCell ref="M67:Q67"/>
    <mergeCell ref="A68:L68"/>
    <mergeCell ref="M68:Q68"/>
    <mergeCell ref="A84:Q84"/>
    <mergeCell ref="A85:Q86"/>
    <mergeCell ref="A87:Q87"/>
    <mergeCell ref="A88:Q89"/>
    <mergeCell ref="P90:Q90"/>
    <mergeCell ref="A91:M91"/>
    <mergeCell ref="N91:Q91"/>
    <mergeCell ref="A77:L77"/>
    <mergeCell ref="M77:Q77"/>
    <mergeCell ref="A78:Q78"/>
    <mergeCell ref="A79:Q80"/>
    <mergeCell ref="A81:Q81"/>
    <mergeCell ref="A82:Q83"/>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A127:Q127"/>
    <mergeCell ref="A128:Q129"/>
    <mergeCell ref="A130:Q130"/>
    <mergeCell ref="A131:Q132"/>
    <mergeCell ref="P133:Q133"/>
    <mergeCell ref="A134:M134"/>
    <mergeCell ref="N134:Q134"/>
    <mergeCell ref="A120:L120"/>
    <mergeCell ref="M120:Q120"/>
    <mergeCell ref="A121:Q121"/>
    <mergeCell ref="A122:Q123"/>
    <mergeCell ref="A124:Q124"/>
    <mergeCell ref="A125:Q126"/>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A170:Q170"/>
    <mergeCell ref="A171:Q172"/>
    <mergeCell ref="A173:Q173"/>
    <mergeCell ref="A174:Q175"/>
    <mergeCell ref="P176:Q176"/>
    <mergeCell ref="A177:M177"/>
    <mergeCell ref="N177:Q177"/>
    <mergeCell ref="A163:L163"/>
    <mergeCell ref="M163:Q163"/>
    <mergeCell ref="A164:Q164"/>
    <mergeCell ref="A165:Q166"/>
    <mergeCell ref="A167:Q167"/>
    <mergeCell ref="A168:Q169"/>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A213:Q213"/>
    <mergeCell ref="A214:Q215"/>
    <mergeCell ref="A216:Q216"/>
    <mergeCell ref="A217:Q218"/>
    <mergeCell ref="P219:Q219"/>
    <mergeCell ref="A220:M220"/>
    <mergeCell ref="N220:Q220"/>
    <mergeCell ref="A206:L206"/>
    <mergeCell ref="M206:Q206"/>
    <mergeCell ref="A207:Q207"/>
    <mergeCell ref="A208:Q209"/>
    <mergeCell ref="A210:Q210"/>
    <mergeCell ref="A211:Q212"/>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S235:V235"/>
    <mergeCell ref="A236:D236"/>
    <mergeCell ref="E236:H236"/>
    <mergeCell ref="I236:L236"/>
    <mergeCell ref="M236:Q236"/>
    <mergeCell ref="A237:Q237"/>
    <mergeCell ref="A232:J233"/>
    <mergeCell ref="K232:O232"/>
    <mergeCell ref="K233:O233"/>
    <mergeCell ref="A234:Q234"/>
    <mergeCell ref="A235:D235"/>
    <mergeCell ref="E235:H235"/>
    <mergeCell ref="I235:L235"/>
    <mergeCell ref="M235:Q235"/>
    <mergeCell ref="A241:Q241"/>
    <mergeCell ref="A242:Q243"/>
    <mergeCell ref="A244:Q244"/>
    <mergeCell ref="A245:Q246"/>
    <mergeCell ref="A247:Q247"/>
    <mergeCell ref="A248:L248"/>
    <mergeCell ref="M248:Q248"/>
    <mergeCell ref="A238:L238"/>
    <mergeCell ref="M238:Q238"/>
    <mergeCell ref="A239:L239"/>
    <mergeCell ref="M239:Q239"/>
    <mergeCell ref="A240:L240"/>
    <mergeCell ref="M240:Q240"/>
    <mergeCell ref="A256:Q256"/>
    <mergeCell ref="A257:Q258"/>
    <mergeCell ref="A259:Q259"/>
    <mergeCell ref="A260:Q261"/>
    <mergeCell ref="P262:Q262"/>
    <mergeCell ref="A263:M263"/>
    <mergeCell ref="N263:Q263"/>
    <mergeCell ref="A249:L249"/>
    <mergeCell ref="M249:Q249"/>
    <mergeCell ref="A250:Q250"/>
    <mergeCell ref="A251:Q252"/>
    <mergeCell ref="A253:Q253"/>
    <mergeCell ref="A254:Q255"/>
    <mergeCell ref="A267:D267"/>
    <mergeCell ref="E267:L267"/>
    <mergeCell ref="M267:P267"/>
    <mergeCell ref="A268:D268"/>
    <mergeCell ref="E268:F268"/>
    <mergeCell ref="G268:L268"/>
    <mergeCell ref="M268:P268"/>
    <mergeCell ref="A264:M264"/>
    <mergeCell ref="A265:D265"/>
    <mergeCell ref="E265:L265"/>
    <mergeCell ref="N265:Q265"/>
    <mergeCell ref="A266:D266"/>
    <mergeCell ref="E266:L266"/>
    <mergeCell ref="M266:P266"/>
    <mergeCell ref="A271:J271"/>
    <mergeCell ref="K271:N272"/>
    <mergeCell ref="O271:Q271"/>
    <mergeCell ref="A272:J273"/>
    <mergeCell ref="K273:O273"/>
    <mergeCell ref="A274:J274"/>
    <mergeCell ref="K274:O274"/>
    <mergeCell ref="A269:D269"/>
    <mergeCell ref="E269:F269"/>
    <mergeCell ref="M269:P269"/>
    <mergeCell ref="A270:H270"/>
    <mergeCell ref="I270:J270"/>
    <mergeCell ref="K270:L270"/>
    <mergeCell ref="M270:P270"/>
    <mergeCell ref="S278:V278"/>
    <mergeCell ref="A279:D279"/>
    <mergeCell ref="E279:H279"/>
    <mergeCell ref="I279:L279"/>
    <mergeCell ref="M279:Q279"/>
    <mergeCell ref="A280:Q280"/>
    <mergeCell ref="A275:J276"/>
    <mergeCell ref="K275:O275"/>
    <mergeCell ref="K276:O276"/>
    <mergeCell ref="A277:Q277"/>
    <mergeCell ref="A278:D278"/>
    <mergeCell ref="E278:H278"/>
    <mergeCell ref="I278:L278"/>
    <mergeCell ref="M278:Q278"/>
    <mergeCell ref="A284:Q284"/>
    <mergeCell ref="A285:Q286"/>
    <mergeCell ref="A287:Q287"/>
    <mergeCell ref="A288:Q289"/>
    <mergeCell ref="A290:Q290"/>
    <mergeCell ref="A291:L291"/>
    <mergeCell ref="M291:Q291"/>
    <mergeCell ref="A281:L281"/>
    <mergeCell ref="M281:Q281"/>
    <mergeCell ref="A282:L282"/>
    <mergeCell ref="M282:Q282"/>
    <mergeCell ref="A283:L283"/>
    <mergeCell ref="M283:Q283"/>
    <mergeCell ref="A299:Q299"/>
    <mergeCell ref="A300:Q301"/>
    <mergeCell ref="A302:Q302"/>
    <mergeCell ref="A303:Q304"/>
    <mergeCell ref="P305:Q305"/>
    <mergeCell ref="A306:M306"/>
    <mergeCell ref="N306:Q306"/>
    <mergeCell ref="A292:L292"/>
    <mergeCell ref="M292:Q292"/>
    <mergeCell ref="A293:Q293"/>
    <mergeCell ref="A294:Q295"/>
    <mergeCell ref="A296:Q296"/>
    <mergeCell ref="A297:Q298"/>
    <mergeCell ref="A310:D310"/>
    <mergeCell ref="E310:L310"/>
    <mergeCell ref="M310:P310"/>
    <mergeCell ref="A311:D311"/>
    <mergeCell ref="E311:F311"/>
    <mergeCell ref="G311:L311"/>
    <mergeCell ref="M311:P311"/>
    <mergeCell ref="A307:M307"/>
    <mergeCell ref="A308:D308"/>
    <mergeCell ref="E308:L308"/>
    <mergeCell ref="N308:Q308"/>
    <mergeCell ref="A309:D309"/>
    <mergeCell ref="E309:L309"/>
    <mergeCell ref="M309:P309"/>
    <mergeCell ref="A314:J314"/>
    <mergeCell ref="K314:N315"/>
    <mergeCell ref="O314:Q314"/>
    <mergeCell ref="A315:J316"/>
    <mergeCell ref="K316:O316"/>
    <mergeCell ref="A317:J317"/>
    <mergeCell ref="K317:O317"/>
    <mergeCell ref="A312:D312"/>
    <mergeCell ref="E312:F312"/>
    <mergeCell ref="M312:P312"/>
    <mergeCell ref="A313:H313"/>
    <mergeCell ref="I313:J313"/>
    <mergeCell ref="K313:L313"/>
    <mergeCell ref="M313:P313"/>
    <mergeCell ref="S321:V321"/>
    <mergeCell ref="A322:D322"/>
    <mergeCell ref="E322:H322"/>
    <mergeCell ref="I322:L322"/>
    <mergeCell ref="M322:Q322"/>
    <mergeCell ref="A323:Q323"/>
    <mergeCell ref="A318:J319"/>
    <mergeCell ref="K318:O318"/>
    <mergeCell ref="K319:O319"/>
    <mergeCell ref="A320:Q320"/>
    <mergeCell ref="A321:D321"/>
    <mergeCell ref="E321:H321"/>
    <mergeCell ref="I321:L321"/>
    <mergeCell ref="M321:Q321"/>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A342:Q342"/>
    <mergeCell ref="A343:Q344"/>
    <mergeCell ref="A345:Q345"/>
    <mergeCell ref="A346:Q347"/>
    <mergeCell ref="P348:Q348"/>
    <mergeCell ref="A349:M349"/>
    <mergeCell ref="N349:Q349"/>
    <mergeCell ref="A335:L335"/>
    <mergeCell ref="M335:Q335"/>
    <mergeCell ref="A336:Q336"/>
    <mergeCell ref="A337:Q338"/>
    <mergeCell ref="A339:Q339"/>
    <mergeCell ref="A340:Q341"/>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70:Q370"/>
    <mergeCell ref="A371:Q372"/>
    <mergeCell ref="A373:Q373"/>
    <mergeCell ref="A374:Q375"/>
    <mergeCell ref="A376:Q376"/>
    <mergeCell ref="A377:L377"/>
    <mergeCell ref="M377:Q377"/>
    <mergeCell ref="A367:L367"/>
    <mergeCell ref="M367:Q367"/>
    <mergeCell ref="A368:L368"/>
    <mergeCell ref="M368:Q368"/>
    <mergeCell ref="A369:L369"/>
    <mergeCell ref="M369:Q369"/>
    <mergeCell ref="A385:Q385"/>
    <mergeCell ref="A386:Q387"/>
    <mergeCell ref="A388:Q388"/>
    <mergeCell ref="A389:Q390"/>
    <mergeCell ref="P391:Q391"/>
    <mergeCell ref="A392:M392"/>
    <mergeCell ref="N392:Q392"/>
    <mergeCell ref="A378:L378"/>
    <mergeCell ref="M378:Q378"/>
    <mergeCell ref="A379:Q379"/>
    <mergeCell ref="A380:Q381"/>
    <mergeCell ref="A382:Q382"/>
    <mergeCell ref="A383:Q384"/>
    <mergeCell ref="A396:D396"/>
    <mergeCell ref="E396:L396"/>
    <mergeCell ref="M396:P396"/>
    <mergeCell ref="A397:D397"/>
    <mergeCell ref="E397:F397"/>
    <mergeCell ref="G397:L397"/>
    <mergeCell ref="M397:P397"/>
    <mergeCell ref="A393:M393"/>
    <mergeCell ref="A394:D394"/>
    <mergeCell ref="E394:L394"/>
    <mergeCell ref="N394:Q394"/>
    <mergeCell ref="A395:D395"/>
    <mergeCell ref="E395:L395"/>
    <mergeCell ref="M395:P395"/>
    <mergeCell ref="A400:J400"/>
    <mergeCell ref="K400:N401"/>
    <mergeCell ref="O400:Q400"/>
    <mergeCell ref="A401:J402"/>
    <mergeCell ref="K402:O402"/>
    <mergeCell ref="A403:J403"/>
    <mergeCell ref="K403:O403"/>
    <mergeCell ref="A398:D398"/>
    <mergeCell ref="E398:F398"/>
    <mergeCell ref="M398:P398"/>
    <mergeCell ref="A399:H399"/>
    <mergeCell ref="I399:J399"/>
    <mergeCell ref="K399:L399"/>
    <mergeCell ref="M399:P399"/>
    <mergeCell ref="S407:V407"/>
    <mergeCell ref="A408:D408"/>
    <mergeCell ref="E408:H408"/>
    <mergeCell ref="I408:L408"/>
    <mergeCell ref="M408:Q408"/>
    <mergeCell ref="A409:Q409"/>
    <mergeCell ref="A404:J405"/>
    <mergeCell ref="K404:O404"/>
    <mergeCell ref="K405:O405"/>
    <mergeCell ref="A406:Q406"/>
    <mergeCell ref="A407:D407"/>
    <mergeCell ref="E407:H407"/>
    <mergeCell ref="I407:L407"/>
    <mergeCell ref="M407:Q407"/>
    <mergeCell ref="A413:Q413"/>
    <mergeCell ref="A414:Q415"/>
    <mergeCell ref="A416:Q416"/>
    <mergeCell ref="A417:Q418"/>
    <mergeCell ref="A419:Q419"/>
    <mergeCell ref="A420:L420"/>
    <mergeCell ref="M420:Q420"/>
    <mergeCell ref="A410:L410"/>
    <mergeCell ref="M410:Q410"/>
    <mergeCell ref="A411:L411"/>
    <mergeCell ref="M411:Q411"/>
    <mergeCell ref="A412:L412"/>
    <mergeCell ref="M412:Q412"/>
    <mergeCell ref="A428:Q428"/>
    <mergeCell ref="A429:Q430"/>
    <mergeCell ref="A431:Q431"/>
    <mergeCell ref="A432:Q433"/>
    <mergeCell ref="P434:Q434"/>
    <mergeCell ref="A435:M435"/>
    <mergeCell ref="N435:Q435"/>
    <mergeCell ref="A421:L421"/>
    <mergeCell ref="M421:Q421"/>
    <mergeCell ref="A422:Q422"/>
    <mergeCell ref="A423:Q424"/>
    <mergeCell ref="A425:Q425"/>
    <mergeCell ref="A426:Q427"/>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A471:Q471"/>
    <mergeCell ref="A472:Q473"/>
    <mergeCell ref="A474:Q474"/>
    <mergeCell ref="A475:Q476"/>
    <mergeCell ref="P477:Q477"/>
    <mergeCell ref="A478:M478"/>
    <mergeCell ref="N478:Q478"/>
    <mergeCell ref="A464:L464"/>
    <mergeCell ref="M464:Q464"/>
    <mergeCell ref="A465:Q465"/>
    <mergeCell ref="A466:Q467"/>
    <mergeCell ref="A468:Q468"/>
    <mergeCell ref="A469:Q470"/>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BA1:BC1"/>
    <mergeCell ref="A514:Q514"/>
    <mergeCell ref="A515:Q516"/>
    <mergeCell ref="A517:Q517"/>
    <mergeCell ref="A518:Q519"/>
    <mergeCell ref="A507:L507"/>
    <mergeCell ref="M507:Q507"/>
    <mergeCell ref="A508:Q508"/>
    <mergeCell ref="A509:Q510"/>
    <mergeCell ref="A511:Q511"/>
    <mergeCell ref="A512:Q513"/>
    <mergeCell ref="A499:Q499"/>
    <mergeCell ref="A500:Q501"/>
    <mergeCell ref="A502:Q502"/>
    <mergeCell ref="A503:Q504"/>
    <mergeCell ref="A505:Q505"/>
    <mergeCell ref="A506:L506"/>
    <mergeCell ref="M506:Q506"/>
    <mergeCell ref="A496:L496"/>
    <mergeCell ref="M496:Q496"/>
    <mergeCell ref="A497:L497"/>
    <mergeCell ref="M497:Q497"/>
    <mergeCell ref="A498:L498"/>
    <mergeCell ref="M498:Q498"/>
  </mergeCells>
  <conditionalFormatting sqref="K1">
    <cfRule type="cellIs" dxfId="55" priority="54" stopIfTrue="1" operator="notEqual">
      <formula>$AD$14</formula>
    </cfRule>
  </conditionalFormatting>
  <conditionalFormatting sqref="E7:L7">
    <cfRule type="expression" dxfId="54" priority="53" stopIfTrue="1">
      <formula>IF($AA$14="X",TRUE,FALSE)</formula>
    </cfRule>
  </conditionalFormatting>
  <conditionalFormatting sqref="E8:L8">
    <cfRule type="expression" dxfId="53" priority="52" stopIfTrue="1">
      <formula>IF($AA$14="X",TRUE,FALSE)</formula>
    </cfRule>
  </conditionalFormatting>
  <conditionalFormatting sqref="E9:L9">
    <cfRule type="expression" dxfId="52" priority="51" stopIfTrue="1">
      <formula>IF($AA$14="X",TRUE,FALSE)</formula>
    </cfRule>
  </conditionalFormatting>
  <conditionalFormatting sqref="E10:F10">
    <cfRule type="expression" dxfId="51" priority="50" stopIfTrue="1">
      <formula>IF($AA$14="X",TRUE,FALSE)</formula>
    </cfRule>
  </conditionalFormatting>
  <conditionalFormatting sqref="E11:F11">
    <cfRule type="expression" dxfId="50" priority="49" stopIfTrue="1">
      <formula>IF($AA$14="X",TRUE,FALSE)</formula>
    </cfRule>
  </conditionalFormatting>
  <conditionalFormatting sqref="I12:J12">
    <cfRule type="expression" dxfId="49" priority="48" stopIfTrue="1">
      <formula>IF($AA$14="X",TRUE,FALSE)</formula>
    </cfRule>
  </conditionalFormatting>
  <conditionalFormatting sqref="A14:J15">
    <cfRule type="expression" dxfId="48" priority="47" stopIfTrue="1">
      <formula>IF($AA$14="X",TRUE,FALSE)</formula>
    </cfRule>
  </conditionalFormatting>
  <conditionalFormatting sqref="A17:J18">
    <cfRule type="expression" dxfId="47" priority="46" stopIfTrue="1">
      <formula>IF($AA$14="X",TRUE,FALSE)</formula>
    </cfRule>
  </conditionalFormatting>
  <conditionalFormatting sqref="P15">
    <cfRule type="expression" dxfId="46" priority="45" stopIfTrue="1">
      <formula>IF($AA$14="X",TRUE,FALSE)</formula>
    </cfRule>
  </conditionalFormatting>
  <conditionalFormatting sqref="Q15">
    <cfRule type="expression" dxfId="45" priority="44" stopIfTrue="1">
      <formula>IF($AA$14="X",TRUE,FALSE)</formula>
    </cfRule>
  </conditionalFormatting>
  <conditionalFormatting sqref="P16">
    <cfRule type="expression" dxfId="44" priority="43" stopIfTrue="1">
      <formula>IF($AA$14="X",TRUE,FALSE)</formula>
    </cfRule>
  </conditionalFormatting>
  <conditionalFormatting sqref="Q16">
    <cfRule type="expression" dxfId="43" priority="42" stopIfTrue="1">
      <formula>IF($AA$14="X",TRUE,FALSE)</formula>
    </cfRule>
  </conditionalFormatting>
  <conditionalFormatting sqref="P17">
    <cfRule type="expression" dxfId="42" priority="41" stopIfTrue="1">
      <formula>IF($AA$14="X",TRUE,FALSE)</formula>
    </cfRule>
  </conditionalFormatting>
  <conditionalFormatting sqref="Q17">
    <cfRule type="expression" dxfId="41" priority="40" stopIfTrue="1">
      <formula>IF($AA$14="X",TRUE,FALSE)</formula>
    </cfRule>
  </conditionalFormatting>
  <conditionalFormatting sqref="P18">
    <cfRule type="expression" dxfId="40" priority="39" stopIfTrue="1">
      <formula>IF($AA$14="X",TRUE,FALSE)</formula>
    </cfRule>
  </conditionalFormatting>
  <conditionalFormatting sqref="Q18">
    <cfRule type="expression" dxfId="39" priority="38" stopIfTrue="1">
      <formula>IF($AA$14="X",TRUE,FALSE)</formula>
    </cfRule>
  </conditionalFormatting>
  <conditionalFormatting sqref="A21:D21">
    <cfRule type="expression" dxfId="38" priority="37" stopIfTrue="1">
      <formula>IF($AA$14="X",TRUE,FALSE)</formula>
    </cfRule>
  </conditionalFormatting>
  <conditionalFormatting sqref="E21:H21">
    <cfRule type="expression" dxfId="37" priority="36" stopIfTrue="1">
      <formula>IF($AA$14="X",TRUE,FALSE)</formula>
    </cfRule>
  </conditionalFormatting>
  <conditionalFormatting sqref="I21:L21">
    <cfRule type="expression" dxfId="36" priority="35" stopIfTrue="1">
      <formula>IF($AA$14="X",TRUE,FALSE)</formula>
    </cfRule>
  </conditionalFormatting>
  <conditionalFormatting sqref="M21:Q21">
    <cfRule type="expression" dxfId="35" priority="34" stopIfTrue="1">
      <formula>IF($AA$14="X",TRUE,FALSE)</formula>
    </cfRule>
  </conditionalFormatting>
  <conditionalFormatting sqref="M23:Q23">
    <cfRule type="expression" dxfId="34" priority="33" stopIfTrue="1">
      <formula>IF($AA$14="X",TRUE,FALSE)</formula>
    </cfRule>
  </conditionalFormatting>
  <conditionalFormatting sqref="M24:Q24">
    <cfRule type="expression" dxfId="33" priority="32" stopIfTrue="1">
      <formula>IF($AA$14="X",TRUE,FALSE)</formula>
    </cfRule>
  </conditionalFormatting>
  <conditionalFormatting sqref="M25:Q25">
    <cfRule type="expression" dxfId="32" priority="31" stopIfTrue="1">
      <formula>IF($AA$14="X",TRUE,FALSE)</formula>
    </cfRule>
  </conditionalFormatting>
  <conditionalFormatting sqref="M33:Q33">
    <cfRule type="expression" dxfId="31" priority="30" stopIfTrue="1">
      <formula>IF($AA$14="X",TRUE,FALSE)</formula>
    </cfRule>
  </conditionalFormatting>
  <conditionalFormatting sqref="M34:Q34">
    <cfRule type="expression" dxfId="30" priority="29" stopIfTrue="1">
      <formula>IF($AA$14="X",TRUE,FALSE)</formula>
    </cfRule>
  </conditionalFormatting>
  <conditionalFormatting sqref="A27:Q28">
    <cfRule type="expression" dxfId="29" priority="28" stopIfTrue="1">
      <formula>IF($AA$14="X",TRUE,FALSE)</formula>
    </cfRule>
  </conditionalFormatting>
  <conditionalFormatting sqref="A30:Q31">
    <cfRule type="expression" dxfId="28" priority="27" stopIfTrue="1">
      <formula>IF($AA$14="X",TRUE,FALSE)</formula>
    </cfRule>
  </conditionalFormatting>
  <conditionalFormatting sqref="A36:Q37">
    <cfRule type="expression" dxfId="27" priority="26" stopIfTrue="1">
      <formula>IF($AA$14="X",TRUE,FALSE)</formula>
    </cfRule>
  </conditionalFormatting>
  <conditionalFormatting sqref="A39:Q40">
    <cfRule type="expression" dxfId="26" priority="25" stopIfTrue="1">
      <formula>IF($AA$14="X",TRUE,FALSE)</formula>
    </cfRule>
  </conditionalFormatting>
  <conditionalFormatting sqref="A42:Q43">
    <cfRule type="expression" dxfId="25" priority="24" stopIfTrue="1">
      <formula>IF($AA$14="X",TRUE,FALSE)</formula>
    </cfRule>
  </conditionalFormatting>
  <conditionalFormatting sqref="A45:Q46">
    <cfRule type="expression" dxfId="24" priority="23" stopIfTrue="1">
      <formula>IF($AA$14="X",TRUE,FALSE)</formula>
    </cfRule>
  </conditionalFormatting>
  <conditionalFormatting sqref="E53:F53">
    <cfRule type="expression" dxfId="23" priority="22" stopIfTrue="1">
      <formula>IF($AA$14="X",TRUE,FALSE)</formula>
    </cfRule>
  </conditionalFormatting>
  <conditionalFormatting sqref="E54:F54">
    <cfRule type="expression" dxfId="22" priority="21" stopIfTrue="1">
      <formula>IF($AA$14="X",TRUE,FALSE)</formula>
    </cfRule>
  </conditionalFormatting>
  <conditionalFormatting sqref="E96:F96">
    <cfRule type="expression" dxfId="21" priority="20" stopIfTrue="1">
      <formula>IF($AA$14="X",TRUE,FALSE)</formula>
    </cfRule>
  </conditionalFormatting>
  <conditionalFormatting sqref="E97:F97">
    <cfRule type="expression" dxfId="20" priority="19" stopIfTrue="1">
      <formula>IF($AA$14="X",TRUE,FALSE)</formula>
    </cfRule>
  </conditionalFormatting>
  <conditionalFormatting sqref="E139:F139">
    <cfRule type="expression" dxfId="19" priority="18" stopIfTrue="1">
      <formula>IF($AA$14="X",TRUE,FALSE)</formula>
    </cfRule>
  </conditionalFormatting>
  <conditionalFormatting sqref="E140:F140">
    <cfRule type="expression" dxfId="18" priority="17" stopIfTrue="1">
      <formula>IF($AA$14="X",TRUE,FALSE)</formula>
    </cfRule>
  </conditionalFormatting>
  <conditionalFormatting sqref="E182:F182">
    <cfRule type="expression" dxfId="17" priority="16" stopIfTrue="1">
      <formula>IF($AA$14="X",TRUE,FALSE)</formula>
    </cfRule>
  </conditionalFormatting>
  <conditionalFormatting sqref="E183:F183">
    <cfRule type="expression" dxfId="16" priority="15" stopIfTrue="1">
      <formula>IF($AA$14="X",TRUE,FALSE)</formula>
    </cfRule>
  </conditionalFormatting>
  <conditionalFormatting sqref="E225:F225">
    <cfRule type="expression" dxfId="15" priority="14" stopIfTrue="1">
      <formula>IF($AA$14="X",TRUE,FALSE)</formula>
    </cfRule>
  </conditionalFormatting>
  <conditionalFormatting sqref="E226:F226">
    <cfRule type="expression" dxfId="14" priority="13" stopIfTrue="1">
      <formula>IF($AA$14="X",TRUE,FALSE)</formula>
    </cfRule>
  </conditionalFormatting>
  <conditionalFormatting sqref="E268:F268">
    <cfRule type="expression" dxfId="13" priority="12" stopIfTrue="1">
      <formula>IF($AA$14="X",TRUE,FALSE)</formula>
    </cfRule>
  </conditionalFormatting>
  <conditionalFormatting sqref="E269:F269">
    <cfRule type="expression" dxfId="12" priority="11" stopIfTrue="1">
      <formula>IF($AA$14="X",TRUE,FALSE)</formula>
    </cfRule>
  </conditionalFormatting>
  <conditionalFormatting sqref="E311:F311">
    <cfRule type="expression" dxfId="11" priority="10" stopIfTrue="1">
      <formula>IF($AA$14="X",TRUE,FALSE)</formula>
    </cfRule>
  </conditionalFormatting>
  <conditionalFormatting sqref="E312:F312">
    <cfRule type="expression" dxfId="10" priority="9" stopIfTrue="1">
      <formula>IF($AA$14="X",TRUE,FALSE)</formula>
    </cfRule>
  </conditionalFormatting>
  <conditionalFormatting sqref="E354:F354">
    <cfRule type="expression" dxfId="9" priority="8" stopIfTrue="1">
      <formula>IF($AA$14="X",TRUE,FALSE)</formula>
    </cfRule>
  </conditionalFormatting>
  <conditionalFormatting sqref="E355:F355">
    <cfRule type="expression" dxfId="8" priority="7" stopIfTrue="1">
      <formula>IF($AA$14="X",TRUE,FALSE)</formula>
    </cfRule>
  </conditionalFormatting>
  <conditionalFormatting sqref="E397:F397">
    <cfRule type="expression" dxfId="7" priority="6" stopIfTrue="1">
      <formula>IF($AA$14="X",TRUE,FALSE)</formula>
    </cfRule>
  </conditionalFormatting>
  <conditionalFormatting sqref="E398:F398">
    <cfRule type="expression" dxfId="6" priority="5" stopIfTrue="1">
      <formula>IF($AA$14="X",TRUE,FALSE)</formula>
    </cfRule>
  </conditionalFormatting>
  <conditionalFormatting sqref="E440:F440">
    <cfRule type="expression" dxfId="5" priority="4" stopIfTrue="1">
      <formula>IF($AA$14="X",TRUE,FALSE)</formula>
    </cfRule>
  </conditionalFormatting>
  <conditionalFormatting sqref="E441:F441">
    <cfRule type="expression" dxfId="4" priority="3" stopIfTrue="1">
      <formula>IF($AA$14="X",TRUE,FALSE)</formula>
    </cfRule>
  </conditionalFormatting>
  <conditionalFormatting sqref="E483:F483">
    <cfRule type="expression" dxfId="3" priority="2" stopIfTrue="1">
      <formula>IF($AA$14="X",TRUE,FALSE)</formula>
    </cfRule>
  </conditionalFormatting>
  <conditionalFormatting sqref="E484:F484">
    <cfRule type="expression" dxfId="2" priority="1" stopIfTrue="1">
      <formula>IF($AA$14="X",TRUE,FALSE)</formula>
    </cfRule>
  </conditionalFormatting>
  <dataValidations count="13">
    <dataValidation allowBlank="1" showInputMessage="1" showErrorMessage="1" promptTitle="Parters" prompt="Please enter the names of all Partners involved in this Collaboration" sqref="AA47:AC47 X38:Z38 W42"/>
    <dataValidation allowBlank="1" showInputMessage="1" showErrorMessage="1" promptTitle="Involvment" prompt="Please describe the level and type of involvement each Partner has in this Collaborative" sqref="AA48:AC49 Y39:Z39"/>
    <dataValidation allowBlank="1" showInputMessage="1" showErrorMessage="1" promptTitle="Other" prompt="Please enter any other relevant information about this Collaborative Arrangement" sqref="AA50:AC51 Y40:Z40"/>
    <dataValidation type="list" allowBlank="1" showInputMessage="1" showErrorMessage="1" sqref="M497:Q497 M67:Q67 M110:Q110 M153:Q153 M196:Q196 M239:Q239 M282:Q282 M325:Q325 M368:Q368 M411:Q411 M454:Q454 M24:Q24">
      <formula1>ValidCapacity</formula1>
    </dataValidation>
    <dataValidation type="list" allowBlank="1" showInputMessage="1" showErrorMessage="1" sqref="M498:Q498 M68:Q68 M111:Q111 M154:Q154 M197:Q197 M240:Q240 M283:Q283 M326:Q326 M369:Q369 M412:Q412 M455:Q455 M25:Q25">
      <formula1>ValidPriorCap</formula1>
    </dataValidation>
    <dataValidation type="list" allowBlank="1" showInputMessage="1" showErrorMessage="1" sqref="A494:D494 A64:D64 A107:D107 A150:D150 A193:D193 A236:D236 A279:D279 A322:D322 A365:D365 A408:D408 A451:D451 A21:D21">
      <formula1>ValidProjType</formula1>
    </dataValidation>
    <dataValidation type="list" allowBlank="1" showInputMessage="1" showErrorMessage="1" sqref="E494:H494 E64:H64 E107:H107 E150:H150 E193:H193 E236:H236 E279:H279 E322:H322 E365:H365 E408:H408 E451:H451 E21:H21">
      <formula1>ValidSubtype1</formula1>
    </dataValidation>
    <dataValidation type="list" allowBlank="1" showInputMessage="1" showErrorMessage="1" sqref="I494:L494 I64:L64 I107:L107 I150:L150 I193:L193 I236:L236 I279:L279 I322:L322 I365:L365 I408:L408 I451:L451 I21:L21">
      <formula1>ValidSubtype2</formula1>
    </dataValidation>
    <dataValidation type="list" allowBlank="1" showInputMessage="1" showErrorMessage="1" sqref="M21:Q21 M64:Q64 M107:Q107 M150:Q150 M193:Q193 M236:Q236 M279:Q279 M322:Q322 M365:Q365 M408:Q408 M451:Q451 M494:Q494">
      <formula1>ValidSubtype3</formula1>
    </dataValidation>
    <dataValidation allowBlank="1" showInputMessage="1" showErrorMessage="1" promptTitle="Title" sqref="X15:Z15"/>
    <dataValidation type="list" allowBlank="1" showInputMessage="1" showErrorMessage="1" sqref="M506 M76 M119 M162 M205 M248 M291 M334 M377 M420 M463 M33:Q33">
      <formula1>ValidImpact</formula1>
    </dataValidation>
    <dataValidation type="list" allowBlank="1" showInputMessage="1" showErrorMessage="1" sqref="M507 M77 M120 M163 M206 M249 M292 M335 M378 M421 M464 M34:Q34">
      <formula1>ValidEvidence</formula1>
    </dataValidation>
    <dataValidation type="list" allowBlank="1" showInputMessage="1" showErrorMessage="1" sqref="M496:Q496 M66:Q66 M109:Q109 M152:Q152 M195:Q195 M238:Q238 M281:Q281 M324:Q324 M367:Q367 M410:Q410 M453:Q453 M23:Q23">
      <formula1>ValidRemote</formula1>
    </dataValidation>
  </dataValidations>
  <hyperlinks>
    <hyperlink ref="A6:I6" location="cap_exp_contact" display="cap_exp_contact"/>
    <hyperlink ref="I2:M2" location="def_exceptions" display="Retrospective Review reporting exceptions"/>
    <hyperlink ref="G10:L10" location="def_date_of_spending_commitment" display="Definition of Spending Commitment Date"/>
    <hyperlink ref="O13" location="def_exceptions" display="Definition"/>
    <hyperlink ref="O13:Q13" location="def_exceptions" display="Exceptions Definitions"/>
    <hyperlink ref="A49:I49" location="cap_exp_contact" display="cap_exp_contact"/>
    <hyperlink ref="G53:L53" location="def_date_of_spending_commitment" display="Definition of Spending Commitment Date"/>
    <hyperlink ref="O56" location="def_exceptions" display="Definition"/>
    <hyperlink ref="O56:Q56" location="def_exceptions" display="Exceptions Definitions"/>
    <hyperlink ref="A92:I92" location="cap_exp_contact" display="cap_exp_contact"/>
    <hyperlink ref="G96:L96" location="def_date_of_spending_commitment" display="Definition of Spending Commitment Date"/>
    <hyperlink ref="O99" location="def_exceptions" display="Definition"/>
    <hyperlink ref="O99:Q99" location="def_exceptions" display="Exceptions Definitions"/>
    <hyperlink ref="A135:I135" location="cap_exp_contact" display="cap_exp_contact"/>
    <hyperlink ref="G139:L139" location="def_date_of_spending_commitment" display="Definition of Spending Commitment Date"/>
    <hyperlink ref="O142" location="def_exceptions" display="Definition"/>
    <hyperlink ref="O142:Q142" location="def_exceptions" display="Exceptions Definitions"/>
    <hyperlink ref="A178:I178" location="cap_exp_contact" display="cap_exp_contact"/>
    <hyperlink ref="G182:L182" location="def_date_of_spending_commitment" display="Definition of Spending Commitment Date"/>
    <hyperlink ref="O185" location="def_exceptions" display="Definition"/>
    <hyperlink ref="O185:Q185" location="def_exceptions" display="Exceptions Definitions"/>
    <hyperlink ref="A221:I221" location="cap_exp_contact" display="cap_exp_contact"/>
    <hyperlink ref="G225:L225" location="def_date_of_spending_commitment" display="Definition of Spending Commitment Date"/>
    <hyperlink ref="O228" location="def_exceptions" display="Definition"/>
    <hyperlink ref="O228:Q228" location="def_exceptions" display="Exceptions Definitions"/>
    <hyperlink ref="A264:I264" location="cap_exp_contact" display="cap_exp_contact"/>
    <hyperlink ref="G268:L268" location="def_date_of_spending_commitment" display="Definition of Spending Commitment Date"/>
    <hyperlink ref="O271" location="def_exceptions" display="Definition"/>
    <hyperlink ref="O271:Q271" location="def_exceptions" display="Exceptions Definitions"/>
    <hyperlink ref="A307:I307" location="cap_exp_contact" display="cap_exp_contact"/>
    <hyperlink ref="G311:L311" location="def_date_of_spending_commitment" display="Definition of Spending Commitment Date"/>
    <hyperlink ref="O314" location="def_exceptions" display="Definition"/>
    <hyperlink ref="O314:Q314" location="def_exceptions" display="Exceptions Definitions"/>
    <hyperlink ref="A350:I350" location="cap_exp_contact" display="cap_exp_contact"/>
    <hyperlink ref="G354:L354" location="def_date_of_spending_commitment" display="Definition of Spending Commitment Date"/>
    <hyperlink ref="O357" location="def_exceptions" display="Definition"/>
    <hyperlink ref="O357:Q357" location="def_exceptions" display="Exceptions Definitions"/>
    <hyperlink ref="A393:I393" location="cap_exp_contact" display="cap_exp_contact"/>
    <hyperlink ref="G397:L397" location="def_date_of_spending_commitment" display="Definition of Spending Commitment Date"/>
    <hyperlink ref="O400" location="def_exceptions" display="Definition"/>
    <hyperlink ref="O400:Q400" location="def_exceptions" display="Exceptions Definitions"/>
    <hyperlink ref="A436:I436" location="cap_exp_contact" display="cap_exp_contact"/>
    <hyperlink ref="G440:L440" location="def_date_of_spending_commitment" display="Definition of Spending Commitment Date"/>
    <hyperlink ref="O443" location="def_exceptions" display="Definition"/>
    <hyperlink ref="O443:Q443" location="def_exceptions" display="Exceptions Definitions"/>
    <hyperlink ref="A479:I479" location="cap_exp_contact" display="cap_exp_contact"/>
    <hyperlink ref="G483:L483" location="def_date_of_spending_commitment" display="Definition of Spending Commitment Date"/>
    <hyperlink ref="O486" location="def_exceptions" display="Definition"/>
    <hyperlink ref="O486:Q486" location="def_exceptions" display="Exceptions Definitions"/>
  </hyperlinks>
  <printOptions horizontalCentered="1"/>
  <pageMargins left="0.75" right="0.75" top="1" bottom="1" header="0.5" footer="0.5"/>
  <pageSetup scale="55" fitToHeight="12"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32"/>
  <sheetViews>
    <sheetView zoomScaleNormal="100" zoomScaleSheetLayoutView="75" workbookViewId="0">
      <selection sqref="A1:C1"/>
    </sheetView>
  </sheetViews>
  <sheetFormatPr defaultRowHeight="12.75" x14ac:dyDescent="0.2"/>
  <cols>
    <col min="1" max="1" width="79.28515625" style="505" customWidth="1"/>
    <col min="2" max="2" width="9.140625" style="489"/>
    <col min="3" max="3" width="11.7109375" style="489" customWidth="1"/>
    <col min="4" max="16384" width="9.140625" style="489"/>
  </cols>
  <sheetData>
    <row r="1" spans="1:6" ht="36" customHeight="1" x14ac:dyDescent="0.2">
      <c r="A1" s="1298" t="str">
        <f>CONCATENATE('Demog Contact'!N1," Diagnostic Imaging Facility Definitions")</f>
        <v>2019 Diagnostic Imaging Facility Definitions</v>
      </c>
      <c r="B1" s="1299"/>
      <c r="C1" s="1300"/>
    </row>
    <row r="2" spans="1:6" ht="33.75" customHeight="1" x14ac:dyDescent="0.2">
      <c r="A2" s="1301" t="s">
        <v>694</v>
      </c>
      <c r="B2" s="1302"/>
      <c r="C2" s="1303"/>
    </row>
    <row r="3" spans="1:6" ht="39" customHeight="1" x14ac:dyDescent="0.2">
      <c r="A3" s="490" t="s">
        <v>695</v>
      </c>
      <c r="B3" s="737"/>
      <c r="C3" s="1304"/>
    </row>
    <row r="4" spans="1:6" ht="70.5" customHeight="1" x14ac:dyDescent="0.2">
      <c r="A4" s="491" t="s">
        <v>696</v>
      </c>
      <c r="B4" s="1305" t="s">
        <v>242</v>
      </c>
      <c r="C4" s="1306"/>
    </row>
    <row r="5" spans="1:6" ht="51" x14ac:dyDescent="0.2">
      <c r="A5" s="492" t="s">
        <v>697</v>
      </c>
      <c r="B5" s="1316"/>
      <c r="C5" s="1325"/>
    </row>
    <row r="6" spans="1:6" ht="16.5" customHeight="1" x14ac:dyDescent="0.2">
      <c r="A6" s="1313" t="s">
        <v>698</v>
      </c>
      <c r="B6" s="1326" t="s">
        <v>242</v>
      </c>
      <c r="C6" s="1327"/>
    </row>
    <row r="7" spans="1:6" ht="16.5" customHeight="1" x14ac:dyDescent="0.2">
      <c r="A7" s="1314"/>
      <c r="B7" s="1305" t="s">
        <v>243</v>
      </c>
      <c r="C7" s="1306"/>
    </row>
    <row r="8" spans="1:6" ht="16.5" customHeight="1" x14ac:dyDescent="0.2">
      <c r="A8" s="1314"/>
      <c r="B8" s="1305" t="s">
        <v>244</v>
      </c>
      <c r="C8" s="1306"/>
    </row>
    <row r="9" spans="1:6" ht="16.5" customHeight="1" x14ac:dyDescent="0.2">
      <c r="A9" s="1315"/>
      <c r="B9" s="1316" t="s">
        <v>245</v>
      </c>
      <c r="C9" s="1026"/>
    </row>
    <row r="10" spans="1:6" ht="203.25" customHeight="1" x14ac:dyDescent="0.2">
      <c r="A10" s="490" t="s">
        <v>699</v>
      </c>
      <c r="B10" s="1307" t="s">
        <v>246</v>
      </c>
      <c r="C10" s="1319"/>
      <c r="D10" s="388"/>
      <c r="E10" s="388"/>
      <c r="F10" s="388"/>
    </row>
    <row r="11" spans="1:6" ht="32.25" customHeight="1" x14ac:dyDescent="0.2">
      <c r="A11" s="492" t="s">
        <v>700</v>
      </c>
      <c r="B11" s="1317" t="s">
        <v>247</v>
      </c>
      <c r="C11" s="1318"/>
    </row>
    <row r="12" spans="1:6" ht="33.75" customHeight="1" x14ac:dyDescent="0.2">
      <c r="A12" s="492" t="s">
        <v>701</v>
      </c>
      <c r="B12" s="1317" t="s">
        <v>248</v>
      </c>
      <c r="C12" s="1318"/>
    </row>
    <row r="13" spans="1:6" ht="45.75" customHeight="1" thickBot="1" x14ac:dyDescent="0.25">
      <c r="A13" s="493" t="s">
        <v>702</v>
      </c>
      <c r="B13" s="1322" t="s">
        <v>249</v>
      </c>
      <c r="C13" s="1323"/>
    </row>
    <row r="14" spans="1:6" ht="36.75" customHeight="1" x14ac:dyDescent="0.2">
      <c r="A14" s="492" t="s">
        <v>703</v>
      </c>
      <c r="B14" s="1309" t="s">
        <v>250</v>
      </c>
      <c r="C14" s="1310"/>
      <c r="D14" s="388"/>
      <c r="E14" s="388"/>
    </row>
    <row r="15" spans="1:6" ht="174" customHeight="1" x14ac:dyDescent="0.2">
      <c r="A15" s="494" t="s">
        <v>704</v>
      </c>
      <c r="B15" s="1311"/>
      <c r="C15" s="1312"/>
    </row>
    <row r="16" spans="1:6" ht="30.75" customHeight="1" x14ac:dyDescent="0.2">
      <c r="A16" s="490" t="s">
        <v>705</v>
      </c>
      <c r="B16" s="1324" t="s">
        <v>196</v>
      </c>
      <c r="C16" s="1319"/>
      <c r="D16" s="495"/>
    </row>
    <row r="17" spans="1:5" ht="156.75" customHeight="1" x14ac:dyDescent="0.2">
      <c r="A17" s="490" t="s">
        <v>706</v>
      </c>
      <c r="B17" s="1307" t="s">
        <v>235</v>
      </c>
      <c r="C17" s="1308"/>
    </row>
    <row r="18" spans="1:5" ht="30" customHeight="1" x14ac:dyDescent="0.2">
      <c r="A18" s="490" t="s">
        <v>707</v>
      </c>
      <c r="B18" s="496"/>
      <c r="C18" s="497"/>
      <c r="D18" s="388"/>
      <c r="E18" s="388"/>
    </row>
    <row r="19" spans="1:5" ht="30" customHeight="1" x14ac:dyDescent="0.2">
      <c r="A19" s="492" t="s">
        <v>708</v>
      </c>
      <c r="B19" s="388"/>
      <c r="C19" s="498"/>
      <c r="D19" s="388"/>
      <c r="E19" s="388"/>
    </row>
    <row r="20" spans="1:5" ht="30" customHeight="1" x14ac:dyDescent="0.2">
      <c r="A20" s="490" t="s">
        <v>709</v>
      </c>
      <c r="B20" s="499"/>
      <c r="C20" s="500"/>
      <c r="D20" s="76"/>
    </row>
    <row r="21" spans="1:5" ht="233.25" customHeight="1" thickBot="1" x14ac:dyDescent="0.25">
      <c r="A21" s="501" t="s">
        <v>710</v>
      </c>
      <c r="B21" s="1320" t="s">
        <v>251</v>
      </c>
      <c r="C21" s="1321"/>
      <c r="D21" s="388"/>
    </row>
    <row r="22" spans="1:5" ht="15.75" x14ac:dyDescent="0.25">
      <c r="A22" s="502"/>
      <c r="B22" s="503"/>
      <c r="D22" s="76"/>
    </row>
    <row r="23" spans="1:5" ht="15.75" x14ac:dyDescent="0.25">
      <c r="A23" s="504"/>
      <c r="D23" s="388"/>
    </row>
    <row r="24" spans="1:5" ht="15.75" x14ac:dyDescent="0.25">
      <c r="A24" s="504"/>
      <c r="D24" s="76"/>
    </row>
    <row r="25" spans="1:5" ht="15.75" x14ac:dyDescent="0.25">
      <c r="A25" s="504"/>
      <c r="D25" s="388"/>
    </row>
    <row r="26" spans="1:5" ht="15.75" x14ac:dyDescent="0.25">
      <c r="A26" s="504"/>
      <c r="D26" s="76"/>
    </row>
    <row r="28" spans="1:5" x14ac:dyDescent="0.2">
      <c r="D28" s="152"/>
    </row>
    <row r="30" spans="1:5" ht="32.25" customHeight="1" x14ac:dyDescent="0.2"/>
    <row r="32" spans="1:5" ht="40.5" customHeight="1" x14ac:dyDescent="0.2">
      <c r="A32" s="506"/>
    </row>
  </sheetData>
  <sheetProtection sheet="1"/>
  <mergeCells count="18">
    <mergeCell ref="B21:C21"/>
    <mergeCell ref="B13:C13"/>
    <mergeCell ref="B16:C16"/>
    <mergeCell ref="B5:C5"/>
    <mergeCell ref="B6:C6"/>
    <mergeCell ref="A1:C1"/>
    <mergeCell ref="A2:C2"/>
    <mergeCell ref="B3:C3"/>
    <mergeCell ref="B4:C4"/>
    <mergeCell ref="B17:C17"/>
    <mergeCell ref="B14:C15"/>
    <mergeCell ref="A6:A9"/>
    <mergeCell ref="B9:C9"/>
    <mergeCell ref="B11:C11"/>
    <mergeCell ref="B10:C10"/>
    <mergeCell ref="B12:C12"/>
    <mergeCell ref="B8:C8"/>
    <mergeCell ref="B7:C7"/>
  </mergeCells>
  <phoneticPr fontId="0" type="noConversion"/>
  <hyperlinks>
    <hyperlink ref="B4" location="demographic!D6" display="back to formset"/>
    <hyperlink ref="A6" r:id="rId1"/>
    <hyperlink ref="B11" location="fixed" display="back to formset"/>
    <hyperlink ref="B13" location="mobile" display="back to formset"/>
    <hyperlink ref="B12" location="portable" display="back to formset"/>
    <hyperlink ref="B14" location="code_7594" display="back to formset"/>
    <hyperlink ref="A2:C2" r:id="rId2" display="Please note as a result of the changes during the 2007 legislative session, some of these definitions have clarified, changed, or have been added. See Minnesota Statutes, section 144.565."/>
    <hyperlink ref="B4:C4" location="demograpic" display="return to Demographic"/>
    <hyperlink ref="B16:C16" location="'Capital Expend Project Specific'!A1" display="Capital Expenditure Project Specific Tab"/>
    <hyperlink ref="B10:C10" location="'Economic Interest'!A1" display="Financial or Economic Interest"/>
    <hyperlink ref="B6:C6" location="'Demog Contact'!A1" display="Demographic"/>
    <hyperlink ref="B7:C7" location="'Mobile Locations'!A1" display="Mobile Locations"/>
    <hyperlink ref="B8:C8" location="'Leased Equip'!A1" display="Leased Equipment"/>
    <hyperlink ref="B9:C9" location="'Economic Interest'!A1" display="Economic Interest"/>
    <hyperlink ref="B17:C17" r:id="rId3" location="stat.256B.0625" display="https://www.revisor.leg.state.mn.us/statutes/?id=256B.0625 - stat.256B.0625"/>
    <hyperlink ref="B21:C21" location="'Capital Expend Project Specific'!A1" display="'Capital Expend Project Specific'!A1"/>
  </hyperlinks>
  <printOptions horizontalCentered="1"/>
  <pageMargins left="0.75" right="0.75" top="1" bottom="1" header="0.5" footer="0.5"/>
  <pageSetup scale="90" fitToHeight="3" orientation="portrait" r:id="rId4"/>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rowBreaks count="1" manualBreakCount="1">
    <brk id="13"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6"/>
    <pageSetUpPr fitToPage="1"/>
  </sheetPr>
  <dimension ref="A1:EY676"/>
  <sheetViews>
    <sheetView zoomScaleNormal="100" workbookViewId="0">
      <selection sqref="A1:C1"/>
    </sheetView>
  </sheetViews>
  <sheetFormatPr defaultRowHeight="12.75" x14ac:dyDescent="0.2"/>
  <cols>
    <col min="1" max="1" width="12" style="92" customWidth="1"/>
    <col min="2" max="2" width="63.85546875" style="93" customWidth="1"/>
    <col min="3" max="3" width="26.28515625" style="93" customWidth="1"/>
    <col min="4" max="4" width="35.28515625" style="93" hidden="1" customWidth="1"/>
    <col min="5" max="5" width="14" style="93" hidden="1" customWidth="1"/>
    <col min="6" max="6" width="21.42578125" style="93" hidden="1" customWidth="1"/>
    <col min="7" max="7" width="5.7109375" style="93" hidden="1" customWidth="1"/>
    <col min="8" max="8" width="6" style="93" hidden="1" customWidth="1"/>
    <col min="9" max="9" width="5" style="93" hidden="1" customWidth="1"/>
    <col min="10" max="10" width="22.140625" style="93" hidden="1" customWidth="1"/>
    <col min="11" max="11" width="16.5703125" style="93" hidden="1" customWidth="1"/>
    <col min="12" max="12" width="15.42578125" style="93" hidden="1" customWidth="1"/>
    <col min="13" max="13" width="7.140625" style="93" hidden="1" customWidth="1"/>
    <col min="14" max="14" width="6" style="93" hidden="1" customWidth="1"/>
    <col min="15" max="15" width="5.140625" style="93" hidden="1" customWidth="1"/>
    <col min="16" max="17" width="14.5703125" style="93" hidden="1" customWidth="1"/>
    <col min="18" max="18" width="11.28515625" style="93" hidden="1" customWidth="1"/>
    <col min="19" max="19" width="11.7109375" style="93" hidden="1" customWidth="1"/>
    <col min="20" max="20" width="11.42578125" style="93" hidden="1" customWidth="1"/>
    <col min="21" max="21" width="6" style="93" hidden="1" customWidth="1"/>
    <col min="22" max="22" width="13" style="93" hidden="1" customWidth="1"/>
    <col min="23" max="23" width="10.85546875" style="93" hidden="1" customWidth="1"/>
    <col min="24" max="24" width="14.85546875" style="93" hidden="1" customWidth="1"/>
    <col min="25" max="25" width="12.140625" style="93" hidden="1" customWidth="1"/>
    <col min="26" max="26" width="8.42578125" style="93" hidden="1" customWidth="1"/>
    <col min="27" max="28" width="9.140625" style="93" hidden="1" customWidth="1"/>
    <col min="29" max="29" width="18.7109375" style="93" hidden="1" customWidth="1"/>
    <col min="30" max="30" width="15.85546875" style="565" hidden="1" customWidth="1"/>
    <col min="31" max="31" width="12.85546875" style="93" hidden="1" customWidth="1"/>
    <col min="32" max="57" width="9.140625" style="93" hidden="1" customWidth="1"/>
    <col min="58" max="58" width="13.7109375" style="93" hidden="1" customWidth="1"/>
    <col min="59" max="64" width="9.140625" style="93" hidden="1" customWidth="1"/>
    <col min="65" max="65" width="11.7109375" style="93" hidden="1" customWidth="1"/>
    <col min="66" max="85" width="9.140625" style="93" hidden="1" customWidth="1"/>
    <col min="86" max="87" width="11" style="93" hidden="1" customWidth="1"/>
    <col min="88" max="88" width="11" style="566" hidden="1" customWidth="1"/>
    <col min="89" max="92" width="11" style="93" hidden="1" customWidth="1"/>
    <col min="93" max="99" width="10.140625" style="93" hidden="1" customWidth="1"/>
    <col min="100" max="102" width="9.140625" style="19" hidden="1" customWidth="1"/>
    <col min="103" max="104" width="11.7109375" style="19" hidden="1" customWidth="1"/>
    <col min="105" max="105" width="11.7109375" style="92" hidden="1" customWidth="1"/>
    <col min="106" max="107" width="11.7109375" style="93" hidden="1" customWidth="1"/>
    <col min="108" max="108" width="9.28515625" style="93" hidden="1" customWidth="1"/>
    <col min="109" max="138" width="9.140625" style="93" hidden="1" customWidth="1"/>
    <col min="139" max="147" width="9.140625" style="92" hidden="1" customWidth="1"/>
    <col min="148" max="148" width="10.7109375" style="93" customWidth="1"/>
    <col min="149" max="149" width="12.5703125" style="93" customWidth="1"/>
    <col min="150" max="150" width="68.7109375" style="93" customWidth="1"/>
    <col min="151" max="151" width="16.140625" style="93" customWidth="1"/>
    <col min="152" max="152" width="37.5703125" style="93" customWidth="1"/>
    <col min="153" max="155" width="11.7109375" style="93" customWidth="1"/>
    <col min="156" max="16384" width="9.140625" style="93"/>
  </cols>
  <sheetData>
    <row r="1" spans="1:155" s="524" customFormat="1" ht="81" customHeight="1" x14ac:dyDescent="0.2">
      <c r="A1" s="1328" t="str">
        <f>CONCATENATE('Demog Contact'!N1," HCCIS Diagnostic Imaging - Facility List 
(Alphabetical by Facility Name)")</f>
        <v>2019 HCCIS Diagnostic Imaging - Facility List 
(Alphabetical by Facility Name)</v>
      </c>
      <c r="B1" s="1329"/>
      <c r="C1" s="1329"/>
      <c r="D1" s="507" t="s">
        <v>281</v>
      </c>
      <c r="E1" s="508">
        <v>5</v>
      </c>
      <c r="F1" s="508">
        <v>6</v>
      </c>
      <c r="G1" s="508">
        <v>7</v>
      </c>
      <c r="H1" s="508">
        <v>8</v>
      </c>
      <c r="I1" s="508">
        <v>9</v>
      </c>
      <c r="J1" s="509" t="s">
        <v>282</v>
      </c>
      <c r="K1" s="510">
        <v>11</v>
      </c>
      <c r="L1" s="510">
        <v>12</v>
      </c>
      <c r="M1" s="510">
        <v>13</v>
      </c>
      <c r="N1" s="510">
        <v>14</v>
      </c>
      <c r="O1" s="510">
        <v>15</v>
      </c>
      <c r="P1" s="510">
        <v>16</v>
      </c>
      <c r="Q1" s="508">
        <v>17</v>
      </c>
      <c r="R1" s="508">
        <v>18</v>
      </c>
      <c r="S1" s="508">
        <v>19</v>
      </c>
      <c r="T1" s="508">
        <v>20</v>
      </c>
      <c r="U1" s="508">
        <v>21</v>
      </c>
      <c r="V1" s="508">
        <v>22</v>
      </c>
      <c r="W1" s="508">
        <v>23</v>
      </c>
      <c r="X1" s="511" t="s">
        <v>280</v>
      </c>
      <c r="Y1" s="512">
        <v>25</v>
      </c>
      <c r="Z1" s="512">
        <v>26</v>
      </c>
      <c r="AA1" s="512">
        <v>27</v>
      </c>
      <c r="AB1" s="512"/>
      <c r="AC1" s="512">
        <v>29</v>
      </c>
      <c r="AD1" s="512">
        <v>30</v>
      </c>
      <c r="AE1" s="512">
        <v>31</v>
      </c>
      <c r="AF1" s="512">
        <v>32</v>
      </c>
      <c r="AG1" s="512">
        <v>33</v>
      </c>
      <c r="AH1" s="512">
        <v>34</v>
      </c>
      <c r="AI1" s="512">
        <v>35</v>
      </c>
      <c r="AJ1" s="512">
        <v>36</v>
      </c>
      <c r="AK1" s="512">
        <v>37</v>
      </c>
      <c r="AL1" s="512">
        <v>38</v>
      </c>
      <c r="AM1" s="513">
        <v>39</v>
      </c>
      <c r="AN1" s="514">
        <v>40</v>
      </c>
      <c r="AO1" s="514">
        <v>41</v>
      </c>
      <c r="AP1" s="514">
        <v>42</v>
      </c>
      <c r="AQ1" s="514">
        <v>43</v>
      </c>
      <c r="AR1" s="514">
        <v>44</v>
      </c>
      <c r="AS1" s="514">
        <v>45</v>
      </c>
      <c r="AT1" s="514">
        <v>46</v>
      </c>
      <c r="AU1" s="514">
        <v>47</v>
      </c>
      <c r="AV1" s="514">
        <v>48</v>
      </c>
      <c r="AW1" s="514">
        <v>49</v>
      </c>
      <c r="AX1" s="514">
        <v>50</v>
      </c>
      <c r="AY1" s="514">
        <v>51</v>
      </c>
      <c r="AZ1" s="514">
        <v>52</v>
      </c>
      <c r="BA1" s="514">
        <v>53</v>
      </c>
      <c r="BB1" s="515">
        <v>54</v>
      </c>
      <c r="BC1" s="516">
        <v>55</v>
      </c>
      <c r="BD1" s="516">
        <v>56</v>
      </c>
      <c r="BE1" s="516">
        <v>57</v>
      </c>
      <c r="BF1" s="516">
        <v>58</v>
      </c>
      <c r="BG1" s="516">
        <v>59</v>
      </c>
      <c r="BH1" s="516">
        <v>60</v>
      </c>
      <c r="BI1" s="516">
        <v>61</v>
      </c>
      <c r="BJ1" s="516">
        <v>62</v>
      </c>
      <c r="BK1" s="516">
        <v>63</v>
      </c>
      <c r="BL1" s="516">
        <v>64</v>
      </c>
      <c r="BM1" s="516">
        <v>65</v>
      </c>
      <c r="BN1" s="516">
        <v>66</v>
      </c>
      <c r="BO1" s="516">
        <v>67</v>
      </c>
      <c r="BP1" s="516">
        <v>68</v>
      </c>
      <c r="BQ1" s="517">
        <v>69</v>
      </c>
      <c r="BR1" s="518">
        <v>70</v>
      </c>
      <c r="BS1" s="518">
        <v>71</v>
      </c>
      <c r="BT1" s="518">
        <v>72</v>
      </c>
      <c r="BU1" s="518">
        <v>73</v>
      </c>
      <c r="BV1" s="518">
        <v>74</v>
      </c>
      <c r="BW1" s="518">
        <v>75</v>
      </c>
      <c r="BX1" s="518">
        <v>76</v>
      </c>
      <c r="BY1" s="518">
        <v>77</v>
      </c>
      <c r="BZ1" s="518">
        <v>78</v>
      </c>
      <c r="CA1" s="518">
        <v>79</v>
      </c>
      <c r="CB1" s="518">
        <v>80</v>
      </c>
      <c r="CC1" s="518">
        <v>81</v>
      </c>
      <c r="CD1" s="518">
        <v>82</v>
      </c>
      <c r="CE1" s="518">
        <v>83</v>
      </c>
      <c r="CF1" s="519">
        <v>84</v>
      </c>
      <c r="CG1" s="519">
        <v>85</v>
      </c>
      <c r="CH1" s="519">
        <v>86</v>
      </c>
      <c r="CI1" s="519">
        <v>87</v>
      </c>
      <c r="CJ1" s="519">
        <v>88</v>
      </c>
      <c r="CK1" s="519">
        <v>89</v>
      </c>
      <c r="CL1" s="519">
        <v>90</v>
      </c>
      <c r="CM1" s="519">
        <v>91</v>
      </c>
      <c r="CN1" s="520">
        <v>92</v>
      </c>
      <c r="CO1" s="521">
        <v>93</v>
      </c>
      <c r="CP1" s="514">
        <v>94</v>
      </c>
      <c r="CQ1" s="516">
        <v>95</v>
      </c>
      <c r="CR1" s="518">
        <v>96</v>
      </c>
      <c r="CS1" s="519">
        <v>97</v>
      </c>
      <c r="CT1" s="519">
        <v>98</v>
      </c>
      <c r="CU1" s="519">
        <v>99</v>
      </c>
      <c r="CV1" s="508">
        <v>100</v>
      </c>
      <c r="CW1" s="508">
        <v>101</v>
      </c>
      <c r="CX1" s="508">
        <v>102</v>
      </c>
      <c r="CY1" s="508">
        <v>103</v>
      </c>
      <c r="CZ1" s="508">
        <v>104</v>
      </c>
      <c r="DA1" s="508">
        <v>105</v>
      </c>
      <c r="DB1" s="508">
        <v>106</v>
      </c>
      <c r="DC1" s="508">
        <v>107</v>
      </c>
      <c r="DD1" s="522">
        <v>108</v>
      </c>
      <c r="DE1" s="522">
        <v>109</v>
      </c>
      <c r="DF1" s="522">
        <v>110</v>
      </c>
      <c r="DG1" s="522">
        <v>111</v>
      </c>
      <c r="DH1" s="522">
        <v>112</v>
      </c>
      <c r="DI1" s="522">
        <v>113</v>
      </c>
      <c r="DJ1" s="522">
        <v>114</v>
      </c>
      <c r="DK1" s="522">
        <v>115</v>
      </c>
      <c r="DL1" s="522">
        <v>116</v>
      </c>
      <c r="DM1" s="522">
        <v>117</v>
      </c>
      <c r="DN1" s="522">
        <v>118</v>
      </c>
      <c r="DO1" s="522">
        <v>119</v>
      </c>
      <c r="DP1" s="522">
        <v>120</v>
      </c>
      <c r="DQ1" s="522">
        <v>121</v>
      </c>
      <c r="DR1" s="522">
        <v>122</v>
      </c>
      <c r="DS1" s="522">
        <v>123</v>
      </c>
      <c r="DT1" s="522">
        <v>124</v>
      </c>
      <c r="DU1" s="522">
        <v>125</v>
      </c>
      <c r="DV1" s="522">
        <v>126</v>
      </c>
      <c r="DW1" s="522">
        <v>127</v>
      </c>
      <c r="DX1" s="522">
        <v>128</v>
      </c>
      <c r="DY1" s="522">
        <v>129</v>
      </c>
      <c r="DZ1" s="522">
        <v>130</v>
      </c>
      <c r="EA1" s="522">
        <v>131</v>
      </c>
      <c r="EB1" s="522">
        <v>132</v>
      </c>
      <c r="EC1" s="522">
        <v>133</v>
      </c>
      <c r="ED1" s="522">
        <v>134</v>
      </c>
      <c r="EE1" s="522">
        <v>135</v>
      </c>
      <c r="EF1" s="522">
        <v>136</v>
      </c>
      <c r="EG1" s="522">
        <v>137</v>
      </c>
      <c r="EH1" s="522">
        <v>138</v>
      </c>
      <c r="EI1" s="522">
        <v>139</v>
      </c>
      <c r="EJ1" s="522">
        <v>140</v>
      </c>
      <c r="EK1" s="522">
        <v>141</v>
      </c>
      <c r="EL1" s="522">
        <v>142</v>
      </c>
      <c r="EM1" s="522">
        <v>143</v>
      </c>
      <c r="EN1" s="522">
        <v>144</v>
      </c>
      <c r="EO1" s="522">
        <v>145</v>
      </c>
      <c r="EP1" s="522">
        <v>146</v>
      </c>
      <c r="EQ1" s="522">
        <v>147</v>
      </c>
      <c r="ER1" s="523"/>
      <c r="ES1" s="1328" t="str">
        <f>CONCATENATE('Demog Contact'!N1," HCCIS Diagnostic Imaging - Lease Entities  (alphabetical by City)")</f>
        <v>2019 HCCIS Diagnostic Imaging - Lease Entities  (alphabetical by City)</v>
      </c>
      <c r="ET1" s="1330"/>
      <c r="EU1" s="586" t="s">
        <v>281</v>
      </c>
      <c r="EV1" s="586">
        <v>4</v>
      </c>
      <c r="EW1" s="587">
        <v>5</v>
      </c>
      <c r="EX1" s="587">
        <v>6</v>
      </c>
      <c r="EY1" s="588">
        <v>7</v>
      </c>
    </row>
    <row r="2" spans="1:155" s="524" customFormat="1" ht="40.5" customHeight="1" x14ac:dyDescent="0.2">
      <c r="A2" s="525" t="s">
        <v>2257</v>
      </c>
      <c r="B2" s="526" t="s">
        <v>40</v>
      </c>
      <c r="C2" s="527" t="s">
        <v>128</v>
      </c>
      <c r="D2" s="524" t="s">
        <v>127</v>
      </c>
      <c r="E2" s="528" t="s">
        <v>41</v>
      </c>
      <c r="F2" s="528" t="s">
        <v>135</v>
      </c>
      <c r="G2" s="528" t="s">
        <v>136</v>
      </c>
      <c r="H2" s="528" t="s">
        <v>283</v>
      </c>
      <c r="I2" s="528" t="s">
        <v>43</v>
      </c>
      <c r="J2" s="528" t="s">
        <v>127</v>
      </c>
      <c r="K2" s="528" t="s">
        <v>41</v>
      </c>
      <c r="L2" s="528" t="s">
        <v>128</v>
      </c>
      <c r="M2" s="528" t="s">
        <v>135</v>
      </c>
      <c r="N2" s="528" t="s">
        <v>136</v>
      </c>
      <c r="O2" s="528" t="s">
        <v>283</v>
      </c>
      <c r="P2" s="528" t="s">
        <v>43</v>
      </c>
      <c r="Q2" s="528" t="s">
        <v>44</v>
      </c>
      <c r="R2" s="528" t="s">
        <v>45</v>
      </c>
      <c r="S2" s="529" t="s">
        <v>46</v>
      </c>
      <c r="T2" s="529" t="s">
        <v>47</v>
      </c>
      <c r="U2" s="528" t="s">
        <v>48</v>
      </c>
      <c r="V2" s="528" t="s">
        <v>49</v>
      </c>
      <c r="W2" s="528" t="s">
        <v>50</v>
      </c>
      <c r="X2" s="530" t="s">
        <v>232</v>
      </c>
      <c r="Y2" s="530" t="s">
        <v>233</v>
      </c>
      <c r="Z2" s="531" t="s">
        <v>234</v>
      </c>
      <c r="AA2" s="531" t="s">
        <v>70</v>
      </c>
      <c r="AB2" s="530" t="s">
        <v>71</v>
      </c>
      <c r="AC2" s="530" t="s">
        <v>72</v>
      </c>
      <c r="AD2" s="530" t="s">
        <v>73</v>
      </c>
      <c r="AE2" s="531" t="s">
        <v>74</v>
      </c>
      <c r="AF2" s="531" t="s">
        <v>75</v>
      </c>
      <c r="AG2" s="531" t="s">
        <v>76</v>
      </c>
      <c r="AH2" s="531" t="s">
        <v>77</v>
      </c>
      <c r="AI2" s="531" t="s">
        <v>78</v>
      </c>
      <c r="AJ2" s="531" t="s">
        <v>79</v>
      </c>
      <c r="AK2" s="531" t="s">
        <v>80</v>
      </c>
      <c r="AL2" s="531" t="s">
        <v>81</v>
      </c>
      <c r="AM2" s="530" t="s">
        <v>217</v>
      </c>
      <c r="AN2" s="530" t="s">
        <v>218</v>
      </c>
      <c r="AO2" s="531" t="s">
        <v>219</v>
      </c>
      <c r="AP2" s="531" t="s">
        <v>220</v>
      </c>
      <c r="AQ2" s="530" t="s">
        <v>221</v>
      </c>
      <c r="AR2" s="530" t="s">
        <v>222</v>
      </c>
      <c r="AS2" s="530" t="s">
        <v>223</v>
      </c>
      <c r="AT2" s="531" t="s">
        <v>224</v>
      </c>
      <c r="AU2" s="531" t="s">
        <v>225</v>
      </c>
      <c r="AV2" s="531" t="s">
        <v>226</v>
      </c>
      <c r="AW2" s="531" t="s">
        <v>227</v>
      </c>
      <c r="AX2" s="531" t="s">
        <v>228</v>
      </c>
      <c r="AY2" s="531" t="s">
        <v>229</v>
      </c>
      <c r="AZ2" s="531" t="s">
        <v>230</v>
      </c>
      <c r="BA2" s="531" t="s">
        <v>231</v>
      </c>
      <c r="BB2" s="530" t="s">
        <v>285</v>
      </c>
      <c r="BC2" s="530" t="s">
        <v>286</v>
      </c>
      <c r="BD2" s="531" t="s">
        <v>287</v>
      </c>
      <c r="BE2" s="531" t="s">
        <v>288</v>
      </c>
      <c r="BF2" s="530" t="s">
        <v>289</v>
      </c>
      <c r="BG2" s="530" t="s">
        <v>290</v>
      </c>
      <c r="BH2" s="530" t="s">
        <v>291</v>
      </c>
      <c r="BI2" s="531" t="s">
        <v>292</v>
      </c>
      <c r="BJ2" s="531" t="s">
        <v>293</v>
      </c>
      <c r="BK2" s="531" t="s">
        <v>294</v>
      </c>
      <c r="BL2" s="531" t="s">
        <v>295</v>
      </c>
      <c r="BM2" s="531" t="s">
        <v>296</v>
      </c>
      <c r="BN2" s="531" t="s">
        <v>297</v>
      </c>
      <c r="BO2" s="531" t="s">
        <v>215</v>
      </c>
      <c r="BP2" s="531" t="s">
        <v>216</v>
      </c>
      <c r="BQ2" s="530" t="s">
        <v>0</v>
      </c>
      <c r="BR2" s="530" t="s">
        <v>1</v>
      </c>
      <c r="BS2" s="531" t="s">
        <v>2</v>
      </c>
      <c r="BT2" s="531" t="s">
        <v>3</v>
      </c>
      <c r="BU2" s="530" t="s">
        <v>4</v>
      </c>
      <c r="BV2" s="530" t="s">
        <v>5</v>
      </c>
      <c r="BW2" s="530" t="s">
        <v>6</v>
      </c>
      <c r="BX2" s="531" t="s">
        <v>7</v>
      </c>
      <c r="BY2" s="531" t="s">
        <v>8</v>
      </c>
      <c r="BZ2" s="531" t="s">
        <v>9</v>
      </c>
      <c r="CA2" s="531" t="s">
        <v>10</v>
      </c>
      <c r="CB2" s="531" t="s">
        <v>11</v>
      </c>
      <c r="CC2" s="531" t="s">
        <v>12</v>
      </c>
      <c r="CD2" s="531" t="s">
        <v>13</v>
      </c>
      <c r="CE2" s="531" t="s">
        <v>14</v>
      </c>
      <c r="CF2" s="532" t="s">
        <v>53</v>
      </c>
      <c r="CG2" s="532" t="s">
        <v>62</v>
      </c>
      <c r="CH2" s="532" t="s">
        <v>63</v>
      </c>
      <c r="CI2" s="532" t="s">
        <v>64</v>
      </c>
      <c r="CJ2" s="532" t="s">
        <v>65</v>
      </c>
      <c r="CK2" s="532" t="s">
        <v>298</v>
      </c>
      <c r="CL2" s="532" t="s">
        <v>299</v>
      </c>
      <c r="CM2" s="533" t="s">
        <v>87</v>
      </c>
      <c r="CN2" s="532" t="s">
        <v>305</v>
      </c>
      <c r="CO2" s="534" t="s">
        <v>306</v>
      </c>
      <c r="CP2" s="532" t="s">
        <v>307</v>
      </c>
      <c r="CQ2" s="532" t="s">
        <v>308</v>
      </c>
      <c r="CR2" s="532" t="s">
        <v>309</v>
      </c>
      <c r="CS2" s="535" t="s">
        <v>300</v>
      </c>
      <c r="CT2" s="535" t="s">
        <v>301</v>
      </c>
      <c r="CU2" s="535" t="s">
        <v>258</v>
      </c>
      <c r="CV2" s="532" t="s">
        <v>164</v>
      </c>
      <c r="CW2" s="532" t="s">
        <v>165</v>
      </c>
      <c r="CX2" s="532" t="s">
        <v>166</v>
      </c>
      <c r="CY2" s="532" t="s">
        <v>152</v>
      </c>
      <c r="CZ2" s="532" t="s">
        <v>167</v>
      </c>
      <c r="DA2" s="532" t="s">
        <v>168</v>
      </c>
      <c r="DB2" s="532" t="s">
        <v>169</v>
      </c>
      <c r="DC2" s="532" t="s">
        <v>170</v>
      </c>
      <c r="DD2" s="536" t="s">
        <v>430</v>
      </c>
      <c r="DE2" s="536" t="s">
        <v>417</v>
      </c>
      <c r="DF2" s="536" t="s">
        <v>431</v>
      </c>
      <c r="DG2" s="536" t="s">
        <v>418</v>
      </c>
      <c r="DH2" s="536" t="s">
        <v>432</v>
      </c>
      <c r="DI2" s="536" t="s">
        <v>419</v>
      </c>
      <c r="DJ2" s="536" t="s">
        <v>433</v>
      </c>
      <c r="DK2" s="536" t="s">
        <v>420</v>
      </c>
      <c r="DL2" s="537" t="s">
        <v>454</v>
      </c>
      <c r="DM2" s="537" t="s">
        <v>455</v>
      </c>
      <c r="DN2" s="537" t="s">
        <v>456</v>
      </c>
      <c r="DO2" s="537" t="s">
        <v>457</v>
      </c>
      <c r="DP2" s="537" t="s">
        <v>458</v>
      </c>
      <c r="DQ2" s="537" t="s">
        <v>459</v>
      </c>
      <c r="DR2" s="538" t="s">
        <v>434</v>
      </c>
      <c r="DS2" s="538" t="s">
        <v>421</v>
      </c>
      <c r="DT2" s="538" t="s">
        <v>435</v>
      </c>
      <c r="DU2" s="538" t="s">
        <v>422</v>
      </c>
      <c r="DV2" s="538" t="s">
        <v>436</v>
      </c>
      <c r="DW2" s="538" t="s">
        <v>423</v>
      </c>
      <c r="DX2" s="538" t="s">
        <v>437</v>
      </c>
      <c r="DY2" s="538" t="s">
        <v>424</v>
      </c>
      <c r="DZ2" s="538" t="s">
        <v>438</v>
      </c>
      <c r="EA2" s="538" t="s">
        <v>425</v>
      </c>
      <c r="EB2" s="538" t="s">
        <v>439</v>
      </c>
      <c r="EC2" s="538" t="s">
        <v>426</v>
      </c>
      <c r="ED2" s="538" t="s">
        <v>440</v>
      </c>
      <c r="EE2" s="538" t="s">
        <v>427</v>
      </c>
      <c r="EF2" s="538" t="s">
        <v>441</v>
      </c>
      <c r="EG2" s="538" t="s">
        <v>428</v>
      </c>
      <c r="EH2" s="538" t="s">
        <v>442</v>
      </c>
      <c r="EI2" s="538" t="s">
        <v>429</v>
      </c>
      <c r="EJ2" s="577" t="s">
        <v>1962</v>
      </c>
      <c r="EK2" s="577" t="s">
        <v>1963</v>
      </c>
      <c r="EL2" s="577" t="s">
        <v>1964</v>
      </c>
      <c r="EM2" s="577" t="s">
        <v>1965</v>
      </c>
      <c r="EN2" s="577" t="s">
        <v>1966</v>
      </c>
      <c r="EO2" s="577" t="s">
        <v>1967</v>
      </c>
      <c r="EP2" s="577" t="s">
        <v>1968</v>
      </c>
      <c r="EQ2" s="577" t="s">
        <v>1969</v>
      </c>
      <c r="ER2" s="539"/>
      <c r="ES2" s="525" t="s">
        <v>34</v>
      </c>
      <c r="ET2" s="526" t="s">
        <v>209</v>
      </c>
      <c r="EU2" s="527" t="s">
        <v>128</v>
      </c>
      <c r="EV2" s="527" t="s">
        <v>127</v>
      </c>
      <c r="EW2" s="540" t="s">
        <v>136</v>
      </c>
      <c r="EX2" s="540" t="s">
        <v>283</v>
      </c>
      <c r="EY2" s="541" t="s">
        <v>87</v>
      </c>
    </row>
    <row r="3" spans="1:155" x14ac:dyDescent="0.2">
      <c r="A3" s="598">
        <v>1429</v>
      </c>
      <c r="B3" t="s">
        <v>2364</v>
      </c>
      <c r="C3" t="s">
        <v>1046</v>
      </c>
      <c r="D3" t="s">
        <v>2365</v>
      </c>
      <c r="E3" t="s">
        <v>2366</v>
      </c>
      <c r="F3"/>
      <c r="G3" t="s">
        <v>54</v>
      </c>
      <c r="H3" t="s">
        <v>2367</v>
      </c>
      <c r="I3" t="s">
        <v>2368</v>
      </c>
      <c r="J3" t="s">
        <v>2365</v>
      </c>
      <c r="K3" t="s">
        <v>2366</v>
      </c>
      <c r="L3" t="s">
        <v>1046</v>
      </c>
      <c r="M3"/>
      <c r="N3" t="s">
        <v>54</v>
      </c>
      <c r="O3" t="s">
        <v>2367</v>
      </c>
      <c r="P3" t="s">
        <v>2368</v>
      </c>
      <c r="Q3">
        <v>9525466866</v>
      </c>
      <c r="R3"/>
      <c r="S3" t="s">
        <v>804</v>
      </c>
      <c r="T3" t="s">
        <v>2369</v>
      </c>
      <c r="U3" t="s">
        <v>729</v>
      </c>
      <c r="V3" t="s">
        <v>2370</v>
      </c>
      <c r="W3" t="s">
        <v>2368</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t="s">
        <v>2371</v>
      </c>
      <c r="CG3" t="s">
        <v>755</v>
      </c>
      <c r="CH3" t="s">
        <v>2368</v>
      </c>
      <c r="CI3"/>
      <c r="CJ3"/>
      <c r="CK3"/>
      <c r="CL3"/>
      <c r="CM3"/>
      <c r="CN3">
        <v>2520</v>
      </c>
      <c r="CO3"/>
      <c r="CP3"/>
      <c r="CQ3"/>
      <c r="CR3"/>
      <c r="CS3"/>
      <c r="CT3"/>
      <c r="CU3"/>
      <c r="CV3"/>
      <c r="CW3"/>
      <c r="CX3" t="s">
        <v>2368</v>
      </c>
      <c r="CY3"/>
      <c r="CZ3" t="s">
        <v>2368</v>
      </c>
      <c r="DA3" t="s">
        <v>2368</v>
      </c>
      <c r="DB3" t="s">
        <v>2368</v>
      </c>
      <c r="DC3" t="s">
        <v>2368</v>
      </c>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s="569">
        <v>3</v>
      </c>
      <c r="ET3" t="s">
        <v>2125</v>
      </c>
      <c r="EU3" t="s">
        <v>922</v>
      </c>
      <c r="EV3" t="s">
        <v>2258</v>
      </c>
      <c r="EW3" t="s">
        <v>54</v>
      </c>
      <c r="EX3" s="599">
        <v>56510</v>
      </c>
      <c r="EY3">
        <v>1306836598</v>
      </c>
    </row>
    <row r="4" spans="1:155" x14ac:dyDescent="0.2">
      <c r="A4" s="598">
        <v>960</v>
      </c>
      <c r="B4" t="s">
        <v>723</v>
      </c>
      <c r="C4" t="s">
        <v>724</v>
      </c>
      <c r="D4" t="s">
        <v>725</v>
      </c>
      <c r="E4"/>
      <c r="F4" t="s">
        <v>726</v>
      </c>
      <c r="G4" t="s">
        <v>54</v>
      </c>
      <c r="H4" t="s">
        <v>2372</v>
      </c>
      <c r="I4"/>
      <c r="J4" t="s">
        <v>2373</v>
      </c>
      <c r="K4"/>
      <c r="L4" t="s">
        <v>728</v>
      </c>
      <c r="M4" t="s">
        <v>1986</v>
      </c>
      <c r="N4" t="s">
        <v>54</v>
      </c>
      <c r="O4" t="s">
        <v>2374</v>
      </c>
      <c r="P4"/>
      <c r="Q4">
        <v>3202315000</v>
      </c>
      <c r="R4">
        <v>3202146890</v>
      </c>
      <c r="S4" t="s">
        <v>2375</v>
      </c>
      <c r="T4" t="s">
        <v>2376</v>
      </c>
      <c r="U4" t="s">
        <v>1084</v>
      </c>
      <c r="V4" t="s">
        <v>2377</v>
      </c>
      <c r="W4" t="s">
        <v>2378</v>
      </c>
      <c r="X4" t="s">
        <v>2379</v>
      </c>
      <c r="Y4" t="s">
        <v>2380</v>
      </c>
      <c r="Z4" t="s">
        <v>731</v>
      </c>
      <c r="AA4" t="s">
        <v>2381</v>
      </c>
      <c r="AB4">
        <v>3202314009</v>
      </c>
      <c r="AC4"/>
      <c r="AD4">
        <v>3202314879</v>
      </c>
      <c r="AE4" t="s">
        <v>2382</v>
      </c>
      <c r="AF4" t="s">
        <v>2373</v>
      </c>
      <c r="AG4"/>
      <c r="AH4" t="s">
        <v>728</v>
      </c>
      <c r="AI4" t="s">
        <v>1986</v>
      </c>
      <c r="AJ4" t="s">
        <v>54</v>
      </c>
      <c r="AK4" t="s">
        <v>2374</v>
      </c>
      <c r="AL4"/>
      <c r="AM4" t="s">
        <v>1631</v>
      </c>
      <c r="AN4" t="s">
        <v>2383</v>
      </c>
      <c r="AO4" t="s">
        <v>766</v>
      </c>
      <c r="AP4" t="s">
        <v>2381</v>
      </c>
      <c r="AQ4">
        <v>3202314253</v>
      </c>
      <c r="AR4"/>
      <c r="AS4">
        <v>3202314270</v>
      </c>
      <c r="AT4" t="s">
        <v>2384</v>
      </c>
      <c r="AU4" t="s">
        <v>2373</v>
      </c>
      <c r="AV4"/>
      <c r="AW4" t="s">
        <v>728</v>
      </c>
      <c r="AX4" t="s">
        <v>1986</v>
      </c>
      <c r="AY4" t="s">
        <v>54</v>
      </c>
      <c r="AZ4" t="s">
        <v>2374</v>
      </c>
      <c r="BA4"/>
      <c r="BB4"/>
      <c r="BC4"/>
      <c r="BD4"/>
      <c r="BE4"/>
      <c r="BF4"/>
      <c r="BG4"/>
      <c r="BH4"/>
      <c r="BI4"/>
      <c r="BJ4"/>
      <c r="BK4"/>
      <c r="BL4"/>
      <c r="BM4"/>
      <c r="BN4"/>
      <c r="BO4"/>
      <c r="BP4"/>
      <c r="BQ4" t="s">
        <v>2379</v>
      </c>
      <c r="BR4" t="s">
        <v>2380</v>
      </c>
      <c r="BS4" t="s">
        <v>731</v>
      </c>
      <c r="BT4" t="s">
        <v>2381</v>
      </c>
      <c r="BU4">
        <v>3202314009</v>
      </c>
      <c r="BV4"/>
      <c r="BW4">
        <v>3202314879</v>
      </c>
      <c r="BX4" t="s">
        <v>2382</v>
      </c>
      <c r="BY4" t="s">
        <v>2373</v>
      </c>
      <c r="BZ4"/>
      <c r="CA4" t="s">
        <v>728</v>
      </c>
      <c r="CB4" t="s">
        <v>1986</v>
      </c>
      <c r="CC4" t="s">
        <v>54</v>
      </c>
      <c r="CD4" t="s">
        <v>2374</v>
      </c>
      <c r="CE4"/>
      <c r="CF4" t="s">
        <v>1987</v>
      </c>
      <c r="CG4" t="s">
        <v>2249</v>
      </c>
      <c r="CH4" t="s">
        <v>141</v>
      </c>
      <c r="CI4" t="s">
        <v>2385</v>
      </c>
      <c r="CJ4" t="s">
        <v>142</v>
      </c>
      <c r="CK4" t="s">
        <v>1988</v>
      </c>
      <c r="CL4" t="s">
        <v>56</v>
      </c>
      <c r="CM4">
        <v>1952363699</v>
      </c>
      <c r="CN4">
        <v>316</v>
      </c>
      <c r="CO4">
        <v>211</v>
      </c>
      <c r="CP4">
        <v>209</v>
      </c>
      <c r="CQ4"/>
      <c r="CR4">
        <v>211</v>
      </c>
      <c r="CS4" t="s">
        <v>2386</v>
      </c>
      <c r="CT4">
        <v>6</v>
      </c>
      <c r="CU4"/>
      <c r="CV4"/>
      <c r="CW4"/>
      <c r="CX4"/>
      <c r="CY4"/>
      <c r="CZ4"/>
      <c r="DA4"/>
      <c r="DB4"/>
      <c r="DC4"/>
      <c r="DD4">
        <v>128</v>
      </c>
      <c r="DE4" t="s">
        <v>2387</v>
      </c>
      <c r="DF4"/>
      <c r="DG4"/>
      <c r="DH4">
        <v>129</v>
      </c>
      <c r="DI4" t="s">
        <v>2388</v>
      </c>
      <c r="DJ4">
        <v>130</v>
      </c>
      <c r="DK4" t="s">
        <v>2389</v>
      </c>
      <c r="DL4"/>
      <c r="DM4"/>
      <c r="DN4"/>
      <c r="DO4"/>
      <c r="DP4"/>
      <c r="DQ4"/>
      <c r="DR4"/>
      <c r="DS4"/>
      <c r="DT4"/>
      <c r="DU4"/>
      <c r="DV4"/>
      <c r="DW4"/>
      <c r="DX4"/>
      <c r="DY4"/>
      <c r="DZ4"/>
      <c r="EA4"/>
      <c r="EB4"/>
      <c r="EC4"/>
      <c r="ED4"/>
      <c r="EE4"/>
      <c r="EF4"/>
      <c r="EG4"/>
      <c r="EH4"/>
      <c r="EI4"/>
      <c r="EJ4"/>
      <c r="EK4"/>
      <c r="EL4"/>
      <c r="EM4"/>
      <c r="EN4"/>
      <c r="EO4"/>
      <c r="EP4"/>
      <c r="EQ4"/>
      <c r="ER4"/>
      <c r="ES4" s="569">
        <v>825</v>
      </c>
      <c r="ET4" t="s">
        <v>1010</v>
      </c>
      <c r="EU4" t="s">
        <v>1011</v>
      </c>
      <c r="EV4" t="s">
        <v>2953</v>
      </c>
      <c r="EW4" t="s">
        <v>54</v>
      </c>
      <c r="EX4" s="600">
        <v>56431</v>
      </c>
      <c r="EY4"/>
    </row>
    <row r="5" spans="1:155" x14ac:dyDescent="0.2">
      <c r="A5" s="598">
        <v>677</v>
      </c>
      <c r="B5" t="s">
        <v>2133</v>
      </c>
      <c r="C5" t="s">
        <v>728</v>
      </c>
      <c r="D5" t="s">
        <v>727</v>
      </c>
      <c r="E5"/>
      <c r="F5" t="s">
        <v>1986</v>
      </c>
      <c r="G5" t="s">
        <v>54</v>
      </c>
      <c r="H5" t="s">
        <v>2374</v>
      </c>
      <c r="I5" t="s">
        <v>2390</v>
      </c>
      <c r="J5" t="s">
        <v>2373</v>
      </c>
      <c r="K5"/>
      <c r="L5" t="s">
        <v>728</v>
      </c>
      <c r="M5" t="s">
        <v>1986</v>
      </c>
      <c r="N5" t="s">
        <v>54</v>
      </c>
      <c r="O5" t="s">
        <v>2374</v>
      </c>
      <c r="P5"/>
      <c r="Q5">
        <v>3202146101</v>
      </c>
      <c r="R5">
        <v>3202146890</v>
      </c>
      <c r="S5" t="s">
        <v>2375</v>
      </c>
      <c r="T5" t="s">
        <v>2376</v>
      </c>
      <c r="U5" t="s">
        <v>1084</v>
      </c>
      <c r="V5" t="s">
        <v>2377</v>
      </c>
      <c r="W5" t="s">
        <v>2378</v>
      </c>
      <c r="X5" t="s">
        <v>2379</v>
      </c>
      <c r="Y5" t="s">
        <v>2380</v>
      </c>
      <c r="Z5" t="s">
        <v>731</v>
      </c>
      <c r="AA5" t="s">
        <v>2381</v>
      </c>
      <c r="AB5">
        <v>3202314009</v>
      </c>
      <c r="AC5"/>
      <c r="AD5">
        <v>3202314879</v>
      </c>
      <c r="AE5" t="s">
        <v>2382</v>
      </c>
      <c r="AF5" t="s">
        <v>2373</v>
      </c>
      <c r="AG5"/>
      <c r="AH5" t="s">
        <v>728</v>
      </c>
      <c r="AI5" t="s">
        <v>1986</v>
      </c>
      <c r="AJ5" t="s">
        <v>54</v>
      </c>
      <c r="AK5" t="s">
        <v>2374</v>
      </c>
      <c r="AL5"/>
      <c r="AM5" t="s">
        <v>1631</v>
      </c>
      <c r="AN5" t="s">
        <v>2383</v>
      </c>
      <c r="AO5" t="s">
        <v>766</v>
      </c>
      <c r="AP5" t="s">
        <v>2381</v>
      </c>
      <c r="AQ5">
        <v>3202314253</v>
      </c>
      <c r="AR5"/>
      <c r="AS5">
        <v>3202314270</v>
      </c>
      <c r="AT5" t="s">
        <v>2384</v>
      </c>
      <c r="AU5" t="s">
        <v>2373</v>
      </c>
      <c r="AV5"/>
      <c r="AW5" t="s">
        <v>728</v>
      </c>
      <c r="AX5" t="s">
        <v>1986</v>
      </c>
      <c r="AY5" t="s">
        <v>54</v>
      </c>
      <c r="AZ5" t="s">
        <v>2374</v>
      </c>
      <c r="BA5"/>
      <c r="BB5"/>
      <c r="BC5"/>
      <c r="BD5"/>
      <c r="BE5"/>
      <c r="BF5"/>
      <c r="BG5"/>
      <c r="BH5"/>
      <c r="BI5"/>
      <c r="BJ5"/>
      <c r="BK5"/>
      <c r="BL5"/>
      <c r="BM5"/>
      <c r="BN5"/>
      <c r="BO5"/>
      <c r="BP5"/>
      <c r="BQ5" t="s">
        <v>2379</v>
      </c>
      <c r="BR5" t="s">
        <v>2380</v>
      </c>
      <c r="BS5" t="s">
        <v>731</v>
      </c>
      <c r="BT5" t="s">
        <v>2381</v>
      </c>
      <c r="BU5">
        <v>3202314009</v>
      </c>
      <c r="BV5"/>
      <c r="BW5">
        <v>3202314879</v>
      </c>
      <c r="BX5" t="s">
        <v>2382</v>
      </c>
      <c r="BY5" t="s">
        <v>2373</v>
      </c>
      <c r="BZ5"/>
      <c r="CA5" t="s">
        <v>728</v>
      </c>
      <c r="CB5" t="s">
        <v>1986</v>
      </c>
      <c r="CC5" t="s">
        <v>54</v>
      </c>
      <c r="CD5" t="s">
        <v>2374</v>
      </c>
      <c r="CE5"/>
      <c r="CF5" t="s">
        <v>1987</v>
      </c>
      <c r="CG5" t="s">
        <v>2249</v>
      </c>
      <c r="CH5" t="s">
        <v>141</v>
      </c>
      <c r="CI5" t="s">
        <v>2385</v>
      </c>
      <c r="CJ5" t="s">
        <v>142</v>
      </c>
      <c r="CK5" t="s">
        <v>1988</v>
      </c>
      <c r="CL5" t="s">
        <v>56</v>
      </c>
      <c r="CM5">
        <v>1952363699</v>
      </c>
      <c r="CN5">
        <v>316</v>
      </c>
      <c r="CO5">
        <v>211</v>
      </c>
      <c r="CP5">
        <v>209</v>
      </c>
      <c r="CQ5"/>
      <c r="CR5">
        <v>211</v>
      </c>
      <c r="CS5" t="s">
        <v>2386</v>
      </c>
      <c r="CT5">
        <v>6</v>
      </c>
      <c r="CU5"/>
      <c r="CV5"/>
      <c r="CW5"/>
      <c r="CX5"/>
      <c r="CY5"/>
      <c r="CZ5"/>
      <c r="DA5"/>
      <c r="DB5"/>
      <c r="DC5"/>
      <c r="DD5">
        <v>128</v>
      </c>
      <c r="DE5" t="s">
        <v>2391</v>
      </c>
      <c r="DF5"/>
      <c r="DG5"/>
      <c r="DH5">
        <v>129</v>
      </c>
      <c r="DI5" t="s">
        <v>2392</v>
      </c>
      <c r="DJ5">
        <v>130</v>
      </c>
      <c r="DK5" t="s">
        <v>2393</v>
      </c>
      <c r="DL5"/>
      <c r="DM5"/>
      <c r="DN5"/>
      <c r="DO5"/>
      <c r="DP5"/>
      <c r="DQ5"/>
      <c r="DR5"/>
      <c r="DS5"/>
      <c r="DT5"/>
      <c r="DU5"/>
      <c r="DV5"/>
      <c r="DW5"/>
      <c r="DX5"/>
      <c r="DY5"/>
      <c r="DZ5"/>
      <c r="EA5"/>
      <c r="EB5"/>
      <c r="EC5"/>
      <c r="ED5"/>
      <c r="EE5"/>
      <c r="EF5"/>
      <c r="EG5"/>
      <c r="EH5"/>
      <c r="EI5"/>
      <c r="EJ5"/>
      <c r="EK5"/>
      <c r="EL5"/>
      <c r="EM5"/>
      <c r="EN5"/>
      <c r="EO5"/>
      <c r="EP5"/>
      <c r="EQ5"/>
      <c r="ER5"/>
      <c r="ES5" s="569">
        <v>4</v>
      </c>
      <c r="ET5" t="s">
        <v>2954</v>
      </c>
      <c r="EU5" t="s">
        <v>1011</v>
      </c>
      <c r="EV5" t="s">
        <v>1012</v>
      </c>
      <c r="EW5" t="s">
        <v>54</v>
      </c>
      <c r="EX5" s="599">
        <v>56431</v>
      </c>
      <c r="EY5">
        <v>1942277835</v>
      </c>
    </row>
    <row r="6" spans="1:155" x14ac:dyDescent="0.2">
      <c r="A6" s="598">
        <v>672</v>
      </c>
      <c r="B6" t="s">
        <v>1989</v>
      </c>
      <c r="C6" t="s">
        <v>732</v>
      </c>
      <c r="D6" t="s">
        <v>1990</v>
      </c>
      <c r="E6"/>
      <c r="F6" t="s">
        <v>733</v>
      </c>
      <c r="G6" t="s">
        <v>54</v>
      </c>
      <c r="H6" t="s">
        <v>2394</v>
      </c>
      <c r="I6" t="s">
        <v>2395</v>
      </c>
      <c r="J6" t="s">
        <v>734</v>
      </c>
      <c r="K6" t="s">
        <v>735</v>
      </c>
      <c r="L6" t="s">
        <v>736</v>
      </c>
      <c r="M6" t="s">
        <v>737</v>
      </c>
      <c r="N6" t="s">
        <v>54</v>
      </c>
      <c r="O6" t="s">
        <v>2396</v>
      </c>
      <c r="P6"/>
      <c r="Q6">
        <v>3207626040</v>
      </c>
      <c r="R6">
        <v>3207626038</v>
      </c>
      <c r="S6" t="s">
        <v>1262</v>
      </c>
      <c r="T6" t="s">
        <v>816</v>
      </c>
      <c r="U6" t="s">
        <v>2135</v>
      </c>
      <c r="V6" t="s">
        <v>817</v>
      </c>
      <c r="W6" t="s">
        <v>1991</v>
      </c>
      <c r="X6" t="s">
        <v>738</v>
      </c>
      <c r="Y6" t="s">
        <v>739</v>
      </c>
      <c r="Z6" t="s">
        <v>1992</v>
      </c>
      <c r="AA6" t="s">
        <v>740</v>
      </c>
      <c r="AB6">
        <v>9525136831</v>
      </c>
      <c r="AC6"/>
      <c r="AD6">
        <v>9525136880</v>
      </c>
      <c r="AE6" t="s">
        <v>741</v>
      </c>
      <c r="AF6" t="s">
        <v>734</v>
      </c>
      <c r="AG6" t="s">
        <v>742</v>
      </c>
      <c r="AH6" t="s">
        <v>736</v>
      </c>
      <c r="AI6" t="s">
        <v>737</v>
      </c>
      <c r="AJ6" t="s">
        <v>54</v>
      </c>
      <c r="AK6" t="s">
        <v>2396</v>
      </c>
      <c r="AL6"/>
      <c r="AM6"/>
      <c r="AN6"/>
      <c r="AO6"/>
      <c r="AP6"/>
      <c r="AQ6"/>
      <c r="AR6"/>
      <c r="AS6"/>
      <c r="AT6"/>
      <c r="AU6"/>
      <c r="AV6"/>
      <c r="AW6"/>
      <c r="AX6"/>
      <c r="AY6"/>
      <c r="AZ6"/>
      <c r="BA6"/>
      <c r="BB6"/>
      <c r="BC6"/>
      <c r="BD6"/>
      <c r="BE6"/>
      <c r="BF6"/>
      <c r="BG6"/>
      <c r="BH6"/>
      <c r="BI6"/>
      <c r="BJ6"/>
      <c r="BK6"/>
      <c r="BL6"/>
      <c r="BM6"/>
      <c r="BN6"/>
      <c r="BO6"/>
      <c r="BP6"/>
      <c r="BQ6" t="s">
        <v>743</v>
      </c>
      <c r="BR6" t="s">
        <v>744</v>
      </c>
      <c r="BS6" t="s">
        <v>745</v>
      </c>
      <c r="BT6" t="s">
        <v>746</v>
      </c>
      <c r="BU6">
        <v>9527384716</v>
      </c>
      <c r="BV6"/>
      <c r="BW6">
        <v>9525415443</v>
      </c>
      <c r="BX6" t="s">
        <v>747</v>
      </c>
      <c r="BY6" t="s">
        <v>734</v>
      </c>
      <c r="BZ6" t="s">
        <v>742</v>
      </c>
      <c r="CA6" t="s">
        <v>736</v>
      </c>
      <c r="CB6" t="s">
        <v>737</v>
      </c>
      <c r="CC6" t="s">
        <v>54</v>
      </c>
      <c r="CD6" t="s">
        <v>2396</v>
      </c>
      <c r="CE6"/>
      <c r="CF6" t="s">
        <v>748</v>
      </c>
      <c r="CG6" t="s">
        <v>740</v>
      </c>
      <c r="CH6" t="s">
        <v>142</v>
      </c>
      <c r="CI6" t="s">
        <v>1993</v>
      </c>
      <c r="CJ6" t="s">
        <v>141</v>
      </c>
      <c r="CK6" t="s">
        <v>1994</v>
      </c>
      <c r="CL6" t="s">
        <v>143</v>
      </c>
      <c r="CM6">
        <v>1659348092</v>
      </c>
      <c r="CN6">
        <v>183</v>
      </c>
      <c r="CO6">
        <v>142</v>
      </c>
      <c r="CP6"/>
      <c r="CQ6"/>
      <c r="CR6">
        <v>389</v>
      </c>
      <c r="CS6" t="s">
        <v>2397</v>
      </c>
      <c r="CT6">
        <v>12</v>
      </c>
      <c r="CU6"/>
      <c r="CV6"/>
      <c r="CW6"/>
      <c r="CX6"/>
      <c r="CY6"/>
      <c r="CZ6"/>
      <c r="DA6"/>
      <c r="DB6"/>
      <c r="DC6"/>
      <c r="DD6">
        <v>128</v>
      </c>
      <c r="DE6" t="s">
        <v>2398</v>
      </c>
      <c r="DF6">
        <v>131</v>
      </c>
      <c r="DG6" t="s">
        <v>2399</v>
      </c>
      <c r="DH6">
        <v>129</v>
      </c>
      <c r="DI6" t="s">
        <v>2400</v>
      </c>
      <c r="DJ6">
        <v>130</v>
      </c>
      <c r="DK6" t="s">
        <v>2401</v>
      </c>
      <c r="DL6"/>
      <c r="DM6"/>
      <c r="DN6"/>
      <c r="DO6"/>
      <c r="DP6"/>
      <c r="DQ6"/>
      <c r="DR6"/>
      <c r="DS6"/>
      <c r="DT6"/>
      <c r="DU6"/>
      <c r="DV6"/>
      <c r="DW6"/>
      <c r="DX6"/>
      <c r="DY6"/>
      <c r="DZ6"/>
      <c r="EA6"/>
      <c r="EB6"/>
      <c r="EC6"/>
      <c r="ED6"/>
      <c r="EE6"/>
      <c r="EF6"/>
      <c r="EG6"/>
      <c r="EH6"/>
      <c r="EI6"/>
      <c r="EJ6"/>
      <c r="EK6"/>
      <c r="EL6"/>
      <c r="EM6"/>
      <c r="EN6"/>
      <c r="EO6"/>
      <c r="EP6"/>
      <c r="EQ6"/>
      <c r="ER6"/>
      <c r="ES6" s="569">
        <v>100</v>
      </c>
      <c r="ET6" t="s">
        <v>2259</v>
      </c>
      <c r="EU6" t="s">
        <v>2126</v>
      </c>
      <c r="EV6" t="s">
        <v>2260</v>
      </c>
      <c r="EW6" t="s">
        <v>54</v>
      </c>
      <c r="EX6" s="599">
        <v>56007</v>
      </c>
      <c r="EY6">
        <v>1346258100</v>
      </c>
    </row>
    <row r="7" spans="1:155" x14ac:dyDescent="0.2">
      <c r="A7" s="598">
        <v>874</v>
      </c>
      <c r="B7" t="s">
        <v>749</v>
      </c>
      <c r="C7" t="s">
        <v>750</v>
      </c>
      <c r="D7" t="s">
        <v>751</v>
      </c>
      <c r="E7" t="s">
        <v>1995</v>
      </c>
      <c r="F7" t="s">
        <v>752</v>
      </c>
      <c r="G7" t="s">
        <v>54</v>
      </c>
      <c r="H7" t="s">
        <v>2402</v>
      </c>
      <c r="I7" t="s">
        <v>2403</v>
      </c>
      <c r="J7" t="s">
        <v>751</v>
      </c>
      <c r="K7" t="s">
        <v>1995</v>
      </c>
      <c r="L7" t="s">
        <v>750</v>
      </c>
      <c r="M7" t="s">
        <v>752</v>
      </c>
      <c r="N7" t="s">
        <v>54</v>
      </c>
      <c r="O7" t="s">
        <v>2402</v>
      </c>
      <c r="P7" t="s">
        <v>2403</v>
      </c>
      <c r="Q7">
        <v>6517659800</v>
      </c>
      <c r="R7">
        <v>6517659801</v>
      </c>
      <c r="S7" t="s">
        <v>2404</v>
      </c>
      <c r="T7" t="s">
        <v>2405</v>
      </c>
      <c r="U7" t="s">
        <v>1084</v>
      </c>
      <c r="V7" t="s">
        <v>2406</v>
      </c>
      <c r="W7"/>
      <c r="X7" t="s">
        <v>1997</v>
      </c>
      <c r="Y7" t="s">
        <v>2407</v>
      </c>
      <c r="Z7" t="s">
        <v>753</v>
      </c>
      <c r="AA7" t="s">
        <v>749</v>
      </c>
      <c r="AB7">
        <v>6517659800</v>
      </c>
      <c r="AC7"/>
      <c r="AD7">
        <v>6517659801</v>
      </c>
      <c r="AE7" t="s">
        <v>2408</v>
      </c>
      <c r="AF7" t="s">
        <v>751</v>
      </c>
      <c r="AG7" t="s">
        <v>1995</v>
      </c>
      <c r="AH7" t="s">
        <v>750</v>
      </c>
      <c r="AI7" t="s">
        <v>752</v>
      </c>
      <c r="AJ7" t="s">
        <v>54</v>
      </c>
      <c r="AK7" t="s">
        <v>2402</v>
      </c>
      <c r="AL7" t="s">
        <v>2403</v>
      </c>
      <c r="AM7"/>
      <c r="AN7"/>
      <c r="AO7"/>
      <c r="AP7"/>
      <c r="AQ7"/>
      <c r="AR7"/>
      <c r="AS7"/>
      <c r="AT7"/>
      <c r="AU7"/>
      <c r="AV7"/>
      <c r="AW7"/>
      <c r="AX7"/>
      <c r="AY7"/>
      <c r="AZ7"/>
      <c r="BA7"/>
      <c r="BB7"/>
      <c r="BC7"/>
      <c r="BD7"/>
      <c r="BE7"/>
      <c r="BF7"/>
      <c r="BG7"/>
      <c r="BH7"/>
      <c r="BI7"/>
      <c r="BJ7"/>
      <c r="BK7"/>
      <c r="BL7"/>
      <c r="BM7"/>
      <c r="BN7"/>
      <c r="BO7"/>
      <c r="BP7"/>
      <c r="BQ7" t="s">
        <v>2404</v>
      </c>
      <c r="BR7" t="s">
        <v>2405</v>
      </c>
      <c r="BS7" t="s">
        <v>1084</v>
      </c>
      <c r="BT7" t="s">
        <v>2409</v>
      </c>
      <c r="BU7">
        <v>9525466866</v>
      </c>
      <c r="BV7"/>
      <c r="BW7">
        <v>95251200038</v>
      </c>
      <c r="BX7" t="s">
        <v>2410</v>
      </c>
      <c r="BY7" t="s">
        <v>2365</v>
      </c>
      <c r="BZ7" t="s">
        <v>2411</v>
      </c>
      <c r="CA7" t="s">
        <v>1046</v>
      </c>
      <c r="CB7" t="s">
        <v>737</v>
      </c>
      <c r="CC7" t="s">
        <v>54</v>
      </c>
      <c r="CD7" t="s">
        <v>2367</v>
      </c>
      <c r="CE7"/>
      <c r="CF7" t="s">
        <v>1996</v>
      </c>
      <c r="CG7" t="s">
        <v>755</v>
      </c>
      <c r="CH7"/>
      <c r="CI7"/>
      <c r="CJ7"/>
      <c r="CK7"/>
      <c r="CL7"/>
      <c r="CM7">
        <v>1891729737</v>
      </c>
      <c r="CN7">
        <v>317</v>
      </c>
      <c r="CO7">
        <v>135</v>
      </c>
      <c r="CP7"/>
      <c r="CQ7"/>
      <c r="CR7">
        <v>153</v>
      </c>
      <c r="CS7" t="s">
        <v>2397</v>
      </c>
      <c r="CT7">
        <v>12</v>
      </c>
      <c r="CU7"/>
      <c r="CV7"/>
      <c r="CW7"/>
      <c r="CX7"/>
      <c r="CY7"/>
      <c r="CZ7"/>
      <c r="DA7"/>
      <c r="DB7"/>
      <c r="DC7"/>
      <c r="DD7"/>
      <c r="DE7"/>
      <c r="DF7"/>
      <c r="DG7"/>
      <c r="DH7"/>
      <c r="DI7"/>
      <c r="DJ7"/>
      <c r="DK7"/>
      <c r="DL7"/>
      <c r="DM7"/>
      <c r="DN7">
        <v>133</v>
      </c>
      <c r="DO7" t="s">
        <v>2412</v>
      </c>
      <c r="DP7"/>
      <c r="DQ7"/>
      <c r="DR7"/>
      <c r="DS7"/>
      <c r="DT7"/>
      <c r="DU7"/>
      <c r="DV7"/>
      <c r="DW7"/>
      <c r="DX7"/>
      <c r="DY7"/>
      <c r="DZ7"/>
      <c r="EA7"/>
      <c r="EB7"/>
      <c r="EC7"/>
      <c r="ED7"/>
      <c r="EE7"/>
      <c r="EF7"/>
      <c r="EG7"/>
      <c r="EH7"/>
      <c r="EI7"/>
      <c r="EJ7"/>
      <c r="EK7"/>
      <c r="EL7"/>
      <c r="EM7"/>
      <c r="EN7"/>
      <c r="EO7"/>
      <c r="EP7"/>
      <c r="EQ7"/>
      <c r="ER7"/>
      <c r="ES7" s="569">
        <v>672</v>
      </c>
      <c r="ET7" t="s">
        <v>1989</v>
      </c>
      <c r="EU7" t="s">
        <v>732</v>
      </c>
      <c r="EV7" t="s">
        <v>2955</v>
      </c>
      <c r="EW7" t="s">
        <v>54</v>
      </c>
      <c r="EX7" s="600">
        <v>56308</v>
      </c>
      <c r="EY7">
        <v>1659348092</v>
      </c>
    </row>
    <row r="8" spans="1:155" x14ac:dyDescent="0.2">
      <c r="A8" s="598">
        <v>1342</v>
      </c>
      <c r="B8" t="s">
        <v>2210</v>
      </c>
      <c r="C8" t="s">
        <v>2211</v>
      </c>
      <c r="D8" t="s">
        <v>2212</v>
      </c>
      <c r="E8" t="s">
        <v>2368</v>
      </c>
      <c r="F8"/>
      <c r="G8" t="s">
        <v>2213</v>
      </c>
      <c r="H8" t="s">
        <v>2413</v>
      </c>
      <c r="I8" t="s">
        <v>2368</v>
      </c>
      <c r="J8" t="s">
        <v>2212</v>
      </c>
      <c r="K8" t="s">
        <v>2368</v>
      </c>
      <c r="L8" t="s">
        <v>2211</v>
      </c>
      <c r="M8"/>
      <c r="N8" t="s">
        <v>2213</v>
      </c>
      <c r="O8" t="s">
        <v>2413</v>
      </c>
      <c r="P8" t="s">
        <v>2368</v>
      </c>
      <c r="Q8">
        <v>8005443215</v>
      </c>
      <c r="R8"/>
      <c r="S8" t="s">
        <v>2368</v>
      </c>
      <c r="T8" t="s">
        <v>2368</v>
      </c>
      <c r="U8" t="s">
        <v>2368</v>
      </c>
      <c r="V8" t="s">
        <v>2368</v>
      </c>
      <c r="W8" t="s">
        <v>2368</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t="s">
        <v>2214</v>
      </c>
      <c r="CG8" t="s">
        <v>755</v>
      </c>
      <c r="CH8" t="s">
        <v>2368</v>
      </c>
      <c r="CI8"/>
      <c r="CJ8"/>
      <c r="CK8"/>
      <c r="CL8"/>
      <c r="CM8"/>
      <c r="CN8">
        <v>2351</v>
      </c>
      <c r="CO8"/>
      <c r="CP8"/>
      <c r="CQ8"/>
      <c r="CR8"/>
      <c r="CS8" t="s">
        <v>2414</v>
      </c>
      <c r="CT8">
        <v>12</v>
      </c>
      <c r="CU8"/>
      <c r="CV8"/>
      <c r="CW8"/>
      <c r="CX8" t="s">
        <v>2368</v>
      </c>
      <c r="CY8"/>
      <c r="CZ8" t="s">
        <v>2368</v>
      </c>
      <c r="DA8" t="s">
        <v>2368</v>
      </c>
      <c r="DB8" t="s">
        <v>2368</v>
      </c>
      <c r="DC8" t="s">
        <v>2368</v>
      </c>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s="569">
        <v>34</v>
      </c>
      <c r="ET8" t="s">
        <v>2956</v>
      </c>
      <c r="EU8" t="s">
        <v>732</v>
      </c>
      <c r="EV8" t="s">
        <v>2262</v>
      </c>
      <c r="EW8" t="s">
        <v>54</v>
      </c>
      <c r="EX8" s="599">
        <v>56308</v>
      </c>
      <c r="EY8">
        <v>1164424305</v>
      </c>
    </row>
    <row r="9" spans="1:155" x14ac:dyDescent="0.2">
      <c r="A9" s="598">
        <v>1153</v>
      </c>
      <c r="B9" t="s">
        <v>756</v>
      </c>
      <c r="C9" t="s">
        <v>757</v>
      </c>
      <c r="D9" t="s">
        <v>758</v>
      </c>
      <c r="E9" t="s">
        <v>759</v>
      </c>
      <c r="F9" t="s">
        <v>752</v>
      </c>
      <c r="G9" t="s">
        <v>54</v>
      </c>
      <c r="H9" t="s">
        <v>2415</v>
      </c>
      <c r="I9"/>
      <c r="J9" t="s">
        <v>758</v>
      </c>
      <c r="K9" t="s">
        <v>759</v>
      </c>
      <c r="L9" t="s">
        <v>757</v>
      </c>
      <c r="M9" t="s">
        <v>752</v>
      </c>
      <c r="N9" t="s">
        <v>54</v>
      </c>
      <c r="O9" t="s">
        <v>2415</v>
      </c>
      <c r="P9"/>
      <c r="Q9">
        <v>6512419200</v>
      </c>
      <c r="R9"/>
      <c r="S9" t="s">
        <v>1997</v>
      </c>
      <c r="T9" t="s">
        <v>1998</v>
      </c>
      <c r="U9" t="s">
        <v>760</v>
      </c>
      <c r="V9" t="s">
        <v>1999</v>
      </c>
      <c r="W9" t="s">
        <v>2000</v>
      </c>
      <c r="X9" t="s">
        <v>2001</v>
      </c>
      <c r="Y9" t="s">
        <v>2002</v>
      </c>
      <c r="Z9" t="s">
        <v>761</v>
      </c>
      <c r="AA9" t="s">
        <v>762</v>
      </c>
      <c r="AB9">
        <v>6122624812</v>
      </c>
      <c r="AC9"/>
      <c r="AD9">
        <v>6122624366</v>
      </c>
      <c r="AE9" t="s">
        <v>2003</v>
      </c>
      <c r="AF9" t="s">
        <v>763</v>
      </c>
      <c r="AG9"/>
      <c r="AH9" t="s">
        <v>764</v>
      </c>
      <c r="AI9" t="s">
        <v>737</v>
      </c>
      <c r="AJ9" t="s">
        <v>54</v>
      </c>
      <c r="AK9" t="s">
        <v>2416</v>
      </c>
      <c r="AL9"/>
      <c r="AM9" t="s">
        <v>2417</v>
      </c>
      <c r="AN9" t="s">
        <v>2418</v>
      </c>
      <c r="AO9" t="s">
        <v>766</v>
      </c>
      <c r="AP9" t="s">
        <v>762</v>
      </c>
      <c r="AQ9">
        <v>6122624817</v>
      </c>
      <c r="AR9"/>
      <c r="AS9"/>
      <c r="AT9" t="s">
        <v>2419</v>
      </c>
      <c r="AU9" t="s">
        <v>763</v>
      </c>
      <c r="AV9"/>
      <c r="AW9" t="s">
        <v>764</v>
      </c>
      <c r="AX9" t="s">
        <v>737</v>
      </c>
      <c r="AY9" t="s">
        <v>54</v>
      </c>
      <c r="AZ9" t="s">
        <v>2416</v>
      </c>
      <c r="BA9"/>
      <c r="BB9" t="s">
        <v>2004</v>
      </c>
      <c r="BC9" t="s">
        <v>2005</v>
      </c>
      <c r="BD9" t="s">
        <v>2006</v>
      </c>
      <c r="BE9" t="s">
        <v>762</v>
      </c>
      <c r="BF9">
        <v>6122623986</v>
      </c>
      <c r="BG9"/>
      <c r="BH9"/>
      <c r="BI9" t="s">
        <v>2007</v>
      </c>
      <c r="BJ9" t="s">
        <v>763</v>
      </c>
      <c r="BK9"/>
      <c r="BL9" t="s">
        <v>764</v>
      </c>
      <c r="BM9" t="s">
        <v>737</v>
      </c>
      <c r="BN9" t="s">
        <v>54</v>
      </c>
      <c r="BO9" t="s">
        <v>2416</v>
      </c>
      <c r="BP9"/>
      <c r="BQ9"/>
      <c r="BR9"/>
      <c r="BS9"/>
      <c r="BT9"/>
      <c r="BU9"/>
      <c r="BV9"/>
      <c r="BW9"/>
      <c r="BX9"/>
      <c r="BY9"/>
      <c r="BZ9"/>
      <c r="CA9"/>
      <c r="CB9"/>
      <c r="CC9"/>
      <c r="CD9"/>
      <c r="CE9"/>
      <c r="CF9" t="s">
        <v>767</v>
      </c>
      <c r="CG9" t="s">
        <v>768</v>
      </c>
      <c r="CH9" t="s">
        <v>141</v>
      </c>
      <c r="CI9"/>
      <c r="CJ9"/>
      <c r="CK9"/>
      <c r="CL9"/>
      <c r="CM9">
        <v>1861798654</v>
      </c>
      <c r="CN9">
        <v>2131</v>
      </c>
      <c r="CO9">
        <v>181</v>
      </c>
      <c r="CP9">
        <v>182</v>
      </c>
      <c r="CQ9">
        <v>467</v>
      </c>
      <c r="CR9"/>
      <c r="CS9" t="s">
        <v>2397</v>
      </c>
      <c r="CT9">
        <v>12</v>
      </c>
      <c r="CU9"/>
      <c r="CV9"/>
      <c r="CW9"/>
      <c r="CX9"/>
      <c r="CY9"/>
      <c r="CZ9"/>
      <c r="DA9"/>
      <c r="DB9"/>
      <c r="DC9"/>
      <c r="DD9"/>
      <c r="DE9"/>
      <c r="DF9"/>
      <c r="DG9"/>
      <c r="DH9">
        <v>129</v>
      </c>
      <c r="DI9" t="s">
        <v>2420</v>
      </c>
      <c r="DJ9"/>
      <c r="DK9"/>
      <c r="DL9"/>
      <c r="DM9"/>
      <c r="DN9"/>
      <c r="DO9"/>
      <c r="DP9"/>
      <c r="DQ9"/>
      <c r="DR9"/>
      <c r="DS9"/>
      <c r="DT9"/>
      <c r="DU9"/>
      <c r="DV9"/>
      <c r="DW9"/>
      <c r="DX9"/>
      <c r="DY9"/>
      <c r="DZ9"/>
      <c r="EA9"/>
      <c r="EB9"/>
      <c r="EC9"/>
      <c r="ED9"/>
      <c r="EE9"/>
      <c r="EF9"/>
      <c r="EG9"/>
      <c r="EH9"/>
      <c r="EI9"/>
      <c r="EJ9"/>
      <c r="EK9"/>
      <c r="EL9"/>
      <c r="EM9"/>
      <c r="EN9"/>
      <c r="EO9"/>
      <c r="EP9"/>
      <c r="EQ9"/>
      <c r="ER9"/>
      <c r="ES9" s="569">
        <v>248</v>
      </c>
      <c r="ET9" t="s">
        <v>2127</v>
      </c>
      <c r="EU9" t="s">
        <v>732</v>
      </c>
      <c r="EV9" t="s">
        <v>2261</v>
      </c>
      <c r="EW9" t="s">
        <v>54</v>
      </c>
      <c r="EX9" s="599">
        <v>56308</v>
      </c>
      <c r="EY9">
        <v>1386676799</v>
      </c>
    </row>
    <row r="10" spans="1:155" x14ac:dyDescent="0.2">
      <c r="A10" s="598">
        <v>758</v>
      </c>
      <c r="B10" t="s">
        <v>769</v>
      </c>
      <c r="C10" t="s">
        <v>770</v>
      </c>
      <c r="D10" t="s">
        <v>771</v>
      </c>
      <c r="E10"/>
      <c r="F10" t="s">
        <v>772</v>
      </c>
      <c r="G10" t="s">
        <v>54</v>
      </c>
      <c r="H10" t="s">
        <v>2421</v>
      </c>
      <c r="I10"/>
      <c r="J10" t="s">
        <v>771</v>
      </c>
      <c r="K10"/>
      <c r="L10" t="s">
        <v>770</v>
      </c>
      <c r="M10" t="s">
        <v>772</v>
      </c>
      <c r="N10" t="s">
        <v>54</v>
      </c>
      <c r="O10" t="s">
        <v>2421</v>
      </c>
      <c r="P10"/>
      <c r="Q10">
        <v>6514647100</v>
      </c>
      <c r="R10">
        <v>6519825515</v>
      </c>
      <c r="S10" t="s">
        <v>2008</v>
      </c>
      <c r="T10" t="s">
        <v>2009</v>
      </c>
      <c r="U10" t="s">
        <v>729</v>
      </c>
      <c r="V10" t="s">
        <v>2010</v>
      </c>
      <c r="W10" t="s">
        <v>2000</v>
      </c>
      <c r="X10" t="s">
        <v>2001</v>
      </c>
      <c r="Y10" t="s">
        <v>2002</v>
      </c>
      <c r="Z10" t="s">
        <v>761</v>
      </c>
      <c r="AA10" t="s">
        <v>762</v>
      </c>
      <c r="AB10">
        <v>6122624812</v>
      </c>
      <c r="AC10"/>
      <c r="AD10">
        <v>6122624366</v>
      </c>
      <c r="AE10" t="s">
        <v>2003</v>
      </c>
      <c r="AF10" t="s">
        <v>763</v>
      </c>
      <c r="AG10"/>
      <c r="AH10" t="s">
        <v>764</v>
      </c>
      <c r="AI10" t="s">
        <v>737</v>
      </c>
      <c r="AJ10" t="s">
        <v>54</v>
      </c>
      <c r="AK10" t="s">
        <v>2416</v>
      </c>
      <c r="AL10"/>
      <c r="AM10" t="s">
        <v>2417</v>
      </c>
      <c r="AN10" t="s">
        <v>2418</v>
      </c>
      <c r="AO10" t="s">
        <v>766</v>
      </c>
      <c r="AP10" t="s">
        <v>762</v>
      </c>
      <c r="AQ10">
        <v>6122624817</v>
      </c>
      <c r="AR10"/>
      <c r="AS10"/>
      <c r="AT10" t="s">
        <v>2419</v>
      </c>
      <c r="AU10" t="s">
        <v>763</v>
      </c>
      <c r="AV10"/>
      <c r="AW10" t="s">
        <v>764</v>
      </c>
      <c r="AX10" t="s">
        <v>737</v>
      </c>
      <c r="AY10" t="s">
        <v>54</v>
      </c>
      <c r="AZ10" t="s">
        <v>2416</v>
      </c>
      <c r="BA10"/>
      <c r="BB10" t="s">
        <v>2004</v>
      </c>
      <c r="BC10" t="s">
        <v>2005</v>
      </c>
      <c r="BD10" t="s">
        <v>2006</v>
      </c>
      <c r="BE10" t="s">
        <v>762</v>
      </c>
      <c r="BF10">
        <v>6122623986</v>
      </c>
      <c r="BG10"/>
      <c r="BH10"/>
      <c r="BI10" t="s">
        <v>2007</v>
      </c>
      <c r="BJ10" t="s">
        <v>763</v>
      </c>
      <c r="BK10"/>
      <c r="BL10" t="s">
        <v>764</v>
      </c>
      <c r="BM10" t="s">
        <v>737</v>
      </c>
      <c r="BN10" t="s">
        <v>54</v>
      </c>
      <c r="BO10" t="s">
        <v>2416</v>
      </c>
      <c r="BP10"/>
      <c r="BQ10"/>
      <c r="BR10"/>
      <c r="BS10"/>
      <c r="BT10"/>
      <c r="BU10"/>
      <c r="BV10"/>
      <c r="BW10"/>
      <c r="BX10"/>
      <c r="BY10"/>
      <c r="BZ10"/>
      <c r="CA10"/>
      <c r="CB10"/>
      <c r="CC10"/>
      <c r="CD10"/>
      <c r="CE10"/>
      <c r="CF10" t="s">
        <v>767</v>
      </c>
      <c r="CG10" t="s">
        <v>768</v>
      </c>
      <c r="CH10" t="s">
        <v>141</v>
      </c>
      <c r="CI10"/>
      <c r="CJ10"/>
      <c r="CK10"/>
      <c r="CL10"/>
      <c r="CM10">
        <v>1760421135</v>
      </c>
      <c r="CN10">
        <v>430</v>
      </c>
      <c r="CO10">
        <v>181</v>
      </c>
      <c r="CP10">
        <v>182</v>
      </c>
      <c r="CQ10">
        <v>467</v>
      </c>
      <c r="CR10"/>
      <c r="CS10" t="s">
        <v>2397</v>
      </c>
      <c r="CT10">
        <v>12</v>
      </c>
      <c r="CU10"/>
      <c r="CV10"/>
      <c r="CW10"/>
      <c r="CX10"/>
      <c r="CY10"/>
      <c r="CZ10"/>
      <c r="DA10"/>
      <c r="DB10"/>
      <c r="DC10"/>
      <c r="DD10">
        <v>128</v>
      </c>
      <c r="DE10" t="s">
        <v>2422</v>
      </c>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s="569">
        <v>1018</v>
      </c>
      <c r="ET10" t="s">
        <v>1741</v>
      </c>
      <c r="EU10" t="s">
        <v>732</v>
      </c>
      <c r="EV10" t="s">
        <v>2957</v>
      </c>
      <c r="EW10" t="s">
        <v>54</v>
      </c>
      <c r="EX10" s="600">
        <v>56308</v>
      </c>
      <c r="EY10">
        <v>1659301992</v>
      </c>
    </row>
    <row r="11" spans="1:155" x14ac:dyDescent="0.2">
      <c r="A11" s="598">
        <v>686</v>
      </c>
      <c r="B11" t="s">
        <v>773</v>
      </c>
      <c r="C11" t="s">
        <v>774</v>
      </c>
      <c r="D11" t="s">
        <v>775</v>
      </c>
      <c r="E11"/>
      <c r="F11" t="s">
        <v>776</v>
      </c>
      <c r="G11" t="s">
        <v>54</v>
      </c>
      <c r="H11" t="s">
        <v>2423</v>
      </c>
      <c r="I11" t="s">
        <v>2424</v>
      </c>
      <c r="J11" t="s">
        <v>775</v>
      </c>
      <c r="K11"/>
      <c r="L11" t="s">
        <v>774</v>
      </c>
      <c r="M11" t="s">
        <v>776</v>
      </c>
      <c r="N11" t="s">
        <v>54</v>
      </c>
      <c r="O11" t="s">
        <v>2423</v>
      </c>
      <c r="P11"/>
      <c r="Q11">
        <v>5076639000</v>
      </c>
      <c r="R11"/>
      <c r="S11" t="s">
        <v>2011</v>
      </c>
      <c r="T11" t="s">
        <v>2012</v>
      </c>
      <c r="U11" t="s">
        <v>729</v>
      </c>
      <c r="V11" t="s">
        <v>2013</v>
      </c>
      <c r="W11" t="s">
        <v>2000</v>
      </c>
      <c r="X11" t="s">
        <v>2001</v>
      </c>
      <c r="Y11" t="s">
        <v>2002</v>
      </c>
      <c r="Z11" t="s">
        <v>761</v>
      </c>
      <c r="AA11" t="s">
        <v>762</v>
      </c>
      <c r="AB11">
        <v>6122624812</v>
      </c>
      <c r="AC11"/>
      <c r="AD11">
        <v>6122624366</v>
      </c>
      <c r="AE11" t="s">
        <v>2003</v>
      </c>
      <c r="AF11" t="s">
        <v>763</v>
      </c>
      <c r="AG11"/>
      <c r="AH11" t="s">
        <v>764</v>
      </c>
      <c r="AI11" t="s">
        <v>737</v>
      </c>
      <c r="AJ11" t="s">
        <v>54</v>
      </c>
      <c r="AK11" t="s">
        <v>2416</v>
      </c>
      <c r="AL11"/>
      <c r="AM11" t="s">
        <v>2417</v>
      </c>
      <c r="AN11" t="s">
        <v>2418</v>
      </c>
      <c r="AO11" t="s">
        <v>766</v>
      </c>
      <c r="AP11" t="s">
        <v>762</v>
      </c>
      <c r="AQ11">
        <v>6122624817</v>
      </c>
      <c r="AR11"/>
      <c r="AS11"/>
      <c r="AT11" t="s">
        <v>2419</v>
      </c>
      <c r="AU11" t="s">
        <v>763</v>
      </c>
      <c r="AV11"/>
      <c r="AW11" t="s">
        <v>764</v>
      </c>
      <c r="AX11" t="s">
        <v>737</v>
      </c>
      <c r="AY11" t="s">
        <v>54</v>
      </c>
      <c r="AZ11" t="s">
        <v>2416</v>
      </c>
      <c r="BA11"/>
      <c r="BB11" t="s">
        <v>2004</v>
      </c>
      <c r="BC11" t="s">
        <v>2005</v>
      </c>
      <c r="BD11" t="s">
        <v>2006</v>
      </c>
      <c r="BE11" t="s">
        <v>762</v>
      </c>
      <c r="BF11">
        <v>6122623986</v>
      </c>
      <c r="BG11"/>
      <c r="BH11"/>
      <c r="BI11" t="s">
        <v>2007</v>
      </c>
      <c r="BJ11" t="s">
        <v>763</v>
      </c>
      <c r="BK11"/>
      <c r="BL11" t="s">
        <v>764</v>
      </c>
      <c r="BM11" t="s">
        <v>737</v>
      </c>
      <c r="BN11" t="s">
        <v>54</v>
      </c>
      <c r="BO11" t="s">
        <v>2416</v>
      </c>
      <c r="BP11"/>
      <c r="BQ11"/>
      <c r="BR11"/>
      <c r="BS11"/>
      <c r="BT11"/>
      <c r="BU11"/>
      <c r="BV11"/>
      <c r="BW11"/>
      <c r="BX11"/>
      <c r="BY11"/>
      <c r="BZ11"/>
      <c r="CA11"/>
      <c r="CB11"/>
      <c r="CC11"/>
      <c r="CD11"/>
      <c r="CE11"/>
      <c r="CF11" t="s">
        <v>767</v>
      </c>
      <c r="CG11" t="s">
        <v>768</v>
      </c>
      <c r="CH11" t="s">
        <v>141</v>
      </c>
      <c r="CI11"/>
      <c r="CJ11"/>
      <c r="CK11"/>
      <c r="CL11"/>
      <c r="CM11">
        <v>1619919214</v>
      </c>
      <c r="CN11">
        <v>431</v>
      </c>
      <c r="CO11">
        <v>181</v>
      </c>
      <c r="CP11">
        <v>182</v>
      </c>
      <c r="CQ11">
        <v>467</v>
      </c>
      <c r="CR11"/>
      <c r="CS11" t="s">
        <v>2397</v>
      </c>
      <c r="CT11">
        <v>12</v>
      </c>
      <c r="CU11"/>
      <c r="CV11"/>
      <c r="CW11"/>
      <c r="CX11"/>
      <c r="CY11"/>
      <c r="CZ11"/>
      <c r="DA11"/>
      <c r="DB11"/>
      <c r="DC11"/>
      <c r="DD11">
        <v>128</v>
      </c>
      <c r="DE11" t="s">
        <v>2425</v>
      </c>
      <c r="DF11"/>
      <c r="DG11"/>
      <c r="DH11">
        <v>129</v>
      </c>
      <c r="DI11" t="s">
        <v>2426</v>
      </c>
      <c r="DJ11">
        <v>130</v>
      </c>
      <c r="DK11" t="s">
        <v>2427</v>
      </c>
      <c r="DL11"/>
      <c r="DM11"/>
      <c r="DN11"/>
      <c r="DO11"/>
      <c r="DP11"/>
      <c r="DQ11"/>
      <c r="DR11"/>
      <c r="DS11"/>
      <c r="DT11"/>
      <c r="DU11"/>
      <c r="DV11"/>
      <c r="DW11"/>
      <c r="DX11"/>
      <c r="DY11"/>
      <c r="DZ11"/>
      <c r="EA11"/>
      <c r="EB11"/>
      <c r="EC11"/>
      <c r="ED11"/>
      <c r="EE11"/>
      <c r="EF11"/>
      <c r="EG11"/>
      <c r="EH11"/>
      <c r="EI11"/>
      <c r="EJ11"/>
      <c r="EK11"/>
      <c r="EL11"/>
      <c r="EM11"/>
      <c r="EN11"/>
      <c r="EO11"/>
      <c r="EP11"/>
      <c r="EQ11"/>
      <c r="ER11"/>
      <c r="ES11" s="569">
        <v>1398</v>
      </c>
      <c r="ET11" t="s">
        <v>2804</v>
      </c>
      <c r="EU11" t="s">
        <v>2805</v>
      </c>
      <c r="EV11" t="s">
        <v>2958</v>
      </c>
      <c r="EW11" t="s">
        <v>2075</v>
      </c>
      <c r="EX11" s="600">
        <v>48103</v>
      </c>
      <c r="EY11"/>
    </row>
    <row r="12" spans="1:155" x14ac:dyDescent="0.2">
      <c r="A12" s="598">
        <v>693</v>
      </c>
      <c r="B12" t="s">
        <v>777</v>
      </c>
      <c r="C12" t="s">
        <v>778</v>
      </c>
      <c r="D12" t="s">
        <v>779</v>
      </c>
      <c r="E12"/>
      <c r="F12" t="s">
        <v>772</v>
      </c>
      <c r="G12" t="s">
        <v>54</v>
      </c>
      <c r="H12" t="s">
        <v>2428</v>
      </c>
      <c r="I12" t="s">
        <v>2429</v>
      </c>
      <c r="J12" t="s">
        <v>779</v>
      </c>
      <c r="K12"/>
      <c r="L12" t="s">
        <v>778</v>
      </c>
      <c r="M12" t="s">
        <v>772</v>
      </c>
      <c r="N12" t="s">
        <v>54</v>
      </c>
      <c r="O12" t="s">
        <v>2428</v>
      </c>
      <c r="P12" t="s">
        <v>2429</v>
      </c>
      <c r="Q12">
        <v>6512413040</v>
      </c>
      <c r="R12"/>
      <c r="S12" t="s">
        <v>780</v>
      </c>
      <c r="T12" t="s">
        <v>2014</v>
      </c>
      <c r="U12" t="s">
        <v>729</v>
      </c>
      <c r="V12" t="s">
        <v>2015</v>
      </c>
      <c r="W12" t="s">
        <v>2000</v>
      </c>
      <c r="X12" t="s">
        <v>2001</v>
      </c>
      <c r="Y12" t="s">
        <v>2002</v>
      </c>
      <c r="Z12" t="s">
        <v>761</v>
      </c>
      <c r="AA12" t="s">
        <v>762</v>
      </c>
      <c r="AB12">
        <v>6122624812</v>
      </c>
      <c r="AC12"/>
      <c r="AD12">
        <v>6122624366</v>
      </c>
      <c r="AE12" t="s">
        <v>2003</v>
      </c>
      <c r="AF12" t="s">
        <v>763</v>
      </c>
      <c r="AG12"/>
      <c r="AH12" t="s">
        <v>764</v>
      </c>
      <c r="AI12" t="s">
        <v>737</v>
      </c>
      <c r="AJ12" t="s">
        <v>54</v>
      </c>
      <c r="AK12" t="s">
        <v>2416</v>
      </c>
      <c r="AL12"/>
      <c r="AM12" t="s">
        <v>2417</v>
      </c>
      <c r="AN12" t="s">
        <v>2418</v>
      </c>
      <c r="AO12" t="s">
        <v>766</v>
      </c>
      <c r="AP12" t="s">
        <v>762</v>
      </c>
      <c r="AQ12">
        <v>6122624817</v>
      </c>
      <c r="AR12"/>
      <c r="AS12"/>
      <c r="AT12" t="s">
        <v>2419</v>
      </c>
      <c r="AU12" t="s">
        <v>763</v>
      </c>
      <c r="AV12"/>
      <c r="AW12" t="s">
        <v>764</v>
      </c>
      <c r="AX12" t="s">
        <v>737</v>
      </c>
      <c r="AY12" t="s">
        <v>54</v>
      </c>
      <c r="AZ12" t="s">
        <v>2416</v>
      </c>
      <c r="BA12"/>
      <c r="BB12" t="s">
        <v>2004</v>
      </c>
      <c r="BC12" t="s">
        <v>2005</v>
      </c>
      <c r="BD12" t="s">
        <v>2006</v>
      </c>
      <c r="BE12" t="s">
        <v>762</v>
      </c>
      <c r="BF12">
        <v>6122623986</v>
      </c>
      <c r="BG12"/>
      <c r="BH12"/>
      <c r="BI12" t="s">
        <v>2007</v>
      </c>
      <c r="BJ12" t="s">
        <v>763</v>
      </c>
      <c r="BK12"/>
      <c r="BL12" t="s">
        <v>764</v>
      </c>
      <c r="BM12" t="s">
        <v>737</v>
      </c>
      <c r="BN12" t="s">
        <v>54</v>
      </c>
      <c r="BO12" t="s">
        <v>2416</v>
      </c>
      <c r="BP12"/>
      <c r="BQ12" t="s">
        <v>2001</v>
      </c>
      <c r="BR12" t="s">
        <v>2002</v>
      </c>
      <c r="BS12" t="s">
        <v>761</v>
      </c>
      <c r="BT12" t="s">
        <v>762</v>
      </c>
      <c r="BU12">
        <v>6122624812</v>
      </c>
      <c r="BV12"/>
      <c r="BW12">
        <v>6122624366</v>
      </c>
      <c r="BX12" t="s">
        <v>2003</v>
      </c>
      <c r="BY12" t="s">
        <v>763</v>
      </c>
      <c r="BZ12"/>
      <c r="CA12" t="s">
        <v>764</v>
      </c>
      <c r="CB12" t="s">
        <v>737</v>
      </c>
      <c r="CC12" t="s">
        <v>54</v>
      </c>
      <c r="CD12" t="s">
        <v>2416</v>
      </c>
      <c r="CE12"/>
      <c r="CF12" t="s">
        <v>767</v>
      </c>
      <c r="CG12" t="s">
        <v>768</v>
      </c>
      <c r="CH12" t="s">
        <v>141</v>
      </c>
      <c r="CI12"/>
      <c r="CJ12"/>
      <c r="CK12"/>
      <c r="CL12"/>
      <c r="CM12">
        <v>1134169071</v>
      </c>
      <c r="CN12">
        <v>432</v>
      </c>
      <c r="CO12">
        <v>181</v>
      </c>
      <c r="CP12">
        <v>182</v>
      </c>
      <c r="CQ12">
        <v>467</v>
      </c>
      <c r="CR12">
        <v>181</v>
      </c>
      <c r="CS12" t="s">
        <v>2397</v>
      </c>
      <c r="CT12">
        <v>12</v>
      </c>
      <c r="CU12"/>
      <c r="CV12"/>
      <c r="CW12"/>
      <c r="CX12"/>
      <c r="CY12"/>
      <c r="CZ12"/>
      <c r="DA12"/>
      <c r="DB12"/>
      <c r="DC12"/>
      <c r="DD12">
        <v>128</v>
      </c>
      <c r="DE12" t="s">
        <v>2430</v>
      </c>
      <c r="DF12"/>
      <c r="DG12"/>
      <c r="DH12">
        <v>129</v>
      </c>
      <c r="DI12" t="s">
        <v>2431</v>
      </c>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s="569">
        <v>249</v>
      </c>
      <c r="ET12" t="s">
        <v>2128</v>
      </c>
      <c r="EU12" t="s">
        <v>2129</v>
      </c>
      <c r="EV12" t="s">
        <v>2263</v>
      </c>
      <c r="EW12" t="s">
        <v>54</v>
      </c>
      <c r="EX12" s="599">
        <v>55302</v>
      </c>
      <c r="EY12">
        <v>1225130487</v>
      </c>
    </row>
    <row r="13" spans="1:155" x14ac:dyDescent="0.2">
      <c r="A13" s="598">
        <v>1405</v>
      </c>
      <c r="B13" t="s">
        <v>2432</v>
      </c>
      <c r="C13" t="s">
        <v>1049</v>
      </c>
      <c r="D13" t="s">
        <v>1749</v>
      </c>
      <c r="E13" t="s">
        <v>759</v>
      </c>
      <c r="F13" t="s">
        <v>737</v>
      </c>
      <c r="G13" t="s">
        <v>54</v>
      </c>
      <c r="H13" t="s">
        <v>2433</v>
      </c>
      <c r="I13"/>
      <c r="J13" t="s">
        <v>1749</v>
      </c>
      <c r="K13" t="s">
        <v>759</v>
      </c>
      <c r="L13" t="s">
        <v>1049</v>
      </c>
      <c r="M13" t="s">
        <v>737</v>
      </c>
      <c r="N13" t="s">
        <v>54</v>
      </c>
      <c r="O13" t="s">
        <v>2433</v>
      </c>
      <c r="P13"/>
      <c r="Q13">
        <v>9524281073</v>
      </c>
      <c r="R13"/>
      <c r="S13" t="s">
        <v>2434</v>
      </c>
      <c r="T13" t="s">
        <v>2435</v>
      </c>
      <c r="U13" t="s">
        <v>2436</v>
      </c>
      <c r="V13" t="s">
        <v>2437</v>
      </c>
      <c r="W13" t="s">
        <v>2000</v>
      </c>
      <c r="X13" t="s">
        <v>2001</v>
      </c>
      <c r="Y13" t="s">
        <v>2002</v>
      </c>
      <c r="Z13" t="s">
        <v>761</v>
      </c>
      <c r="AA13" t="s">
        <v>762</v>
      </c>
      <c r="AB13">
        <v>6122624812</v>
      </c>
      <c r="AC13"/>
      <c r="AD13">
        <v>6122624366</v>
      </c>
      <c r="AE13" t="s">
        <v>2003</v>
      </c>
      <c r="AF13" t="s">
        <v>763</v>
      </c>
      <c r="AG13"/>
      <c r="AH13" t="s">
        <v>764</v>
      </c>
      <c r="AI13" t="s">
        <v>737</v>
      </c>
      <c r="AJ13" t="s">
        <v>54</v>
      </c>
      <c r="AK13" t="s">
        <v>2416</v>
      </c>
      <c r="AL13"/>
      <c r="AM13" t="s">
        <v>2417</v>
      </c>
      <c r="AN13" t="s">
        <v>2418</v>
      </c>
      <c r="AO13" t="s">
        <v>766</v>
      </c>
      <c r="AP13" t="s">
        <v>762</v>
      </c>
      <c r="AQ13">
        <v>6122624817</v>
      </c>
      <c r="AR13"/>
      <c r="AS13"/>
      <c r="AT13" t="s">
        <v>2419</v>
      </c>
      <c r="AU13" t="s">
        <v>763</v>
      </c>
      <c r="AV13"/>
      <c r="AW13" t="s">
        <v>764</v>
      </c>
      <c r="AX13" t="s">
        <v>737</v>
      </c>
      <c r="AY13" t="s">
        <v>54</v>
      </c>
      <c r="AZ13" t="s">
        <v>2416</v>
      </c>
      <c r="BA13"/>
      <c r="BB13" t="s">
        <v>2004</v>
      </c>
      <c r="BC13" t="s">
        <v>2005</v>
      </c>
      <c r="BD13" t="s">
        <v>2006</v>
      </c>
      <c r="BE13" t="s">
        <v>762</v>
      </c>
      <c r="BF13">
        <v>6122623986</v>
      </c>
      <c r="BG13"/>
      <c r="BH13"/>
      <c r="BI13" t="s">
        <v>2007</v>
      </c>
      <c r="BJ13" t="s">
        <v>763</v>
      </c>
      <c r="BK13"/>
      <c r="BL13" t="s">
        <v>764</v>
      </c>
      <c r="BM13" t="s">
        <v>737</v>
      </c>
      <c r="BN13" t="s">
        <v>54</v>
      </c>
      <c r="BO13" t="s">
        <v>2416</v>
      </c>
      <c r="BP13"/>
      <c r="BQ13"/>
      <c r="BR13"/>
      <c r="BS13"/>
      <c r="BT13"/>
      <c r="BU13"/>
      <c r="BV13"/>
      <c r="BW13"/>
      <c r="BX13"/>
      <c r="BY13"/>
      <c r="BZ13"/>
      <c r="CA13"/>
      <c r="CB13"/>
      <c r="CC13"/>
      <c r="CD13"/>
      <c r="CE13"/>
      <c r="CF13" t="s">
        <v>767</v>
      </c>
      <c r="CG13" t="s">
        <v>768</v>
      </c>
      <c r="CH13" t="s">
        <v>141</v>
      </c>
      <c r="CI13"/>
      <c r="CJ13"/>
      <c r="CK13"/>
      <c r="CL13"/>
      <c r="CM13">
        <v>1871006700</v>
      </c>
      <c r="CN13">
        <v>180</v>
      </c>
      <c r="CO13">
        <v>181</v>
      </c>
      <c r="CP13">
        <v>182</v>
      </c>
      <c r="CQ13">
        <v>467</v>
      </c>
      <c r="CR13"/>
      <c r="CS13" t="s">
        <v>2397</v>
      </c>
      <c r="CT13">
        <v>10</v>
      </c>
      <c r="CU13"/>
      <c r="CV13"/>
      <c r="CW13"/>
      <c r="CX13"/>
      <c r="CY13"/>
      <c r="CZ13"/>
      <c r="DA13"/>
      <c r="DB13"/>
      <c r="DC13"/>
      <c r="DD13">
        <v>128</v>
      </c>
      <c r="DE13" t="s">
        <v>2438</v>
      </c>
      <c r="DF13"/>
      <c r="DG13"/>
      <c r="DH13">
        <v>129</v>
      </c>
      <c r="DI13" t="s">
        <v>2439</v>
      </c>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s="569">
        <v>200</v>
      </c>
      <c r="ET13" t="s">
        <v>2130</v>
      </c>
      <c r="EU13" t="s">
        <v>814</v>
      </c>
      <c r="EV13" t="s">
        <v>2264</v>
      </c>
      <c r="EW13" t="s">
        <v>54</v>
      </c>
      <c r="EX13" s="599">
        <v>55303</v>
      </c>
      <c r="EY13">
        <v>1275585564</v>
      </c>
    </row>
    <row r="14" spans="1:155" x14ac:dyDescent="0.2">
      <c r="A14" s="598">
        <v>1375</v>
      </c>
      <c r="B14" t="s">
        <v>2205</v>
      </c>
      <c r="C14" t="s">
        <v>1596</v>
      </c>
      <c r="D14" t="s">
        <v>2206</v>
      </c>
      <c r="E14" t="s">
        <v>2207</v>
      </c>
      <c r="F14" t="s">
        <v>1560</v>
      </c>
      <c r="G14" t="s">
        <v>54</v>
      </c>
      <c r="H14" t="s">
        <v>2440</v>
      </c>
      <c r="I14" t="s">
        <v>2368</v>
      </c>
      <c r="J14" t="s">
        <v>2206</v>
      </c>
      <c r="K14" t="s">
        <v>2207</v>
      </c>
      <c r="L14" t="s">
        <v>1596</v>
      </c>
      <c r="M14"/>
      <c r="N14" t="s">
        <v>54</v>
      </c>
      <c r="O14" t="s">
        <v>2440</v>
      </c>
      <c r="P14" t="s">
        <v>2368</v>
      </c>
      <c r="Q14">
        <v>2182819100</v>
      </c>
      <c r="R14">
        <v>2182819189</v>
      </c>
      <c r="S14" t="s">
        <v>2441</v>
      </c>
      <c r="T14" t="s">
        <v>2442</v>
      </c>
      <c r="U14" t="s">
        <v>2443</v>
      </c>
      <c r="V14" t="s">
        <v>2444</v>
      </c>
      <c r="W14" t="s">
        <v>2368</v>
      </c>
      <c r="X14" t="s">
        <v>2445</v>
      </c>
      <c r="Y14" t="s">
        <v>2446</v>
      </c>
      <c r="Z14" t="s">
        <v>760</v>
      </c>
      <c r="AA14" t="s">
        <v>2205</v>
      </c>
      <c r="AB14">
        <v>2182819110</v>
      </c>
      <c r="AC14"/>
      <c r="AD14">
        <v>2182819189</v>
      </c>
      <c r="AE14" t="s">
        <v>2447</v>
      </c>
      <c r="AF14" t="s">
        <v>2206</v>
      </c>
      <c r="AG14" t="s">
        <v>2368</v>
      </c>
      <c r="AH14" t="s">
        <v>1596</v>
      </c>
      <c r="AI14" t="s">
        <v>1560</v>
      </c>
      <c r="AJ14" t="s">
        <v>54</v>
      </c>
      <c r="AK14" t="s">
        <v>2440</v>
      </c>
      <c r="AL14" t="s">
        <v>2368</v>
      </c>
      <c r="AM14" t="s">
        <v>2448</v>
      </c>
      <c r="AN14" t="s">
        <v>2449</v>
      </c>
      <c r="AO14" t="s">
        <v>2450</v>
      </c>
      <c r="AP14" t="s">
        <v>2208</v>
      </c>
      <c r="AQ14">
        <v>7017805278</v>
      </c>
      <c r="AR14"/>
      <c r="AS14"/>
      <c r="AT14" t="s">
        <v>2451</v>
      </c>
      <c r="AU14" t="s">
        <v>2452</v>
      </c>
      <c r="AV14" t="s">
        <v>2368</v>
      </c>
      <c r="AW14" t="s">
        <v>2453</v>
      </c>
      <c r="AX14" t="s">
        <v>883</v>
      </c>
      <c r="AY14" t="s">
        <v>1062</v>
      </c>
      <c r="AZ14" t="s">
        <v>2454</v>
      </c>
      <c r="BA14" t="s">
        <v>2368</v>
      </c>
      <c r="BB14"/>
      <c r="BC14"/>
      <c r="BD14"/>
      <c r="BE14"/>
      <c r="BF14"/>
      <c r="BG14"/>
      <c r="BH14"/>
      <c r="BI14"/>
      <c r="BJ14"/>
      <c r="BK14"/>
      <c r="BL14"/>
      <c r="BM14"/>
      <c r="BN14"/>
      <c r="BO14"/>
      <c r="BP14"/>
      <c r="BQ14" t="s">
        <v>2455</v>
      </c>
      <c r="BR14" t="s">
        <v>2456</v>
      </c>
      <c r="BS14" t="s">
        <v>2457</v>
      </c>
      <c r="BT14" t="s">
        <v>2208</v>
      </c>
      <c r="BU14">
        <v>7017801470</v>
      </c>
      <c r="BV14"/>
      <c r="BW14"/>
      <c r="BX14" t="s">
        <v>2458</v>
      </c>
      <c r="BY14" t="s">
        <v>2452</v>
      </c>
      <c r="BZ14" t="s">
        <v>2368</v>
      </c>
      <c r="CA14" t="s">
        <v>2453</v>
      </c>
      <c r="CB14" t="s">
        <v>2368</v>
      </c>
      <c r="CC14" t="s">
        <v>1062</v>
      </c>
      <c r="CD14" t="s">
        <v>2454</v>
      </c>
      <c r="CE14" t="s">
        <v>2368</v>
      </c>
      <c r="CF14" t="s">
        <v>2459</v>
      </c>
      <c r="CG14" t="s">
        <v>2208</v>
      </c>
      <c r="CH14" t="s">
        <v>141</v>
      </c>
      <c r="CI14"/>
      <c r="CJ14"/>
      <c r="CK14"/>
      <c r="CL14"/>
      <c r="CM14">
        <v>1760494330</v>
      </c>
      <c r="CN14">
        <v>2400</v>
      </c>
      <c r="CO14">
        <v>2440</v>
      </c>
      <c r="CP14">
        <v>2442</v>
      </c>
      <c r="CQ14"/>
      <c r="CR14">
        <v>2443</v>
      </c>
      <c r="CS14" t="s">
        <v>2397</v>
      </c>
      <c r="CT14">
        <v>12</v>
      </c>
      <c r="CU14"/>
      <c r="CV14"/>
      <c r="CW14"/>
      <c r="CX14" t="s">
        <v>2368</v>
      </c>
      <c r="CY14"/>
      <c r="CZ14" t="s">
        <v>2368</v>
      </c>
      <c r="DA14" t="s">
        <v>2368</v>
      </c>
      <c r="DB14" t="s">
        <v>2368</v>
      </c>
      <c r="DC14" t="s">
        <v>2368</v>
      </c>
      <c r="DD14"/>
      <c r="DE14"/>
      <c r="DF14"/>
      <c r="DG14"/>
      <c r="DH14"/>
      <c r="DI14"/>
      <c r="DJ14"/>
      <c r="DK14"/>
      <c r="DL14"/>
      <c r="DM14"/>
      <c r="DN14"/>
      <c r="DO14"/>
      <c r="DP14"/>
      <c r="DQ14"/>
      <c r="DR14"/>
      <c r="DS14"/>
      <c r="DT14"/>
      <c r="DU14"/>
      <c r="DV14"/>
      <c r="DW14"/>
      <c r="DX14"/>
      <c r="DY14"/>
      <c r="DZ14"/>
      <c r="EA14"/>
      <c r="EB14">
        <v>137</v>
      </c>
      <c r="EC14" t="s">
        <v>2460</v>
      </c>
      <c r="ED14"/>
      <c r="EE14"/>
      <c r="EF14"/>
      <c r="EG14"/>
      <c r="EH14"/>
      <c r="EI14"/>
      <c r="EJ14"/>
      <c r="EK14"/>
      <c r="EL14"/>
      <c r="EM14"/>
      <c r="EN14"/>
      <c r="EO14"/>
      <c r="EP14"/>
      <c r="EQ14"/>
      <c r="ER14"/>
      <c r="ES14" s="569">
        <v>6</v>
      </c>
      <c r="ET14" t="s">
        <v>1802</v>
      </c>
      <c r="EU14" t="s">
        <v>878</v>
      </c>
      <c r="EV14" t="s">
        <v>1803</v>
      </c>
      <c r="EW14" t="s">
        <v>54</v>
      </c>
      <c r="EX14" s="599">
        <v>56208</v>
      </c>
      <c r="EY14">
        <v>1578590626</v>
      </c>
    </row>
    <row r="15" spans="1:155" x14ac:dyDescent="0.2">
      <c r="A15" s="598">
        <v>1023</v>
      </c>
      <c r="B15" t="s">
        <v>781</v>
      </c>
      <c r="C15" t="s">
        <v>782</v>
      </c>
      <c r="D15" t="s">
        <v>783</v>
      </c>
      <c r="E15" t="s">
        <v>2016</v>
      </c>
      <c r="F15" t="s">
        <v>784</v>
      </c>
      <c r="G15" t="s">
        <v>54</v>
      </c>
      <c r="H15" t="s">
        <v>2461</v>
      </c>
      <c r="I15"/>
      <c r="J15" t="s">
        <v>783</v>
      </c>
      <c r="K15" t="s">
        <v>2016</v>
      </c>
      <c r="L15" t="s">
        <v>782</v>
      </c>
      <c r="M15" t="s">
        <v>784</v>
      </c>
      <c r="N15" t="s">
        <v>54</v>
      </c>
      <c r="O15" t="s">
        <v>2461</v>
      </c>
      <c r="P15"/>
      <c r="Q15">
        <v>6518887800</v>
      </c>
      <c r="R15">
        <v>6518887801</v>
      </c>
      <c r="S15" t="s">
        <v>2462</v>
      </c>
      <c r="T15" t="s">
        <v>2463</v>
      </c>
      <c r="U15" t="s">
        <v>785</v>
      </c>
      <c r="V15" t="s">
        <v>2464</v>
      </c>
      <c r="W15" t="s">
        <v>2017</v>
      </c>
      <c r="X15" t="s">
        <v>2462</v>
      </c>
      <c r="Y15" t="s">
        <v>2463</v>
      </c>
      <c r="Z15" t="s">
        <v>785</v>
      </c>
      <c r="AA15" t="s">
        <v>781</v>
      </c>
      <c r="AB15">
        <v>6518887800</v>
      </c>
      <c r="AC15"/>
      <c r="AD15">
        <v>6518887801</v>
      </c>
      <c r="AE15" t="s">
        <v>2464</v>
      </c>
      <c r="AF15" t="s">
        <v>783</v>
      </c>
      <c r="AG15" t="s">
        <v>2016</v>
      </c>
      <c r="AH15" t="s">
        <v>782</v>
      </c>
      <c r="AI15" t="s">
        <v>784</v>
      </c>
      <c r="AJ15" t="s">
        <v>54</v>
      </c>
      <c r="AK15" t="s">
        <v>2461</v>
      </c>
      <c r="AL15"/>
      <c r="AM15" t="s">
        <v>2018</v>
      </c>
      <c r="AN15" t="s">
        <v>2019</v>
      </c>
      <c r="AO15" t="s">
        <v>2020</v>
      </c>
      <c r="AP15" t="s">
        <v>781</v>
      </c>
      <c r="AQ15">
        <v>6518887800</v>
      </c>
      <c r="AR15"/>
      <c r="AS15">
        <v>6518887801</v>
      </c>
      <c r="AT15" t="s">
        <v>2021</v>
      </c>
      <c r="AU15" t="s">
        <v>783</v>
      </c>
      <c r="AV15" t="s">
        <v>2016</v>
      </c>
      <c r="AW15" t="s">
        <v>782</v>
      </c>
      <c r="AX15" t="s">
        <v>784</v>
      </c>
      <c r="AY15" t="s">
        <v>54</v>
      </c>
      <c r="AZ15" t="s">
        <v>2461</v>
      </c>
      <c r="BA15"/>
      <c r="BB15" t="s">
        <v>2022</v>
      </c>
      <c r="BC15" t="s">
        <v>2019</v>
      </c>
      <c r="BD15"/>
      <c r="BE15" t="s">
        <v>781</v>
      </c>
      <c r="BF15">
        <v>6518887800</v>
      </c>
      <c r="BG15"/>
      <c r="BH15">
        <v>6518887801</v>
      </c>
      <c r="BI15"/>
      <c r="BJ15" t="s">
        <v>783</v>
      </c>
      <c r="BK15" t="s">
        <v>2016</v>
      </c>
      <c r="BL15" t="s">
        <v>782</v>
      </c>
      <c r="BM15" t="s">
        <v>784</v>
      </c>
      <c r="BN15" t="s">
        <v>54</v>
      </c>
      <c r="BO15" t="s">
        <v>2461</v>
      </c>
      <c r="BP15"/>
      <c r="BQ15"/>
      <c r="BR15"/>
      <c r="BS15"/>
      <c r="BT15"/>
      <c r="BU15"/>
      <c r="BV15"/>
      <c r="BW15"/>
      <c r="BX15"/>
      <c r="BY15"/>
      <c r="BZ15"/>
      <c r="CA15"/>
      <c r="CB15"/>
      <c r="CC15"/>
      <c r="CD15"/>
      <c r="CE15"/>
      <c r="CF15" t="s">
        <v>2023</v>
      </c>
      <c r="CG15" t="s">
        <v>755</v>
      </c>
      <c r="CH15" t="s">
        <v>141</v>
      </c>
      <c r="CI15"/>
      <c r="CJ15"/>
      <c r="CK15"/>
      <c r="CL15"/>
      <c r="CM15">
        <v>1578807491</v>
      </c>
      <c r="CN15">
        <v>1006</v>
      </c>
      <c r="CO15">
        <v>2834</v>
      </c>
      <c r="CP15">
        <v>336</v>
      </c>
      <c r="CQ15">
        <v>369</v>
      </c>
      <c r="CR15"/>
      <c r="CS15" t="s">
        <v>2397</v>
      </c>
      <c r="CT15">
        <v>12</v>
      </c>
      <c r="CU15"/>
      <c r="CV15"/>
      <c r="CW15"/>
      <c r="CX15"/>
      <c r="CY15"/>
      <c r="CZ15"/>
      <c r="DA15"/>
      <c r="DB15"/>
      <c r="DC15"/>
      <c r="DD15"/>
      <c r="DE15"/>
      <c r="DF15"/>
      <c r="DG15"/>
      <c r="DH15"/>
      <c r="DI15"/>
      <c r="DJ15"/>
      <c r="DK15"/>
      <c r="DL15"/>
      <c r="DM15"/>
      <c r="DN15">
        <v>133</v>
      </c>
      <c r="DO15" t="s">
        <v>2465</v>
      </c>
      <c r="DP15"/>
      <c r="DQ15"/>
      <c r="DR15"/>
      <c r="DS15"/>
      <c r="DT15"/>
      <c r="DU15"/>
      <c r="DV15"/>
      <c r="DW15"/>
      <c r="DX15"/>
      <c r="DY15"/>
      <c r="DZ15"/>
      <c r="EA15"/>
      <c r="EB15"/>
      <c r="EC15"/>
      <c r="ED15"/>
      <c r="EE15"/>
      <c r="EF15"/>
      <c r="EG15"/>
      <c r="EH15"/>
      <c r="EI15"/>
      <c r="EJ15"/>
      <c r="EK15"/>
      <c r="EL15"/>
      <c r="EM15"/>
      <c r="EN15"/>
      <c r="EO15"/>
      <c r="EP15"/>
      <c r="EQ15"/>
      <c r="ER15"/>
      <c r="ES15" s="569">
        <v>993</v>
      </c>
      <c r="ET15" t="s">
        <v>877</v>
      </c>
      <c r="EU15" t="s">
        <v>878</v>
      </c>
      <c r="EV15" t="s">
        <v>2959</v>
      </c>
      <c r="EW15" t="s">
        <v>54</v>
      </c>
      <c r="EX15" s="600">
        <v>56208</v>
      </c>
      <c r="EY15"/>
    </row>
    <row r="16" spans="1:155" x14ac:dyDescent="0.2">
      <c r="A16" s="598">
        <v>680</v>
      </c>
      <c r="B16" t="s">
        <v>786</v>
      </c>
      <c r="C16" t="s">
        <v>787</v>
      </c>
      <c r="D16" t="s">
        <v>788</v>
      </c>
      <c r="E16"/>
      <c r="F16" t="s">
        <v>752</v>
      </c>
      <c r="G16" t="s">
        <v>54</v>
      </c>
      <c r="H16" t="s">
        <v>2466</v>
      </c>
      <c r="I16"/>
      <c r="J16" t="s">
        <v>788</v>
      </c>
      <c r="K16"/>
      <c r="L16" t="s">
        <v>787</v>
      </c>
      <c r="M16" t="s">
        <v>752</v>
      </c>
      <c r="N16" t="s">
        <v>54</v>
      </c>
      <c r="O16" t="s">
        <v>2466</v>
      </c>
      <c r="P16"/>
      <c r="Q16">
        <v>6512419700</v>
      </c>
      <c r="R16">
        <v>6512419678</v>
      </c>
      <c r="S16" t="s">
        <v>2024</v>
      </c>
      <c r="T16" t="s">
        <v>2025</v>
      </c>
      <c r="U16" t="s">
        <v>760</v>
      </c>
      <c r="V16" t="s">
        <v>2026</v>
      </c>
      <c r="W16" t="s">
        <v>2000</v>
      </c>
      <c r="X16" t="s">
        <v>2001</v>
      </c>
      <c r="Y16" t="s">
        <v>2002</v>
      </c>
      <c r="Z16" t="s">
        <v>761</v>
      </c>
      <c r="AA16" t="s">
        <v>762</v>
      </c>
      <c r="AB16">
        <v>6122624812</v>
      </c>
      <c r="AC16"/>
      <c r="AD16">
        <v>6122624366</v>
      </c>
      <c r="AE16" t="s">
        <v>2003</v>
      </c>
      <c r="AF16" t="s">
        <v>763</v>
      </c>
      <c r="AG16"/>
      <c r="AH16" t="s">
        <v>764</v>
      </c>
      <c r="AI16" t="s">
        <v>737</v>
      </c>
      <c r="AJ16" t="s">
        <v>54</v>
      </c>
      <c r="AK16" t="s">
        <v>2416</v>
      </c>
      <c r="AL16"/>
      <c r="AM16" t="s">
        <v>2417</v>
      </c>
      <c r="AN16" t="s">
        <v>2418</v>
      </c>
      <c r="AO16" t="s">
        <v>766</v>
      </c>
      <c r="AP16" t="s">
        <v>762</v>
      </c>
      <c r="AQ16">
        <v>6122624817</v>
      </c>
      <c r="AR16"/>
      <c r="AS16"/>
      <c r="AT16" t="s">
        <v>2419</v>
      </c>
      <c r="AU16" t="s">
        <v>763</v>
      </c>
      <c r="AV16"/>
      <c r="AW16" t="s">
        <v>764</v>
      </c>
      <c r="AX16" t="s">
        <v>737</v>
      </c>
      <c r="AY16" t="s">
        <v>54</v>
      </c>
      <c r="AZ16" t="s">
        <v>2416</v>
      </c>
      <c r="BA16"/>
      <c r="BB16" t="s">
        <v>2004</v>
      </c>
      <c r="BC16" t="s">
        <v>2005</v>
      </c>
      <c r="BD16" t="s">
        <v>2006</v>
      </c>
      <c r="BE16" t="s">
        <v>762</v>
      </c>
      <c r="BF16">
        <v>6122623986</v>
      </c>
      <c r="BG16"/>
      <c r="BH16"/>
      <c r="BI16" t="s">
        <v>2007</v>
      </c>
      <c r="BJ16" t="s">
        <v>763</v>
      </c>
      <c r="BK16"/>
      <c r="BL16" t="s">
        <v>764</v>
      </c>
      <c r="BM16" t="s">
        <v>737</v>
      </c>
      <c r="BN16" t="s">
        <v>54</v>
      </c>
      <c r="BO16" t="s">
        <v>2416</v>
      </c>
      <c r="BP16"/>
      <c r="BQ16"/>
      <c r="BR16"/>
      <c r="BS16"/>
      <c r="BT16"/>
      <c r="BU16"/>
      <c r="BV16"/>
      <c r="BW16"/>
      <c r="BX16"/>
      <c r="BY16"/>
      <c r="BZ16"/>
      <c r="CA16"/>
      <c r="CB16"/>
      <c r="CC16"/>
      <c r="CD16"/>
      <c r="CE16"/>
      <c r="CF16"/>
      <c r="CG16" t="s">
        <v>768</v>
      </c>
      <c r="CH16" t="s">
        <v>141</v>
      </c>
      <c r="CI16"/>
      <c r="CJ16"/>
      <c r="CK16"/>
      <c r="CL16"/>
      <c r="CM16">
        <v>1710158357</v>
      </c>
      <c r="CN16">
        <v>385</v>
      </c>
      <c r="CO16">
        <v>181</v>
      </c>
      <c r="CP16">
        <v>182</v>
      </c>
      <c r="CQ16">
        <v>467</v>
      </c>
      <c r="CR16"/>
      <c r="CS16" t="s">
        <v>2397</v>
      </c>
      <c r="CT16">
        <v>12</v>
      </c>
      <c r="CU16"/>
      <c r="CV16"/>
      <c r="CW16"/>
      <c r="CX16"/>
      <c r="CY16"/>
      <c r="CZ16"/>
      <c r="DA16"/>
      <c r="DB16"/>
      <c r="DC16"/>
      <c r="DD16"/>
      <c r="DE16"/>
      <c r="DF16"/>
      <c r="DG16"/>
      <c r="DH16">
        <v>129</v>
      </c>
      <c r="DI16" t="s">
        <v>2467</v>
      </c>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s="569">
        <v>827</v>
      </c>
      <c r="ET16" t="s">
        <v>1004</v>
      </c>
      <c r="EU16" t="s">
        <v>1005</v>
      </c>
      <c r="EV16" t="s">
        <v>2960</v>
      </c>
      <c r="EW16" t="s">
        <v>54</v>
      </c>
      <c r="EX16" s="600">
        <v>55307</v>
      </c>
      <c r="EY16"/>
    </row>
    <row r="17" spans="1:155" x14ac:dyDescent="0.2">
      <c r="A17" s="598">
        <v>722</v>
      </c>
      <c r="B17" t="s">
        <v>789</v>
      </c>
      <c r="C17" t="s">
        <v>790</v>
      </c>
      <c r="D17" t="s">
        <v>791</v>
      </c>
      <c r="E17"/>
      <c r="F17" t="s">
        <v>752</v>
      </c>
      <c r="G17" t="s">
        <v>54</v>
      </c>
      <c r="H17" t="s">
        <v>2468</v>
      </c>
      <c r="I17" t="s">
        <v>2469</v>
      </c>
      <c r="J17" t="s">
        <v>791</v>
      </c>
      <c r="K17"/>
      <c r="L17" t="s">
        <v>790</v>
      </c>
      <c r="M17" t="s">
        <v>752</v>
      </c>
      <c r="N17" t="s">
        <v>54</v>
      </c>
      <c r="O17" t="s">
        <v>2468</v>
      </c>
      <c r="P17" t="s">
        <v>2469</v>
      </c>
      <c r="Q17">
        <v>6512419700</v>
      </c>
      <c r="R17">
        <v>6512419678</v>
      </c>
      <c r="S17" t="s">
        <v>2027</v>
      </c>
      <c r="T17" t="s">
        <v>2028</v>
      </c>
      <c r="U17" t="s">
        <v>760</v>
      </c>
      <c r="V17"/>
      <c r="W17" t="s">
        <v>2000</v>
      </c>
      <c r="X17" t="s">
        <v>2001</v>
      </c>
      <c r="Y17" t="s">
        <v>2002</v>
      </c>
      <c r="Z17" t="s">
        <v>761</v>
      </c>
      <c r="AA17" t="s">
        <v>762</v>
      </c>
      <c r="AB17">
        <v>6122624812</v>
      </c>
      <c r="AC17"/>
      <c r="AD17">
        <v>6122624366</v>
      </c>
      <c r="AE17" t="s">
        <v>2003</v>
      </c>
      <c r="AF17" t="s">
        <v>763</v>
      </c>
      <c r="AG17"/>
      <c r="AH17" t="s">
        <v>764</v>
      </c>
      <c r="AI17" t="s">
        <v>737</v>
      </c>
      <c r="AJ17" t="s">
        <v>54</v>
      </c>
      <c r="AK17" t="s">
        <v>2416</v>
      </c>
      <c r="AL17"/>
      <c r="AM17" t="s">
        <v>2417</v>
      </c>
      <c r="AN17" t="s">
        <v>2418</v>
      </c>
      <c r="AO17" t="s">
        <v>766</v>
      </c>
      <c r="AP17" t="s">
        <v>762</v>
      </c>
      <c r="AQ17">
        <v>6122624817</v>
      </c>
      <c r="AR17"/>
      <c r="AS17"/>
      <c r="AT17" t="s">
        <v>2419</v>
      </c>
      <c r="AU17" t="s">
        <v>763</v>
      </c>
      <c r="AV17"/>
      <c r="AW17" t="s">
        <v>764</v>
      </c>
      <c r="AX17" t="s">
        <v>737</v>
      </c>
      <c r="AY17" t="s">
        <v>54</v>
      </c>
      <c r="AZ17" t="s">
        <v>2416</v>
      </c>
      <c r="BA17"/>
      <c r="BB17" t="s">
        <v>2004</v>
      </c>
      <c r="BC17" t="s">
        <v>2005</v>
      </c>
      <c r="BD17" t="s">
        <v>2006</v>
      </c>
      <c r="BE17" t="s">
        <v>762</v>
      </c>
      <c r="BF17">
        <v>6122623986</v>
      </c>
      <c r="BG17"/>
      <c r="BH17"/>
      <c r="BI17" t="s">
        <v>2007</v>
      </c>
      <c r="BJ17" t="s">
        <v>763</v>
      </c>
      <c r="BK17"/>
      <c r="BL17" t="s">
        <v>764</v>
      </c>
      <c r="BM17" t="s">
        <v>737</v>
      </c>
      <c r="BN17" t="s">
        <v>54</v>
      </c>
      <c r="BO17" t="s">
        <v>2416</v>
      </c>
      <c r="BP17"/>
      <c r="BQ17"/>
      <c r="BR17"/>
      <c r="BS17"/>
      <c r="BT17"/>
      <c r="BU17"/>
      <c r="BV17"/>
      <c r="BW17"/>
      <c r="BX17"/>
      <c r="BY17"/>
      <c r="BZ17"/>
      <c r="CA17"/>
      <c r="CB17"/>
      <c r="CC17"/>
      <c r="CD17"/>
      <c r="CE17"/>
      <c r="CF17"/>
      <c r="CG17" t="s">
        <v>768</v>
      </c>
      <c r="CH17" t="s">
        <v>141</v>
      </c>
      <c r="CI17"/>
      <c r="CJ17"/>
      <c r="CK17"/>
      <c r="CL17"/>
      <c r="CM17">
        <v>1710158357</v>
      </c>
      <c r="CN17">
        <v>382</v>
      </c>
      <c r="CO17">
        <v>181</v>
      </c>
      <c r="CP17">
        <v>182</v>
      </c>
      <c r="CQ17">
        <v>467</v>
      </c>
      <c r="CR17"/>
      <c r="CS17" t="s">
        <v>2397</v>
      </c>
      <c r="CT17">
        <v>12</v>
      </c>
      <c r="CU17"/>
      <c r="CV17"/>
      <c r="CW17"/>
      <c r="CX17"/>
      <c r="CY17"/>
      <c r="CZ17"/>
      <c r="DA17"/>
      <c r="DB17"/>
      <c r="DC17"/>
      <c r="DD17">
        <v>128</v>
      </c>
      <c r="DE17" t="s">
        <v>2422</v>
      </c>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s="569">
        <v>7</v>
      </c>
      <c r="ET17" t="s">
        <v>1804</v>
      </c>
      <c r="EU17" t="s">
        <v>1005</v>
      </c>
      <c r="EV17" t="s">
        <v>1006</v>
      </c>
      <c r="EW17" t="s">
        <v>54</v>
      </c>
      <c r="EX17" s="599">
        <v>55307</v>
      </c>
      <c r="EY17">
        <v>1740240225</v>
      </c>
    </row>
    <row r="18" spans="1:155" x14ac:dyDescent="0.2">
      <c r="A18" s="598">
        <v>1142</v>
      </c>
      <c r="B18" t="s">
        <v>2199</v>
      </c>
      <c r="C18" t="s">
        <v>2470</v>
      </c>
      <c r="D18" t="s">
        <v>2471</v>
      </c>
      <c r="E18" t="s">
        <v>2368</v>
      </c>
      <c r="F18"/>
      <c r="G18" t="s">
        <v>2200</v>
      </c>
      <c r="H18" t="s">
        <v>2472</v>
      </c>
      <c r="I18" t="s">
        <v>2368</v>
      </c>
      <c r="J18" t="s">
        <v>2473</v>
      </c>
      <c r="K18" t="s">
        <v>2474</v>
      </c>
      <c r="L18" t="s">
        <v>2475</v>
      </c>
      <c r="M18"/>
      <c r="N18" t="s">
        <v>2200</v>
      </c>
      <c r="O18" t="s">
        <v>2476</v>
      </c>
      <c r="P18" t="s">
        <v>2368</v>
      </c>
      <c r="Q18">
        <v>9197479622</v>
      </c>
      <c r="R18">
        <v>9198521618</v>
      </c>
      <c r="S18" t="s">
        <v>2201</v>
      </c>
      <c r="T18" t="s">
        <v>2202</v>
      </c>
      <c r="U18" t="s">
        <v>2203</v>
      </c>
      <c r="V18" t="s">
        <v>2477</v>
      </c>
      <c r="W18" t="s">
        <v>2368</v>
      </c>
      <c r="X18" t="s">
        <v>2201</v>
      </c>
      <c r="Y18" t="s">
        <v>2202</v>
      </c>
      <c r="Z18" t="s">
        <v>2203</v>
      </c>
      <c r="AA18" t="s">
        <v>2199</v>
      </c>
      <c r="AB18">
        <v>9197479622</v>
      </c>
      <c r="AC18"/>
      <c r="AD18">
        <v>9198521618</v>
      </c>
      <c r="AE18" t="s">
        <v>2477</v>
      </c>
      <c r="AF18" t="s">
        <v>2473</v>
      </c>
      <c r="AG18" t="s">
        <v>2474</v>
      </c>
      <c r="AH18" t="s">
        <v>2475</v>
      </c>
      <c r="AI18"/>
      <c r="AJ18" t="s">
        <v>2200</v>
      </c>
      <c r="AK18" t="s">
        <v>2476</v>
      </c>
      <c r="AL18" t="s">
        <v>2368</v>
      </c>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t="s">
        <v>2204</v>
      </c>
      <c r="CG18" t="s">
        <v>755</v>
      </c>
      <c r="CH18" t="s">
        <v>2368</v>
      </c>
      <c r="CI18"/>
      <c r="CJ18"/>
      <c r="CK18"/>
      <c r="CL18"/>
      <c r="CM18"/>
      <c r="CN18">
        <v>2149</v>
      </c>
      <c r="CO18">
        <v>2150</v>
      </c>
      <c r="CP18"/>
      <c r="CQ18"/>
      <c r="CR18"/>
      <c r="CS18" t="s">
        <v>2397</v>
      </c>
      <c r="CT18">
        <v>12</v>
      </c>
      <c r="CU18"/>
      <c r="CV18"/>
      <c r="CW18"/>
      <c r="CX18" t="s">
        <v>2368</v>
      </c>
      <c r="CY18"/>
      <c r="CZ18" t="s">
        <v>2368</v>
      </c>
      <c r="DA18" t="s">
        <v>2368</v>
      </c>
      <c r="DB18" t="s">
        <v>2368</v>
      </c>
      <c r="DC18" t="s">
        <v>2368</v>
      </c>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s="569">
        <v>828</v>
      </c>
      <c r="ET18" t="s">
        <v>923</v>
      </c>
      <c r="EU18" t="s">
        <v>924</v>
      </c>
      <c r="EV18" t="s">
        <v>2961</v>
      </c>
      <c r="EW18" t="s">
        <v>54</v>
      </c>
      <c r="EX18" s="600">
        <v>55705</v>
      </c>
      <c r="EY18"/>
    </row>
    <row r="19" spans="1:155" x14ac:dyDescent="0.2">
      <c r="A19" s="598">
        <v>1399</v>
      </c>
      <c r="B19" t="s">
        <v>2478</v>
      </c>
      <c r="C19" t="s">
        <v>2216</v>
      </c>
      <c r="D19" t="s">
        <v>2217</v>
      </c>
      <c r="E19"/>
      <c r="F19"/>
      <c r="G19" t="s">
        <v>2213</v>
      </c>
      <c r="H19" t="s">
        <v>2479</v>
      </c>
      <c r="I19"/>
      <c r="J19" t="s">
        <v>2217</v>
      </c>
      <c r="K19"/>
      <c r="L19" t="s">
        <v>2216</v>
      </c>
      <c r="M19" t="s">
        <v>2218</v>
      </c>
      <c r="N19" t="s">
        <v>2213</v>
      </c>
      <c r="O19" t="s">
        <v>2479</v>
      </c>
      <c r="P19"/>
      <c r="Q19">
        <v>9166529501</v>
      </c>
      <c r="R19">
        <v>9166529412</v>
      </c>
      <c r="S19" t="s">
        <v>2219</v>
      </c>
      <c r="T19" t="s">
        <v>2220</v>
      </c>
      <c r="U19" t="s">
        <v>2221</v>
      </c>
      <c r="V19" t="s">
        <v>2222</v>
      </c>
      <c r="W19" t="s">
        <v>2223</v>
      </c>
      <c r="X19" t="s">
        <v>2219</v>
      </c>
      <c r="Y19" t="s">
        <v>2220</v>
      </c>
      <c r="Z19" t="s">
        <v>2221</v>
      </c>
      <c r="AA19" t="s">
        <v>2215</v>
      </c>
      <c r="AB19">
        <v>9166529501</v>
      </c>
      <c r="AC19"/>
      <c r="AD19">
        <v>9166529412</v>
      </c>
      <c r="AE19" t="s">
        <v>2222</v>
      </c>
      <c r="AF19" t="s">
        <v>2217</v>
      </c>
      <c r="AG19"/>
      <c r="AH19" t="s">
        <v>2216</v>
      </c>
      <c r="AI19" t="s">
        <v>2218</v>
      </c>
      <c r="AJ19" t="s">
        <v>2213</v>
      </c>
      <c r="AK19" t="s">
        <v>2479</v>
      </c>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t="s">
        <v>2224</v>
      </c>
      <c r="CG19" t="s">
        <v>2215</v>
      </c>
      <c r="CH19" t="s">
        <v>141</v>
      </c>
      <c r="CI19"/>
      <c r="CJ19"/>
      <c r="CK19"/>
      <c r="CL19"/>
      <c r="CM19"/>
      <c r="CN19">
        <v>2134</v>
      </c>
      <c r="CO19">
        <v>2133</v>
      </c>
      <c r="CP19"/>
      <c r="CQ19"/>
      <c r="CR19"/>
      <c r="CS19" t="s">
        <v>2386</v>
      </c>
      <c r="CT19">
        <v>12</v>
      </c>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s="569">
        <v>175</v>
      </c>
      <c r="ET19" t="s">
        <v>1805</v>
      </c>
      <c r="EU19" t="s">
        <v>924</v>
      </c>
      <c r="EV19" t="s">
        <v>925</v>
      </c>
      <c r="EW19" t="s">
        <v>54</v>
      </c>
      <c r="EX19" s="599">
        <v>55705</v>
      </c>
      <c r="EY19">
        <v>1639278609</v>
      </c>
    </row>
    <row r="20" spans="1:155" x14ac:dyDescent="0.2">
      <c r="A20" s="598">
        <v>1143</v>
      </c>
      <c r="B20" t="s">
        <v>2480</v>
      </c>
      <c r="C20" t="s">
        <v>2216</v>
      </c>
      <c r="D20" t="s">
        <v>2217</v>
      </c>
      <c r="E20"/>
      <c r="F20"/>
      <c r="G20" t="s">
        <v>2213</v>
      </c>
      <c r="H20" t="s">
        <v>2479</v>
      </c>
      <c r="I20"/>
      <c r="J20" t="s">
        <v>2217</v>
      </c>
      <c r="K20"/>
      <c r="L20" t="s">
        <v>2216</v>
      </c>
      <c r="M20" t="s">
        <v>2218</v>
      </c>
      <c r="N20" t="s">
        <v>2213</v>
      </c>
      <c r="O20" t="s">
        <v>2479</v>
      </c>
      <c r="P20"/>
      <c r="Q20">
        <v>9166529501</v>
      </c>
      <c r="R20">
        <v>9166529412</v>
      </c>
      <c r="S20" t="s">
        <v>2219</v>
      </c>
      <c r="T20" t="s">
        <v>2220</v>
      </c>
      <c r="U20" t="s">
        <v>2221</v>
      </c>
      <c r="V20" t="s">
        <v>2222</v>
      </c>
      <c r="W20" t="s">
        <v>2223</v>
      </c>
      <c r="X20" t="s">
        <v>2219</v>
      </c>
      <c r="Y20" t="s">
        <v>2220</v>
      </c>
      <c r="Z20" t="s">
        <v>2221</v>
      </c>
      <c r="AA20" t="s">
        <v>2215</v>
      </c>
      <c r="AB20">
        <v>9166529501</v>
      </c>
      <c r="AC20"/>
      <c r="AD20">
        <v>9166529412</v>
      </c>
      <c r="AE20" t="s">
        <v>2222</v>
      </c>
      <c r="AF20" t="s">
        <v>2217</v>
      </c>
      <c r="AG20"/>
      <c r="AH20" t="s">
        <v>2216</v>
      </c>
      <c r="AI20" t="s">
        <v>2218</v>
      </c>
      <c r="AJ20" t="s">
        <v>2213</v>
      </c>
      <c r="AK20" t="s">
        <v>2479</v>
      </c>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t="s">
        <v>2224</v>
      </c>
      <c r="CG20" t="s">
        <v>2215</v>
      </c>
      <c r="CH20" t="s">
        <v>141</v>
      </c>
      <c r="CI20"/>
      <c r="CJ20"/>
      <c r="CK20"/>
      <c r="CL20"/>
      <c r="CM20"/>
      <c r="CN20">
        <v>2134</v>
      </c>
      <c r="CO20">
        <v>2133</v>
      </c>
      <c r="CP20"/>
      <c r="CQ20"/>
      <c r="CR20"/>
      <c r="CS20" t="s">
        <v>2386</v>
      </c>
      <c r="CT20">
        <v>12</v>
      </c>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s="569">
        <v>829</v>
      </c>
      <c r="ET20" t="s">
        <v>1013</v>
      </c>
      <c r="EU20" t="s">
        <v>1014</v>
      </c>
      <c r="EV20" t="s">
        <v>2962</v>
      </c>
      <c r="EW20" t="s">
        <v>54</v>
      </c>
      <c r="EX20" s="600">
        <v>56621</v>
      </c>
      <c r="EY20"/>
    </row>
    <row r="21" spans="1:155" x14ac:dyDescent="0.2">
      <c r="A21" s="598">
        <v>1403</v>
      </c>
      <c r="B21" t="s">
        <v>2481</v>
      </c>
      <c r="C21" t="s">
        <v>2216</v>
      </c>
      <c r="D21" t="s">
        <v>2217</v>
      </c>
      <c r="E21"/>
      <c r="F21"/>
      <c r="G21" t="s">
        <v>2213</v>
      </c>
      <c r="H21" t="s">
        <v>2479</v>
      </c>
      <c r="I21"/>
      <c r="J21" t="s">
        <v>2217</v>
      </c>
      <c r="K21"/>
      <c r="L21" t="s">
        <v>2216</v>
      </c>
      <c r="M21" t="s">
        <v>2218</v>
      </c>
      <c r="N21" t="s">
        <v>2213</v>
      </c>
      <c r="O21" t="s">
        <v>2479</v>
      </c>
      <c r="P21"/>
      <c r="Q21">
        <v>9166529501</v>
      </c>
      <c r="R21">
        <v>9166529412</v>
      </c>
      <c r="S21" t="s">
        <v>2219</v>
      </c>
      <c r="T21" t="s">
        <v>2220</v>
      </c>
      <c r="U21" t="s">
        <v>2221</v>
      </c>
      <c r="V21" t="s">
        <v>2222</v>
      </c>
      <c r="W21" t="s">
        <v>2223</v>
      </c>
      <c r="X21" t="s">
        <v>2219</v>
      </c>
      <c r="Y21" t="s">
        <v>2220</v>
      </c>
      <c r="Z21" t="s">
        <v>2221</v>
      </c>
      <c r="AA21" t="s">
        <v>2215</v>
      </c>
      <c r="AB21">
        <v>9166529501</v>
      </c>
      <c r="AC21"/>
      <c r="AD21">
        <v>9166529412</v>
      </c>
      <c r="AE21" t="s">
        <v>2222</v>
      </c>
      <c r="AF21" t="s">
        <v>2217</v>
      </c>
      <c r="AG21"/>
      <c r="AH21" t="s">
        <v>2216</v>
      </c>
      <c r="AI21" t="s">
        <v>2218</v>
      </c>
      <c r="AJ21" t="s">
        <v>2213</v>
      </c>
      <c r="AK21" t="s">
        <v>2479</v>
      </c>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t="s">
        <v>2224</v>
      </c>
      <c r="CG21" t="s">
        <v>2215</v>
      </c>
      <c r="CH21" t="s">
        <v>141</v>
      </c>
      <c r="CI21"/>
      <c r="CJ21"/>
      <c r="CK21"/>
      <c r="CL21"/>
      <c r="CM21"/>
      <c r="CN21">
        <v>2134</v>
      </c>
      <c r="CO21">
        <v>2133</v>
      </c>
      <c r="CP21"/>
      <c r="CQ21"/>
      <c r="CR21"/>
      <c r="CS21" t="s">
        <v>2386</v>
      </c>
      <c r="CT21">
        <v>12</v>
      </c>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s="569">
        <v>19</v>
      </c>
      <c r="ET21" t="s">
        <v>1806</v>
      </c>
      <c r="EU21" t="s">
        <v>1014</v>
      </c>
      <c r="EV21" t="s">
        <v>1015</v>
      </c>
      <c r="EW21" t="s">
        <v>54</v>
      </c>
      <c r="EX21" s="599">
        <v>56621</v>
      </c>
      <c r="EY21">
        <v>1295859411</v>
      </c>
    </row>
    <row r="22" spans="1:155" x14ac:dyDescent="0.2">
      <c r="A22" s="598">
        <v>1404</v>
      </c>
      <c r="B22" t="s">
        <v>2482</v>
      </c>
      <c r="C22" t="s">
        <v>2216</v>
      </c>
      <c r="D22" t="s">
        <v>2217</v>
      </c>
      <c r="E22"/>
      <c r="F22"/>
      <c r="G22" t="s">
        <v>2213</v>
      </c>
      <c r="H22" t="s">
        <v>2479</v>
      </c>
      <c r="I22"/>
      <c r="J22" t="s">
        <v>2217</v>
      </c>
      <c r="K22"/>
      <c r="L22" t="s">
        <v>2216</v>
      </c>
      <c r="M22" t="s">
        <v>2218</v>
      </c>
      <c r="N22" t="s">
        <v>2213</v>
      </c>
      <c r="O22" t="s">
        <v>2479</v>
      </c>
      <c r="P22"/>
      <c r="Q22">
        <v>9166529501</v>
      </c>
      <c r="R22">
        <v>9166529412</v>
      </c>
      <c r="S22" t="s">
        <v>2219</v>
      </c>
      <c r="T22" t="s">
        <v>2220</v>
      </c>
      <c r="U22" t="s">
        <v>2221</v>
      </c>
      <c r="V22" t="s">
        <v>2222</v>
      </c>
      <c r="W22" t="s">
        <v>2223</v>
      </c>
      <c r="X22" t="s">
        <v>2219</v>
      </c>
      <c r="Y22" t="s">
        <v>2220</v>
      </c>
      <c r="Z22" t="s">
        <v>2221</v>
      </c>
      <c r="AA22" t="s">
        <v>2215</v>
      </c>
      <c r="AB22">
        <v>9166529501</v>
      </c>
      <c r="AC22"/>
      <c r="AD22">
        <v>9166529412</v>
      </c>
      <c r="AE22" t="s">
        <v>2222</v>
      </c>
      <c r="AF22" t="s">
        <v>2217</v>
      </c>
      <c r="AG22"/>
      <c r="AH22" t="s">
        <v>2216</v>
      </c>
      <c r="AI22" t="s">
        <v>2218</v>
      </c>
      <c r="AJ22" t="s">
        <v>2213</v>
      </c>
      <c r="AK22" t="s">
        <v>2479</v>
      </c>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t="s">
        <v>2224</v>
      </c>
      <c r="CG22" t="s">
        <v>2215</v>
      </c>
      <c r="CH22" t="s">
        <v>141</v>
      </c>
      <c r="CI22"/>
      <c r="CJ22"/>
      <c r="CK22"/>
      <c r="CL22"/>
      <c r="CM22"/>
      <c r="CN22">
        <v>2134</v>
      </c>
      <c r="CO22">
        <v>2133</v>
      </c>
      <c r="CP22"/>
      <c r="CQ22"/>
      <c r="CR22"/>
      <c r="CS22" t="s">
        <v>2386</v>
      </c>
      <c r="CT22">
        <v>12</v>
      </c>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s="569">
        <v>159</v>
      </c>
      <c r="ET22" t="s">
        <v>1807</v>
      </c>
      <c r="EU22" t="s">
        <v>959</v>
      </c>
      <c r="EV22" t="s">
        <v>2265</v>
      </c>
      <c r="EW22" t="s">
        <v>54</v>
      </c>
      <c r="EX22" s="599">
        <v>56623</v>
      </c>
      <c r="EY22">
        <v>1922072776</v>
      </c>
    </row>
    <row r="23" spans="1:155" x14ac:dyDescent="0.2">
      <c r="A23" s="598">
        <v>1120</v>
      </c>
      <c r="B23" t="s">
        <v>793</v>
      </c>
      <c r="C23" t="s">
        <v>794</v>
      </c>
      <c r="D23" t="s">
        <v>795</v>
      </c>
      <c r="E23"/>
      <c r="F23"/>
      <c r="G23" t="s">
        <v>54</v>
      </c>
      <c r="H23" t="s">
        <v>2483</v>
      </c>
      <c r="I23"/>
      <c r="J23" t="s">
        <v>734</v>
      </c>
      <c r="K23" t="s">
        <v>735</v>
      </c>
      <c r="L23" t="s">
        <v>736</v>
      </c>
      <c r="M23" t="s">
        <v>737</v>
      </c>
      <c r="N23" t="s">
        <v>54</v>
      </c>
      <c r="O23" t="s">
        <v>2396</v>
      </c>
      <c r="P23"/>
      <c r="Q23">
        <v>9525411840</v>
      </c>
      <c r="R23">
        <v>9525136880</v>
      </c>
      <c r="S23" t="s">
        <v>1262</v>
      </c>
      <c r="T23" t="s">
        <v>816</v>
      </c>
      <c r="U23" t="s">
        <v>2135</v>
      </c>
      <c r="V23" t="s">
        <v>817</v>
      </c>
      <c r="W23" t="s">
        <v>2029</v>
      </c>
      <c r="X23" t="s">
        <v>738</v>
      </c>
      <c r="Y23" t="s">
        <v>739</v>
      </c>
      <c r="Z23" t="s">
        <v>1992</v>
      </c>
      <c r="AA23" t="s">
        <v>740</v>
      </c>
      <c r="AB23">
        <v>9525136831</v>
      </c>
      <c r="AC23"/>
      <c r="AD23">
        <v>9525136880</v>
      </c>
      <c r="AE23" t="s">
        <v>741</v>
      </c>
      <c r="AF23" t="s">
        <v>734</v>
      </c>
      <c r="AG23" t="s">
        <v>742</v>
      </c>
      <c r="AH23" t="s">
        <v>736</v>
      </c>
      <c r="AI23" t="s">
        <v>737</v>
      </c>
      <c r="AJ23" t="s">
        <v>54</v>
      </c>
      <c r="AK23" t="s">
        <v>2396</v>
      </c>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t="s">
        <v>748</v>
      </c>
      <c r="CG23" t="s">
        <v>740</v>
      </c>
      <c r="CH23" t="s">
        <v>56</v>
      </c>
      <c r="CI23" t="s">
        <v>797</v>
      </c>
      <c r="CJ23" t="s">
        <v>141</v>
      </c>
      <c r="CK23" t="s">
        <v>796</v>
      </c>
      <c r="CL23" t="s">
        <v>142</v>
      </c>
      <c r="CM23"/>
      <c r="CN23">
        <v>395</v>
      </c>
      <c r="CO23">
        <v>142</v>
      </c>
      <c r="CP23"/>
      <c r="CQ23"/>
      <c r="CR23"/>
      <c r="CS23" t="s">
        <v>2397</v>
      </c>
      <c r="CT23">
        <v>12</v>
      </c>
      <c r="CU23"/>
      <c r="CV23"/>
      <c r="CW23"/>
      <c r="CX23"/>
      <c r="CY23"/>
      <c r="CZ23"/>
      <c r="DA23"/>
      <c r="DB23"/>
      <c r="DC23"/>
      <c r="DD23">
        <v>128</v>
      </c>
      <c r="DE23" t="s">
        <v>2484</v>
      </c>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s="569">
        <v>254</v>
      </c>
      <c r="ET23" t="s">
        <v>1808</v>
      </c>
      <c r="EU23" t="s">
        <v>1081</v>
      </c>
      <c r="EV23" t="s">
        <v>2266</v>
      </c>
      <c r="EW23" t="s">
        <v>54</v>
      </c>
      <c r="EX23" s="599">
        <v>56425</v>
      </c>
      <c r="EY23">
        <v>1487715033</v>
      </c>
    </row>
    <row r="24" spans="1:155" x14ac:dyDescent="0.2">
      <c r="A24" s="598">
        <v>1121</v>
      </c>
      <c r="B24" t="s">
        <v>798</v>
      </c>
      <c r="C24" t="s">
        <v>799</v>
      </c>
      <c r="D24" t="s">
        <v>800</v>
      </c>
      <c r="E24"/>
      <c r="F24"/>
      <c r="G24" t="s">
        <v>54</v>
      </c>
      <c r="H24" t="s">
        <v>2485</v>
      </c>
      <c r="I24"/>
      <c r="J24" t="s">
        <v>734</v>
      </c>
      <c r="K24" t="s">
        <v>735</v>
      </c>
      <c r="L24" t="s">
        <v>736</v>
      </c>
      <c r="M24" t="s">
        <v>737</v>
      </c>
      <c r="N24" t="s">
        <v>54</v>
      </c>
      <c r="O24" t="s">
        <v>2396</v>
      </c>
      <c r="P24"/>
      <c r="Q24">
        <v>9525411840</v>
      </c>
      <c r="R24">
        <v>9525136880</v>
      </c>
      <c r="S24" t="s">
        <v>1262</v>
      </c>
      <c r="T24" t="s">
        <v>816</v>
      </c>
      <c r="U24" t="s">
        <v>2141</v>
      </c>
      <c r="V24" t="s">
        <v>817</v>
      </c>
      <c r="W24" t="s">
        <v>2029</v>
      </c>
      <c r="X24" t="s">
        <v>738</v>
      </c>
      <c r="Y24" t="s">
        <v>739</v>
      </c>
      <c r="Z24" t="s">
        <v>1992</v>
      </c>
      <c r="AA24" t="s">
        <v>740</v>
      </c>
      <c r="AB24">
        <v>9525136831</v>
      </c>
      <c r="AC24"/>
      <c r="AD24">
        <v>9525136880</v>
      </c>
      <c r="AE24" t="s">
        <v>741</v>
      </c>
      <c r="AF24" t="s">
        <v>734</v>
      </c>
      <c r="AG24" t="s">
        <v>742</v>
      </c>
      <c r="AH24" t="s">
        <v>736</v>
      </c>
      <c r="AI24" t="s">
        <v>737</v>
      </c>
      <c r="AJ24" t="s">
        <v>54</v>
      </c>
      <c r="AK24" t="s">
        <v>2396</v>
      </c>
      <c r="AL24"/>
      <c r="AM24"/>
      <c r="AN24"/>
      <c r="AO24"/>
      <c r="AP24"/>
      <c r="AQ24"/>
      <c r="AR24"/>
      <c r="AS24"/>
      <c r="AT24"/>
      <c r="AU24"/>
      <c r="AV24"/>
      <c r="AW24"/>
      <c r="AX24"/>
      <c r="AY24"/>
      <c r="AZ24"/>
      <c r="BA24"/>
      <c r="BB24"/>
      <c r="BC24"/>
      <c r="BD24"/>
      <c r="BE24"/>
      <c r="BF24"/>
      <c r="BG24"/>
      <c r="BH24"/>
      <c r="BI24"/>
      <c r="BJ24"/>
      <c r="BK24"/>
      <c r="BL24"/>
      <c r="BM24"/>
      <c r="BN24"/>
      <c r="BO24"/>
      <c r="BP24"/>
      <c r="BQ24" t="s">
        <v>743</v>
      </c>
      <c r="BR24" t="s">
        <v>744</v>
      </c>
      <c r="BS24" t="s">
        <v>745</v>
      </c>
      <c r="BT24" t="s">
        <v>746</v>
      </c>
      <c r="BU24">
        <v>9527384716</v>
      </c>
      <c r="BV24"/>
      <c r="BW24">
        <v>9525415443</v>
      </c>
      <c r="BX24" t="s">
        <v>747</v>
      </c>
      <c r="BY24" t="s">
        <v>734</v>
      </c>
      <c r="BZ24" t="s">
        <v>742</v>
      </c>
      <c r="CA24" t="s">
        <v>736</v>
      </c>
      <c r="CB24" t="s">
        <v>737</v>
      </c>
      <c r="CC24" t="s">
        <v>54</v>
      </c>
      <c r="CD24" t="s">
        <v>2396</v>
      </c>
      <c r="CE24"/>
      <c r="CF24" t="s">
        <v>748</v>
      </c>
      <c r="CG24" t="s">
        <v>740</v>
      </c>
      <c r="CH24" t="s">
        <v>56</v>
      </c>
      <c r="CI24" t="s">
        <v>797</v>
      </c>
      <c r="CJ24" t="s">
        <v>141</v>
      </c>
      <c r="CK24" t="s">
        <v>801</v>
      </c>
      <c r="CL24" t="s">
        <v>142</v>
      </c>
      <c r="CM24"/>
      <c r="CN24">
        <v>395</v>
      </c>
      <c r="CO24">
        <v>142</v>
      </c>
      <c r="CP24"/>
      <c r="CQ24"/>
      <c r="CR24">
        <v>389</v>
      </c>
      <c r="CS24" t="s">
        <v>2397</v>
      </c>
      <c r="CT24">
        <v>12</v>
      </c>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s="569">
        <v>1168</v>
      </c>
      <c r="ET24" t="s">
        <v>1080</v>
      </c>
      <c r="EU24" t="s">
        <v>1081</v>
      </c>
      <c r="EV24" t="s">
        <v>2963</v>
      </c>
      <c r="EW24" t="s">
        <v>54</v>
      </c>
      <c r="EX24" s="600">
        <v>56425</v>
      </c>
      <c r="EY24">
        <v>1538143896</v>
      </c>
    </row>
    <row r="25" spans="1:155" x14ac:dyDescent="0.2">
      <c r="A25" s="598">
        <v>544</v>
      </c>
      <c r="B25" t="s">
        <v>802</v>
      </c>
      <c r="C25" t="s">
        <v>764</v>
      </c>
      <c r="D25" t="s">
        <v>803</v>
      </c>
      <c r="E25"/>
      <c r="F25" t="s">
        <v>737</v>
      </c>
      <c r="G25" t="s">
        <v>54</v>
      </c>
      <c r="H25" t="s">
        <v>2486</v>
      </c>
      <c r="I25"/>
      <c r="J25" t="s">
        <v>803</v>
      </c>
      <c r="K25"/>
      <c r="L25" t="s">
        <v>764</v>
      </c>
      <c r="M25" t="s">
        <v>737</v>
      </c>
      <c r="N25" t="s">
        <v>54</v>
      </c>
      <c r="O25" t="s">
        <v>2486</v>
      </c>
      <c r="P25"/>
      <c r="Q25">
        <v>6126266900</v>
      </c>
      <c r="R25">
        <v>6126251733</v>
      </c>
      <c r="S25" t="s">
        <v>806</v>
      </c>
      <c r="T25" t="s">
        <v>807</v>
      </c>
      <c r="U25" t="s">
        <v>1462</v>
      </c>
      <c r="V25" t="s">
        <v>2123</v>
      </c>
      <c r="W25"/>
      <c r="X25" t="s">
        <v>806</v>
      </c>
      <c r="Y25" t="s">
        <v>807</v>
      </c>
      <c r="Z25" t="s">
        <v>760</v>
      </c>
      <c r="AA25" t="s">
        <v>802</v>
      </c>
      <c r="AB25">
        <v>6126765189</v>
      </c>
      <c r="AC25"/>
      <c r="AD25">
        <v>6126251733</v>
      </c>
      <c r="AE25" t="s">
        <v>2123</v>
      </c>
      <c r="AF25" t="s">
        <v>803</v>
      </c>
      <c r="AG25"/>
      <c r="AH25" t="s">
        <v>764</v>
      </c>
      <c r="AI25" t="s">
        <v>737</v>
      </c>
      <c r="AJ25" t="s">
        <v>54</v>
      </c>
      <c r="AK25" t="s">
        <v>2486</v>
      </c>
      <c r="AL25"/>
      <c r="AM25" t="s">
        <v>2487</v>
      </c>
      <c r="AN25" t="s">
        <v>2488</v>
      </c>
      <c r="AO25" t="s">
        <v>2436</v>
      </c>
      <c r="AP25" t="s">
        <v>802</v>
      </c>
      <c r="AQ25">
        <v>6126250634</v>
      </c>
      <c r="AR25"/>
      <c r="AS25">
        <v>6126251733</v>
      </c>
      <c r="AT25" t="s">
        <v>2489</v>
      </c>
      <c r="AU25" t="s">
        <v>803</v>
      </c>
      <c r="AV25"/>
      <c r="AW25" t="s">
        <v>764</v>
      </c>
      <c r="AX25" t="s">
        <v>737</v>
      </c>
      <c r="AY25" t="s">
        <v>54</v>
      </c>
      <c r="AZ25" t="s">
        <v>2486</v>
      </c>
      <c r="BA25"/>
      <c r="BB25"/>
      <c r="BC25"/>
      <c r="BD25"/>
      <c r="BE25"/>
      <c r="BF25"/>
      <c r="BG25"/>
      <c r="BH25"/>
      <c r="BI25"/>
      <c r="BJ25"/>
      <c r="BK25"/>
      <c r="BL25"/>
      <c r="BM25"/>
      <c r="BN25"/>
      <c r="BO25"/>
      <c r="BP25"/>
      <c r="BQ25" t="s">
        <v>806</v>
      </c>
      <c r="BR25" t="s">
        <v>807</v>
      </c>
      <c r="BS25" t="s">
        <v>760</v>
      </c>
      <c r="BT25" t="s">
        <v>802</v>
      </c>
      <c r="BU25">
        <v>6126765189</v>
      </c>
      <c r="BV25"/>
      <c r="BW25">
        <v>6126251733</v>
      </c>
      <c r="BX25" t="s">
        <v>2123</v>
      </c>
      <c r="BY25" t="s">
        <v>803</v>
      </c>
      <c r="BZ25"/>
      <c r="CA25" t="s">
        <v>764</v>
      </c>
      <c r="CB25" t="s">
        <v>737</v>
      </c>
      <c r="CC25" t="s">
        <v>54</v>
      </c>
      <c r="CD25" t="s">
        <v>2486</v>
      </c>
      <c r="CE25"/>
      <c r="CF25" t="s">
        <v>808</v>
      </c>
      <c r="CG25" t="s">
        <v>809</v>
      </c>
      <c r="CH25" t="s">
        <v>143</v>
      </c>
      <c r="CI25" t="s">
        <v>2490</v>
      </c>
      <c r="CJ25" t="s">
        <v>56</v>
      </c>
      <c r="CK25"/>
      <c r="CL25"/>
      <c r="CM25">
        <v>1477598118</v>
      </c>
      <c r="CN25">
        <v>703</v>
      </c>
      <c r="CO25">
        <v>1942</v>
      </c>
      <c r="CP25">
        <v>73</v>
      </c>
      <c r="CQ25"/>
      <c r="CR25">
        <v>1942</v>
      </c>
      <c r="CS25" t="s">
        <v>2386</v>
      </c>
      <c r="CT25">
        <v>12</v>
      </c>
      <c r="CU25"/>
      <c r="CV25"/>
      <c r="CW25"/>
      <c r="CX25"/>
      <c r="CY25"/>
      <c r="CZ25"/>
      <c r="DA25"/>
      <c r="DB25"/>
      <c r="DC25"/>
      <c r="DD25">
        <v>128</v>
      </c>
      <c r="DE25" t="s">
        <v>2491</v>
      </c>
      <c r="DF25">
        <v>131</v>
      </c>
      <c r="DG25" t="s">
        <v>2492</v>
      </c>
      <c r="DH25">
        <v>129</v>
      </c>
      <c r="DI25" t="s">
        <v>2493</v>
      </c>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s="569">
        <v>1066</v>
      </c>
      <c r="ET25" t="s">
        <v>1242</v>
      </c>
      <c r="EU25" t="s">
        <v>1081</v>
      </c>
      <c r="EV25" t="s">
        <v>2964</v>
      </c>
      <c r="EW25" t="s">
        <v>54</v>
      </c>
      <c r="EX25" s="600">
        <v>56425</v>
      </c>
      <c r="EY25">
        <v>1265583652</v>
      </c>
    </row>
    <row r="26" spans="1:155" s="559" customFormat="1" x14ac:dyDescent="0.2">
      <c r="A26" s="598">
        <v>1057</v>
      </c>
      <c r="B26" t="s">
        <v>811</v>
      </c>
      <c r="C26" t="s">
        <v>812</v>
      </c>
      <c r="D26" t="s">
        <v>813</v>
      </c>
      <c r="E26"/>
      <c r="F26" t="s">
        <v>814</v>
      </c>
      <c r="G26" t="s">
        <v>54</v>
      </c>
      <c r="H26" t="s">
        <v>2494</v>
      </c>
      <c r="I26" t="s">
        <v>2495</v>
      </c>
      <c r="J26" t="s">
        <v>734</v>
      </c>
      <c r="K26" t="s">
        <v>735</v>
      </c>
      <c r="L26" t="s">
        <v>736</v>
      </c>
      <c r="M26" t="s">
        <v>737</v>
      </c>
      <c r="N26" t="s">
        <v>54</v>
      </c>
      <c r="O26" t="s">
        <v>2396</v>
      </c>
      <c r="P26"/>
      <c r="Q26">
        <v>7632784429</v>
      </c>
      <c r="R26">
        <v>7637864577</v>
      </c>
      <c r="S26" t="s">
        <v>815</v>
      </c>
      <c r="T26" t="s">
        <v>816</v>
      </c>
      <c r="U26" t="s">
        <v>2135</v>
      </c>
      <c r="V26" t="s">
        <v>817</v>
      </c>
      <c r="W26" t="s">
        <v>1991</v>
      </c>
      <c r="X26" t="s">
        <v>738</v>
      </c>
      <c r="Y26" t="s">
        <v>739</v>
      </c>
      <c r="Z26" t="s">
        <v>1992</v>
      </c>
      <c r="AA26" t="s">
        <v>740</v>
      </c>
      <c r="AB26">
        <v>9525136831</v>
      </c>
      <c r="AC26"/>
      <c r="AD26">
        <v>9525136880</v>
      </c>
      <c r="AE26" t="s">
        <v>741</v>
      </c>
      <c r="AF26" t="s">
        <v>734</v>
      </c>
      <c r="AG26" t="s">
        <v>742</v>
      </c>
      <c r="AH26" t="s">
        <v>736</v>
      </c>
      <c r="AI26" t="s">
        <v>737</v>
      </c>
      <c r="AJ26" t="s">
        <v>54</v>
      </c>
      <c r="AK26" t="s">
        <v>2396</v>
      </c>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t="s">
        <v>748</v>
      </c>
      <c r="CG26" t="s">
        <v>740</v>
      </c>
      <c r="CH26" t="s">
        <v>142</v>
      </c>
      <c r="CI26"/>
      <c r="CJ26"/>
      <c r="CK26"/>
      <c r="CL26"/>
      <c r="CM26">
        <v>1659348092</v>
      </c>
      <c r="CN26">
        <v>395</v>
      </c>
      <c r="CO26">
        <v>142</v>
      </c>
      <c r="CP26"/>
      <c r="CQ26"/>
      <c r="CR26"/>
      <c r="CS26" t="s">
        <v>2397</v>
      </c>
      <c r="CT26">
        <v>12</v>
      </c>
      <c r="CU26"/>
      <c r="CV26"/>
      <c r="CW26"/>
      <c r="CX26"/>
      <c r="CY26"/>
      <c r="CZ26"/>
      <c r="DA26"/>
      <c r="DB26"/>
      <c r="DC26"/>
      <c r="DD26">
        <v>128</v>
      </c>
      <c r="DE26" t="s">
        <v>2496</v>
      </c>
      <c r="DF26"/>
      <c r="DG26"/>
      <c r="DH26">
        <v>129</v>
      </c>
      <c r="DI26" t="s">
        <v>2497</v>
      </c>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s="569">
        <v>256</v>
      </c>
      <c r="ET26" t="s">
        <v>1809</v>
      </c>
      <c r="EU26" t="s">
        <v>1599</v>
      </c>
      <c r="EV26" t="s">
        <v>2267</v>
      </c>
      <c r="EW26" t="s">
        <v>54</v>
      </c>
      <c r="EX26" s="599">
        <v>56601</v>
      </c>
      <c r="EY26">
        <v>1043331358</v>
      </c>
    </row>
    <row r="27" spans="1:155" x14ac:dyDescent="0.2">
      <c r="A27" s="598">
        <v>511</v>
      </c>
      <c r="B27" t="s">
        <v>818</v>
      </c>
      <c r="C27" t="s">
        <v>819</v>
      </c>
      <c r="D27" t="s">
        <v>820</v>
      </c>
      <c r="E27" t="s">
        <v>821</v>
      </c>
      <c r="F27" t="s">
        <v>784</v>
      </c>
      <c r="G27" t="s">
        <v>54</v>
      </c>
      <c r="H27" t="s">
        <v>2498</v>
      </c>
      <c r="I27"/>
      <c r="J27" t="s">
        <v>734</v>
      </c>
      <c r="K27" t="s">
        <v>735</v>
      </c>
      <c r="L27" t="s">
        <v>736</v>
      </c>
      <c r="M27" t="s">
        <v>737</v>
      </c>
      <c r="N27" t="s">
        <v>54</v>
      </c>
      <c r="O27" t="s">
        <v>2396</v>
      </c>
      <c r="P27"/>
      <c r="Q27">
        <v>9528986627</v>
      </c>
      <c r="R27">
        <v>9528986624</v>
      </c>
      <c r="S27" t="s">
        <v>815</v>
      </c>
      <c r="T27" t="s">
        <v>816</v>
      </c>
      <c r="U27" t="s">
        <v>2135</v>
      </c>
      <c r="V27" t="s">
        <v>817</v>
      </c>
      <c r="W27" t="s">
        <v>1991</v>
      </c>
      <c r="X27" t="s">
        <v>738</v>
      </c>
      <c r="Y27" t="s">
        <v>739</v>
      </c>
      <c r="Z27" t="s">
        <v>1992</v>
      </c>
      <c r="AA27" t="s">
        <v>740</v>
      </c>
      <c r="AB27">
        <v>9525136831</v>
      </c>
      <c r="AC27"/>
      <c r="AD27">
        <v>9525136880</v>
      </c>
      <c r="AE27" t="s">
        <v>741</v>
      </c>
      <c r="AF27" t="s">
        <v>734</v>
      </c>
      <c r="AG27" t="s">
        <v>742</v>
      </c>
      <c r="AH27" t="s">
        <v>736</v>
      </c>
      <c r="AI27" t="s">
        <v>737</v>
      </c>
      <c r="AJ27" t="s">
        <v>54</v>
      </c>
      <c r="AK27" t="s">
        <v>2396</v>
      </c>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t="s">
        <v>748</v>
      </c>
      <c r="CG27" t="s">
        <v>740</v>
      </c>
      <c r="CH27" t="s">
        <v>142</v>
      </c>
      <c r="CI27"/>
      <c r="CJ27"/>
      <c r="CK27"/>
      <c r="CL27"/>
      <c r="CM27">
        <v>1659348092</v>
      </c>
      <c r="CN27">
        <v>395</v>
      </c>
      <c r="CO27">
        <v>142</v>
      </c>
      <c r="CP27"/>
      <c r="CQ27"/>
      <c r="CR27"/>
      <c r="CS27" t="s">
        <v>2397</v>
      </c>
      <c r="CT27">
        <v>12</v>
      </c>
      <c r="CU27"/>
      <c r="CV27"/>
      <c r="CW27"/>
      <c r="CX27"/>
      <c r="CY27"/>
      <c r="CZ27"/>
      <c r="DA27"/>
      <c r="DB27"/>
      <c r="DC27"/>
      <c r="DD27">
        <v>128</v>
      </c>
      <c r="DE27" t="s">
        <v>2497</v>
      </c>
      <c r="DF27"/>
      <c r="DG27"/>
      <c r="DH27">
        <v>129</v>
      </c>
      <c r="DI27" t="s">
        <v>2499</v>
      </c>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s="569">
        <v>102</v>
      </c>
      <c r="ET27" t="s">
        <v>1810</v>
      </c>
      <c r="EU27" t="s">
        <v>1599</v>
      </c>
      <c r="EV27" t="s">
        <v>2268</v>
      </c>
      <c r="EW27" t="s">
        <v>54</v>
      </c>
      <c r="EX27" s="599">
        <v>56601</v>
      </c>
      <c r="EY27">
        <v>1801870191</v>
      </c>
    </row>
    <row r="28" spans="1:155" x14ac:dyDescent="0.2">
      <c r="A28" s="598">
        <v>517</v>
      </c>
      <c r="B28" t="s">
        <v>822</v>
      </c>
      <c r="C28" t="s">
        <v>823</v>
      </c>
      <c r="D28" t="s">
        <v>824</v>
      </c>
      <c r="E28" t="s">
        <v>759</v>
      </c>
      <c r="F28" t="s">
        <v>814</v>
      </c>
      <c r="G28" t="s">
        <v>54</v>
      </c>
      <c r="H28" t="s">
        <v>2500</v>
      </c>
      <c r="I28"/>
      <c r="J28" t="s">
        <v>734</v>
      </c>
      <c r="K28" t="s">
        <v>735</v>
      </c>
      <c r="L28" t="s">
        <v>736</v>
      </c>
      <c r="M28" t="s">
        <v>737</v>
      </c>
      <c r="N28" t="s">
        <v>54</v>
      </c>
      <c r="O28" t="s">
        <v>2396</v>
      </c>
      <c r="P28"/>
      <c r="Q28">
        <v>7634332000</v>
      </c>
      <c r="R28">
        <v>7634332001</v>
      </c>
      <c r="S28" t="s">
        <v>815</v>
      </c>
      <c r="T28" t="s">
        <v>816</v>
      </c>
      <c r="U28" t="s">
        <v>2135</v>
      </c>
      <c r="V28" t="s">
        <v>817</v>
      </c>
      <c r="W28" t="s">
        <v>1991</v>
      </c>
      <c r="X28" t="s">
        <v>738</v>
      </c>
      <c r="Y28" t="s">
        <v>739</v>
      </c>
      <c r="Z28" t="s">
        <v>1992</v>
      </c>
      <c r="AA28" t="s">
        <v>740</v>
      </c>
      <c r="AB28">
        <v>9525136831</v>
      </c>
      <c r="AC28"/>
      <c r="AD28">
        <v>9525136880</v>
      </c>
      <c r="AE28" t="s">
        <v>741</v>
      </c>
      <c r="AF28" t="s">
        <v>734</v>
      </c>
      <c r="AG28" t="s">
        <v>742</v>
      </c>
      <c r="AH28" t="s">
        <v>736</v>
      </c>
      <c r="AI28" t="s">
        <v>737</v>
      </c>
      <c r="AJ28" t="s">
        <v>54</v>
      </c>
      <c r="AK28" t="s">
        <v>2396</v>
      </c>
      <c r="AL28"/>
      <c r="AM28"/>
      <c r="AN28"/>
      <c r="AO28"/>
      <c r="AP28"/>
      <c r="AQ28"/>
      <c r="AR28"/>
      <c r="AS28"/>
      <c r="AT28"/>
      <c r="AU28"/>
      <c r="AV28"/>
      <c r="AW28"/>
      <c r="AX28"/>
      <c r="AY28"/>
      <c r="AZ28"/>
      <c r="BA28"/>
      <c r="BB28"/>
      <c r="BC28"/>
      <c r="BD28"/>
      <c r="BE28"/>
      <c r="BF28"/>
      <c r="BG28"/>
      <c r="BH28"/>
      <c r="BI28"/>
      <c r="BJ28"/>
      <c r="BK28"/>
      <c r="BL28"/>
      <c r="BM28"/>
      <c r="BN28"/>
      <c r="BO28"/>
      <c r="BP28"/>
      <c r="BQ28" t="s">
        <v>743</v>
      </c>
      <c r="BR28" t="s">
        <v>744</v>
      </c>
      <c r="BS28" t="s">
        <v>745</v>
      </c>
      <c r="BT28" t="s">
        <v>746</v>
      </c>
      <c r="BU28">
        <v>9527384716</v>
      </c>
      <c r="BV28"/>
      <c r="BW28">
        <v>9525415443</v>
      </c>
      <c r="BX28" t="s">
        <v>747</v>
      </c>
      <c r="BY28" t="s">
        <v>734</v>
      </c>
      <c r="BZ28" t="s">
        <v>742</v>
      </c>
      <c r="CA28" t="s">
        <v>736</v>
      </c>
      <c r="CB28" t="s">
        <v>737</v>
      </c>
      <c r="CC28" t="s">
        <v>54</v>
      </c>
      <c r="CD28" t="s">
        <v>2396</v>
      </c>
      <c r="CE28"/>
      <c r="CF28" t="s">
        <v>748</v>
      </c>
      <c r="CG28" t="s">
        <v>740</v>
      </c>
      <c r="CH28" t="s">
        <v>142</v>
      </c>
      <c r="CI28"/>
      <c r="CJ28"/>
      <c r="CK28"/>
      <c r="CL28"/>
      <c r="CM28">
        <v>1659348092</v>
      </c>
      <c r="CN28">
        <v>395</v>
      </c>
      <c r="CO28">
        <v>142</v>
      </c>
      <c r="CP28"/>
      <c r="CQ28"/>
      <c r="CR28">
        <v>389</v>
      </c>
      <c r="CS28" t="s">
        <v>2397</v>
      </c>
      <c r="CT28">
        <v>12</v>
      </c>
      <c r="CU28"/>
      <c r="CV28"/>
      <c r="CW28"/>
      <c r="CX28"/>
      <c r="CY28"/>
      <c r="CZ28"/>
      <c r="DA28"/>
      <c r="DB28"/>
      <c r="DC28"/>
      <c r="DD28">
        <v>128</v>
      </c>
      <c r="DE28" t="s">
        <v>2501</v>
      </c>
      <c r="DF28"/>
      <c r="DG28"/>
      <c r="DH28">
        <v>129</v>
      </c>
      <c r="DI28" t="s">
        <v>2502</v>
      </c>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s="569">
        <v>1346</v>
      </c>
      <c r="ET28" t="s">
        <v>2178</v>
      </c>
      <c r="EU28" t="s">
        <v>1599</v>
      </c>
      <c r="EV28" t="s">
        <v>2965</v>
      </c>
      <c r="EW28" t="s">
        <v>54</v>
      </c>
      <c r="EX28" s="600">
        <v>56601</v>
      </c>
      <c r="EY28">
        <v>1679528194</v>
      </c>
    </row>
    <row r="29" spans="1:155" s="561" customFormat="1" x14ac:dyDescent="0.2">
      <c r="A29" s="598">
        <v>1374</v>
      </c>
      <c r="B29" t="s">
        <v>2138</v>
      </c>
      <c r="C29" t="s">
        <v>1123</v>
      </c>
      <c r="D29" t="s">
        <v>2139</v>
      </c>
      <c r="E29" t="s">
        <v>2140</v>
      </c>
      <c r="F29"/>
      <c r="G29" t="s">
        <v>54</v>
      </c>
      <c r="H29" t="s">
        <v>2503</v>
      </c>
      <c r="I29" t="s">
        <v>2368</v>
      </c>
      <c r="J29" t="s">
        <v>734</v>
      </c>
      <c r="K29" t="s">
        <v>735</v>
      </c>
      <c r="L29" t="s">
        <v>736</v>
      </c>
      <c r="M29" t="s">
        <v>737</v>
      </c>
      <c r="N29" t="s">
        <v>54</v>
      </c>
      <c r="O29" t="s">
        <v>2396</v>
      </c>
      <c r="P29"/>
      <c r="Q29">
        <v>6513064567</v>
      </c>
      <c r="R29">
        <v>6514546028</v>
      </c>
      <c r="S29" t="s">
        <v>815</v>
      </c>
      <c r="T29" t="s">
        <v>816</v>
      </c>
      <c r="U29" t="s">
        <v>2135</v>
      </c>
      <c r="V29" t="s">
        <v>817</v>
      </c>
      <c r="W29" t="s">
        <v>2504</v>
      </c>
      <c r="X29" t="s">
        <v>738</v>
      </c>
      <c r="Y29" t="s">
        <v>739</v>
      </c>
      <c r="Z29" t="s">
        <v>1992</v>
      </c>
      <c r="AA29" t="s">
        <v>740</v>
      </c>
      <c r="AB29">
        <v>9525136831</v>
      </c>
      <c r="AC29"/>
      <c r="AD29">
        <v>9525136880</v>
      </c>
      <c r="AE29" t="s">
        <v>741</v>
      </c>
      <c r="AF29" t="s">
        <v>734</v>
      </c>
      <c r="AG29" t="s">
        <v>742</v>
      </c>
      <c r="AH29" t="s">
        <v>736</v>
      </c>
      <c r="AI29" t="s">
        <v>737</v>
      </c>
      <c r="AJ29" t="s">
        <v>54</v>
      </c>
      <c r="AK29" t="s">
        <v>2396</v>
      </c>
      <c r="AL29"/>
      <c r="AM29"/>
      <c r="AN29"/>
      <c r="AO29"/>
      <c r="AP29"/>
      <c r="AQ29"/>
      <c r="AR29"/>
      <c r="AS29"/>
      <c r="AT29"/>
      <c r="AU29"/>
      <c r="AV29"/>
      <c r="AW29"/>
      <c r="AX29"/>
      <c r="AY29"/>
      <c r="AZ29"/>
      <c r="BA29"/>
      <c r="BB29"/>
      <c r="BC29"/>
      <c r="BD29"/>
      <c r="BE29"/>
      <c r="BF29"/>
      <c r="BG29"/>
      <c r="BH29"/>
      <c r="BI29"/>
      <c r="BJ29"/>
      <c r="BK29"/>
      <c r="BL29"/>
      <c r="BM29"/>
      <c r="BN29"/>
      <c r="BO29"/>
      <c r="BP29"/>
      <c r="BQ29" t="s">
        <v>2505</v>
      </c>
      <c r="BR29" t="s">
        <v>2506</v>
      </c>
      <c r="BS29" t="s">
        <v>745</v>
      </c>
      <c r="BT29" t="s">
        <v>740</v>
      </c>
      <c r="BU29">
        <v>9527384509</v>
      </c>
      <c r="BV29"/>
      <c r="BW29"/>
      <c r="BX29" t="s">
        <v>2507</v>
      </c>
      <c r="BY29" t="s">
        <v>734</v>
      </c>
      <c r="BZ29" t="s">
        <v>742</v>
      </c>
      <c r="CA29" t="s">
        <v>736</v>
      </c>
      <c r="CB29" t="s">
        <v>737</v>
      </c>
      <c r="CC29" t="s">
        <v>54</v>
      </c>
      <c r="CD29" t="s">
        <v>2396</v>
      </c>
      <c r="CE29"/>
      <c r="CF29" t="s">
        <v>748</v>
      </c>
      <c r="CG29" t="s">
        <v>740</v>
      </c>
      <c r="CH29" t="s">
        <v>142</v>
      </c>
      <c r="CI29"/>
      <c r="CJ29"/>
      <c r="CK29"/>
      <c r="CL29"/>
      <c r="CM29">
        <v>1659348092</v>
      </c>
      <c r="CN29">
        <v>395</v>
      </c>
      <c r="CO29">
        <v>142</v>
      </c>
      <c r="CP29"/>
      <c r="CQ29"/>
      <c r="CR29">
        <v>381</v>
      </c>
      <c r="CS29" t="s">
        <v>2397</v>
      </c>
      <c r="CT29">
        <v>6</v>
      </c>
      <c r="CU29"/>
      <c r="CV29"/>
      <c r="CW29"/>
      <c r="CX29" t="s">
        <v>2368</v>
      </c>
      <c r="CY29"/>
      <c r="CZ29" t="s">
        <v>2368</v>
      </c>
      <c r="DA29" t="s">
        <v>2368</v>
      </c>
      <c r="DB29" t="s">
        <v>2368</v>
      </c>
      <c r="DC29" t="s">
        <v>2368</v>
      </c>
      <c r="DD29">
        <v>128</v>
      </c>
      <c r="DE29" t="s">
        <v>2508</v>
      </c>
      <c r="DF29"/>
      <c r="DG29"/>
      <c r="DH29">
        <v>129</v>
      </c>
      <c r="DI29" t="s">
        <v>2509</v>
      </c>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s="569">
        <v>762</v>
      </c>
      <c r="ET29" t="s">
        <v>1619</v>
      </c>
      <c r="EU29" t="s">
        <v>1599</v>
      </c>
      <c r="EV29" t="s">
        <v>2965</v>
      </c>
      <c r="EW29" t="s">
        <v>54</v>
      </c>
      <c r="EX29" s="600">
        <v>56601</v>
      </c>
      <c r="EY29">
        <v>1679528194</v>
      </c>
    </row>
    <row r="30" spans="1:155" s="561" customFormat="1" x14ac:dyDescent="0.2">
      <c r="A30" s="598">
        <v>742</v>
      </c>
      <c r="B30" t="s">
        <v>825</v>
      </c>
      <c r="C30" t="s">
        <v>826</v>
      </c>
      <c r="D30" t="s">
        <v>827</v>
      </c>
      <c r="E30" t="s">
        <v>828</v>
      </c>
      <c r="F30" t="s">
        <v>737</v>
      </c>
      <c r="G30" t="s">
        <v>54</v>
      </c>
      <c r="H30" t="s">
        <v>2510</v>
      </c>
      <c r="I30"/>
      <c r="J30" t="s">
        <v>734</v>
      </c>
      <c r="K30" t="s">
        <v>735</v>
      </c>
      <c r="L30" t="s">
        <v>736</v>
      </c>
      <c r="M30" t="s">
        <v>737</v>
      </c>
      <c r="N30" t="s">
        <v>54</v>
      </c>
      <c r="O30" t="s">
        <v>2396</v>
      </c>
      <c r="P30"/>
      <c r="Q30">
        <v>9523453805</v>
      </c>
      <c r="R30">
        <v>9522948217</v>
      </c>
      <c r="S30" t="s">
        <v>815</v>
      </c>
      <c r="T30" t="s">
        <v>816</v>
      </c>
      <c r="U30" t="s">
        <v>2135</v>
      </c>
      <c r="V30" t="s">
        <v>817</v>
      </c>
      <c r="W30" t="s">
        <v>1991</v>
      </c>
      <c r="X30" t="s">
        <v>738</v>
      </c>
      <c r="Y30" t="s">
        <v>739</v>
      </c>
      <c r="Z30" t="s">
        <v>1992</v>
      </c>
      <c r="AA30" t="s">
        <v>740</v>
      </c>
      <c r="AB30">
        <v>9525136831</v>
      </c>
      <c r="AC30"/>
      <c r="AD30">
        <v>9525136880</v>
      </c>
      <c r="AE30" t="s">
        <v>741</v>
      </c>
      <c r="AF30" t="s">
        <v>734</v>
      </c>
      <c r="AG30" t="s">
        <v>742</v>
      </c>
      <c r="AH30" t="s">
        <v>736</v>
      </c>
      <c r="AI30" t="s">
        <v>737</v>
      </c>
      <c r="AJ30" t="s">
        <v>54</v>
      </c>
      <c r="AK30" t="s">
        <v>2396</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t="s">
        <v>748</v>
      </c>
      <c r="CG30" t="s">
        <v>740</v>
      </c>
      <c r="CH30" t="s">
        <v>142</v>
      </c>
      <c r="CI30" t="s">
        <v>2490</v>
      </c>
      <c r="CJ30" t="s">
        <v>141</v>
      </c>
      <c r="CK30"/>
      <c r="CL30"/>
      <c r="CM30">
        <v>1699706176</v>
      </c>
      <c r="CN30">
        <v>395</v>
      </c>
      <c r="CO30">
        <v>142</v>
      </c>
      <c r="CP30"/>
      <c r="CQ30"/>
      <c r="CR30"/>
      <c r="CS30" t="s">
        <v>2397</v>
      </c>
      <c r="CT30">
        <v>12</v>
      </c>
      <c r="CU30"/>
      <c r="CV30"/>
      <c r="CW30"/>
      <c r="CX30"/>
      <c r="CY30"/>
      <c r="CZ30"/>
      <c r="DA30"/>
      <c r="DB30"/>
      <c r="DC30"/>
      <c r="DD30">
        <v>128</v>
      </c>
      <c r="DE30" t="s">
        <v>2511</v>
      </c>
      <c r="DF30"/>
      <c r="DG30"/>
      <c r="DH30">
        <v>129</v>
      </c>
      <c r="DI30" t="s">
        <v>2512</v>
      </c>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s="569">
        <v>831</v>
      </c>
      <c r="ET30" t="s">
        <v>1037</v>
      </c>
      <c r="EU30" t="s">
        <v>1038</v>
      </c>
      <c r="EV30" t="s">
        <v>2966</v>
      </c>
      <c r="EW30" t="s">
        <v>54</v>
      </c>
      <c r="EX30" s="600">
        <v>56215</v>
      </c>
      <c r="EY30"/>
    </row>
    <row r="31" spans="1:155" s="561" customFormat="1" x14ac:dyDescent="0.2">
      <c r="A31" s="598">
        <v>1215</v>
      </c>
      <c r="B31" t="s">
        <v>829</v>
      </c>
      <c r="C31" t="s">
        <v>830</v>
      </c>
      <c r="D31" t="s">
        <v>831</v>
      </c>
      <c r="E31" t="s">
        <v>759</v>
      </c>
      <c r="F31" t="s">
        <v>784</v>
      </c>
      <c r="G31" t="s">
        <v>54</v>
      </c>
      <c r="H31" t="s">
        <v>2513</v>
      </c>
      <c r="I31" t="s">
        <v>2514</v>
      </c>
      <c r="J31" t="s">
        <v>734</v>
      </c>
      <c r="K31" t="s">
        <v>735</v>
      </c>
      <c r="L31" t="s">
        <v>736</v>
      </c>
      <c r="M31" t="s">
        <v>737</v>
      </c>
      <c r="N31" t="s">
        <v>54</v>
      </c>
      <c r="O31" t="s">
        <v>2396</v>
      </c>
      <c r="P31"/>
      <c r="Q31">
        <v>9523453878</v>
      </c>
      <c r="R31">
        <v>9524694546</v>
      </c>
      <c r="S31" t="s">
        <v>815</v>
      </c>
      <c r="T31" t="s">
        <v>816</v>
      </c>
      <c r="U31" t="s">
        <v>2135</v>
      </c>
      <c r="V31" t="s">
        <v>817</v>
      </c>
      <c r="W31" t="s">
        <v>1991</v>
      </c>
      <c r="X31" t="s">
        <v>738</v>
      </c>
      <c r="Y31" t="s">
        <v>739</v>
      </c>
      <c r="Z31" t="s">
        <v>1992</v>
      </c>
      <c r="AA31" t="s">
        <v>740</v>
      </c>
      <c r="AB31">
        <v>9525136831</v>
      </c>
      <c r="AC31"/>
      <c r="AD31">
        <v>9525136880</v>
      </c>
      <c r="AE31" t="s">
        <v>741</v>
      </c>
      <c r="AF31" t="s">
        <v>734</v>
      </c>
      <c r="AG31" t="s">
        <v>742</v>
      </c>
      <c r="AH31" t="s">
        <v>736</v>
      </c>
      <c r="AI31" t="s">
        <v>737</v>
      </c>
      <c r="AJ31" t="s">
        <v>54</v>
      </c>
      <c r="AK31" t="s">
        <v>2396</v>
      </c>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t="s">
        <v>748</v>
      </c>
      <c r="CG31" t="s">
        <v>740</v>
      </c>
      <c r="CH31" t="s">
        <v>142</v>
      </c>
      <c r="CI31"/>
      <c r="CJ31"/>
      <c r="CK31"/>
      <c r="CL31"/>
      <c r="CM31">
        <v>1659348092</v>
      </c>
      <c r="CN31">
        <v>395</v>
      </c>
      <c r="CO31">
        <v>142</v>
      </c>
      <c r="CP31"/>
      <c r="CQ31"/>
      <c r="CR31"/>
      <c r="CS31" t="s">
        <v>2397</v>
      </c>
      <c r="CT31">
        <v>12</v>
      </c>
      <c r="CU31"/>
      <c r="CV31"/>
      <c r="CW31"/>
      <c r="CX31"/>
      <c r="CY31"/>
      <c r="CZ31"/>
      <c r="DA31"/>
      <c r="DB31"/>
      <c r="DC31"/>
      <c r="DD31">
        <v>128</v>
      </c>
      <c r="DE31" t="s">
        <v>2515</v>
      </c>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s="569">
        <v>153</v>
      </c>
      <c r="ET31" t="s">
        <v>1811</v>
      </c>
      <c r="EU31" t="s">
        <v>1038</v>
      </c>
      <c r="EV31" t="s">
        <v>1039</v>
      </c>
      <c r="EW31" t="s">
        <v>54</v>
      </c>
      <c r="EX31" s="599">
        <v>56215</v>
      </c>
      <c r="EY31">
        <v>1174529002</v>
      </c>
    </row>
    <row r="32" spans="1:155" s="561" customFormat="1" x14ac:dyDescent="0.2">
      <c r="A32" s="598">
        <v>629</v>
      </c>
      <c r="B32" t="s">
        <v>832</v>
      </c>
      <c r="C32" t="s">
        <v>833</v>
      </c>
      <c r="D32" t="s">
        <v>834</v>
      </c>
      <c r="E32" t="s">
        <v>759</v>
      </c>
      <c r="F32" t="s">
        <v>737</v>
      </c>
      <c r="G32" t="s">
        <v>54</v>
      </c>
      <c r="H32" t="s">
        <v>2516</v>
      </c>
      <c r="I32"/>
      <c r="J32" t="s">
        <v>734</v>
      </c>
      <c r="K32" t="s">
        <v>735</v>
      </c>
      <c r="L32" t="s">
        <v>736</v>
      </c>
      <c r="M32" t="s">
        <v>737</v>
      </c>
      <c r="N32" t="s">
        <v>54</v>
      </c>
      <c r="O32" t="s">
        <v>2396</v>
      </c>
      <c r="P32"/>
      <c r="Q32">
        <v>7634169916</v>
      </c>
      <c r="R32">
        <v>7634169926</v>
      </c>
      <c r="S32" t="s">
        <v>815</v>
      </c>
      <c r="T32" t="s">
        <v>816</v>
      </c>
      <c r="U32" t="s">
        <v>2135</v>
      </c>
      <c r="V32" t="s">
        <v>817</v>
      </c>
      <c r="W32" t="s">
        <v>1991</v>
      </c>
      <c r="X32" t="s">
        <v>738</v>
      </c>
      <c r="Y32" t="s">
        <v>739</v>
      </c>
      <c r="Z32" t="s">
        <v>1992</v>
      </c>
      <c r="AA32" t="s">
        <v>740</v>
      </c>
      <c r="AB32">
        <v>9525136831</v>
      </c>
      <c r="AC32"/>
      <c r="AD32">
        <v>9525136880</v>
      </c>
      <c r="AE32" t="s">
        <v>741</v>
      </c>
      <c r="AF32" t="s">
        <v>734</v>
      </c>
      <c r="AG32" t="s">
        <v>742</v>
      </c>
      <c r="AH32" t="s">
        <v>736</v>
      </c>
      <c r="AI32" t="s">
        <v>737</v>
      </c>
      <c r="AJ32" t="s">
        <v>54</v>
      </c>
      <c r="AK32" t="s">
        <v>2396</v>
      </c>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t="s">
        <v>748</v>
      </c>
      <c r="CG32" t="s">
        <v>740</v>
      </c>
      <c r="CH32" t="s">
        <v>142</v>
      </c>
      <c r="CI32"/>
      <c r="CJ32"/>
      <c r="CK32"/>
      <c r="CL32"/>
      <c r="CM32">
        <v>1659348092</v>
      </c>
      <c r="CN32">
        <v>395</v>
      </c>
      <c r="CO32">
        <v>142</v>
      </c>
      <c r="CP32"/>
      <c r="CQ32"/>
      <c r="CR32"/>
      <c r="CS32" t="s">
        <v>2397</v>
      </c>
      <c r="CT32">
        <v>12</v>
      </c>
      <c r="CU32"/>
      <c r="CV32"/>
      <c r="CW32"/>
      <c r="CX32"/>
      <c r="CY32"/>
      <c r="CZ32"/>
      <c r="DA32"/>
      <c r="DB32"/>
      <c r="DC32"/>
      <c r="DD32">
        <v>128</v>
      </c>
      <c r="DE32" t="s">
        <v>2517</v>
      </c>
      <c r="DF32"/>
      <c r="DG32"/>
      <c r="DH32">
        <v>129</v>
      </c>
      <c r="DI32" t="s">
        <v>2518</v>
      </c>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s="569">
        <v>104</v>
      </c>
      <c r="ET32" t="s">
        <v>1812</v>
      </c>
      <c r="EU32" t="s">
        <v>881</v>
      </c>
      <c r="EV32" t="s">
        <v>882</v>
      </c>
      <c r="EW32" t="s">
        <v>54</v>
      </c>
      <c r="EX32" s="599">
        <v>56628</v>
      </c>
      <c r="EY32">
        <v>1851335525</v>
      </c>
    </row>
    <row r="33" spans="1:155" s="561" customFormat="1" x14ac:dyDescent="0.2">
      <c r="A33" s="598">
        <v>552</v>
      </c>
      <c r="B33" t="s">
        <v>835</v>
      </c>
      <c r="C33" t="s">
        <v>790</v>
      </c>
      <c r="D33" t="s">
        <v>836</v>
      </c>
      <c r="E33"/>
      <c r="F33" t="s">
        <v>752</v>
      </c>
      <c r="G33" t="s">
        <v>54</v>
      </c>
      <c r="H33" t="s">
        <v>2468</v>
      </c>
      <c r="I33"/>
      <c r="J33" t="s">
        <v>734</v>
      </c>
      <c r="K33" t="s">
        <v>735</v>
      </c>
      <c r="L33" t="s">
        <v>736</v>
      </c>
      <c r="M33" t="s">
        <v>737</v>
      </c>
      <c r="N33" t="s">
        <v>54</v>
      </c>
      <c r="O33" t="s">
        <v>2396</v>
      </c>
      <c r="P33"/>
      <c r="Q33">
        <v>6517488226</v>
      </c>
      <c r="R33">
        <v>6517482864</v>
      </c>
      <c r="S33" t="s">
        <v>815</v>
      </c>
      <c r="T33" t="s">
        <v>816</v>
      </c>
      <c r="U33" t="s">
        <v>2135</v>
      </c>
      <c r="V33" t="s">
        <v>817</v>
      </c>
      <c r="W33" t="s">
        <v>1991</v>
      </c>
      <c r="X33" t="s">
        <v>738</v>
      </c>
      <c r="Y33" t="s">
        <v>739</v>
      </c>
      <c r="Z33" t="s">
        <v>1992</v>
      </c>
      <c r="AA33" t="s">
        <v>740</v>
      </c>
      <c r="AB33">
        <v>9525136831</v>
      </c>
      <c r="AC33"/>
      <c r="AD33">
        <v>9525136880</v>
      </c>
      <c r="AE33" t="s">
        <v>741</v>
      </c>
      <c r="AF33" t="s">
        <v>734</v>
      </c>
      <c r="AG33" t="s">
        <v>742</v>
      </c>
      <c r="AH33" t="s">
        <v>736</v>
      </c>
      <c r="AI33" t="s">
        <v>737</v>
      </c>
      <c r="AJ33" t="s">
        <v>54</v>
      </c>
      <c r="AK33" t="s">
        <v>2396</v>
      </c>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t="s">
        <v>748</v>
      </c>
      <c r="CG33" t="s">
        <v>740</v>
      </c>
      <c r="CH33" t="s">
        <v>142</v>
      </c>
      <c r="CI33"/>
      <c r="CJ33"/>
      <c r="CK33"/>
      <c r="CL33"/>
      <c r="CM33">
        <v>1659348092</v>
      </c>
      <c r="CN33">
        <v>395</v>
      </c>
      <c r="CO33">
        <v>142</v>
      </c>
      <c r="CP33"/>
      <c r="CQ33"/>
      <c r="CR33"/>
      <c r="CS33" t="s">
        <v>2397</v>
      </c>
      <c r="CT33">
        <v>12</v>
      </c>
      <c r="CU33"/>
      <c r="CV33"/>
      <c r="CW33"/>
      <c r="CX33"/>
      <c r="CY33"/>
      <c r="CZ33"/>
      <c r="DA33"/>
      <c r="DB33"/>
      <c r="DC33"/>
      <c r="DD33">
        <v>128</v>
      </c>
      <c r="DE33" t="s">
        <v>2519</v>
      </c>
      <c r="DF33"/>
      <c r="DG33"/>
      <c r="DH33">
        <v>129</v>
      </c>
      <c r="DI33" t="s">
        <v>2512</v>
      </c>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s="569">
        <v>832</v>
      </c>
      <c r="ET33" t="s">
        <v>880</v>
      </c>
      <c r="EU33" t="s">
        <v>881</v>
      </c>
      <c r="EV33" t="s">
        <v>2967</v>
      </c>
      <c r="EW33" t="s">
        <v>54</v>
      </c>
      <c r="EX33" s="600">
        <v>56628</v>
      </c>
      <c r="EY33"/>
    </row>
    <row r="34" spans="1:155" s="561" customFormat="1" x14ac:dyDescent="0.2">
      <c r="A34" s="598">
        <v>555</v>
      </c>
      <c r="B34" t="s">
        <v>837</v>
      </c>
      <c r="C34" t="s">
        <v>787</v>
      </c>
      <c r="D34" t="s">
        <v>838</v>
      </c>
      <c r="E34"/>
      <c r="F34" t="s">
        <v>784</v>
      </c>
      <c r="G34" t="s">
        <v>54</v>
      </c>
      <c r="H34" t="s">
        <v>2520</v>
      </c>
      <c r="I34"/>
      <c r="J34" t="s">
        <v>734</v>
      </c>
      <c r="K34" t="s">
        <v>735</v>
      </c>
      <c r="L34" t="s">
        <v>736</v>
      </c>
      <c r="M34" t="s">
        <v>737</v>
      </c>
      <c r="N34" t="s">
        <v>54</v>
      </c>
      <c r="O34" t="s">
        <v>2396</v>
      </c>
      <c r="P34"/>
      <c r="Q34">
        <v>6514555500</v>
      </c>
      <c r="R34">
        <v>6514556106</v>
      </c>
      <c r="S34" t="s">
        <v>815</v>
      </c>
      <c r="T34" t="s">
        <v>816</v>
      </c>
      <c r="U34" t="s">
        <v>2135</v>
      </c>
      <c r="V34" t="s">
        <v>817</v>
      </c>
      <c r="W34" t="s">
        <v>1991</v>
      </c>
      <c r="X34" t="s">
        <v>738</v>
      </c>
      <c r="Y34" t="s">
        <v>739</v>
      </c>
      <c r="Z34" t="s">
        <v>1992</v>
      </c>
      <c r="AA34" t="s">
        <v>740</v>
      </c>
      <c r="AB34">
        <v>9525136831</v>
      </c>
      <c r="AC34"/>
      <c r="AD34">
        <v>9525136880</v>
      </c>
      <c r="AE34" t="s">
        <v>741</v>
      </c>
      <c r="AF34" t="s">
        <v>734</v>
      </c>
      <c r="AG34" t="s">
        <v>742</v>
      </c>
      <c r="AH34" t="s">
        <v>736</v>
      </c>
      <c r="AI34" t="s">
        <v>737</v>
      </c>
      <c r="AJ34" t="s">
        <v>54</v>
      </c>
      <c r="AK34" t="s">
        <v>2396</v>
      </c>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t="s">
        <v>748</v>
      </c>
      <c r="CG34" t="s">
        <v>740</v>
      </c>
      <c r="CH34" t="s">
        <v>142</v>
      </c>
      <c r="CI34"/>
      <c r="CJ34"/>
      <c r="CK34"/>
      <c r="CL34"/>
      <c r="CM34">
        <v>1659348092</v>
      </c>
      <c r="CN34">
        <v>395</v>
      </c>
      <c r="CO34">
        <v>142</v>
      </c>
      <c r="CP34"/>
      <c r="CQ34"/>
      <c r="CR34"/>
      <c r="CS34" t="s">
        <v>2397</v>
      </c>
      <c r="CT34">
        <v>12</v>
      </c>
      <c r="CU34"/>
      <c r="CV34"/>
      <c r="CW34"/>
      <c r="CX34"/>
      <c r="CY34"/>
      <c r="CZ34"/>
      <c r="DA34"/>
      <c r="DB34"/>
      <c r="DC34"/>
      <c r="DD34">
        <v>128</v>
      </c>
      <c r="DE34" t="s">
        <v>2521</v>
      </c>
      <c r="DF34">
        <v>131</v>
      </c>
      <c r="DG34" t="s">
        <v>2522</v>
      </c>
      <c r="DH34">
        <v>129</v>
      </c>
      <c r="DI34" t="s">
        <v>2523</v>
      </c>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s="569">
        <v>1057</v>
      </c>
      <c r="ET34" t="s">
        <v>811</v>
      </c>
      <c r="EU34" t="s">
        <v>812</v>
      </c>
      <c r="EV34" t="s">
        <v>2968</v>
      </c>
      <c r="EW34" t="s">
        <v>54</v>
      </c>
      <c r="EX34" s="600">
        <v>55449</v>
      </c>
      <c r="EY34">
        <v>1659348092</v>
      </c>
    </row>
    <row r="35" spans="1:155" s="561" customFormat="1" x14ac:dyDescent="0.2">
      <c r="A35" s="598">
        <v>1216</v>
      </c>
      <c r="B35" t="s">
        <v>839</v>
      </c>
      <c r="C35" t="s">
        <v>840</v>
      </c>
      <c r="D35" t="s">
        <v>841</v>
      </c>
      <c r="E35" t="s">
        <v>842</v>
      </c>
      <c r="F35" t="s">
        <v>752</v>
      </c>
      <c r="G35" t="s">
        <v>54</v>
      </c>
      <c r="H35" t="s">
        <v>2524</v>
      </c>
      <c r="I35" t="s">
        <v>2525</v>
      </c>
      <c r="J35" t="s">
        <v>734</v>
      </c>
      <c r="K35" t="s">
        <v>735</v>
      </c>
      <c r="L35" t="s">
        <v>736</v>
      </c>
      <c r="M35" t="s">
        <v>737</v>
      </c>
      <c r="N35" t="s">
        <v>54</v>
      </c>
      <c r="O35" t="s">
        <v>2396</v>
      </c>
      <c r="P35"/>
      <c r="Q35">
        <v>6512874929</v>
      </c>
      <c r="R35">
        <v>6512096781</v>
      </c>
      <c r="S35" t="s">
        <v>815</v>
      </c>
      <c r="T35" t="s">
        <v>816</v>
      </c>
      <c r="U35" t="s">
        <v>2135</v>
      </c>
      <c r="V35" t="s">
        <v>817</v>
      </c>
      <c r="W35" t="s">
        <v>1991</v>
      </c>
      <c r="X35" t="s">
        <v>738</v>
      </c>
      <c r="Y35" t="s">
        <v>739</v>
      </c>
      <c r="Z35" t="s">
        <v>1992</v>
      </c>
      <c r="AA35" t="s">
        <v>740</v>
      </c>
      <c r="AB35">
        <v>9525136831</v>
      </c>
      <c r="AC35"/>
      <c r="AD35">
        <v>9525136880</v>
      </c>
      <c r="AE35" t="s">
        <v>741</v>
      </c>
      <c r="AF35" t="s">
        <v>734</v>
      </c>
      <c r="AG35" t="s">
        <v>742</v>
      </c>
      <c r="AH35" t="s">
        <v>736</v>
      </c>
      <c r="AI35" t="s">
        <v>737</v>
      </c>
      <c r="AJ35" t="s">
        <v>54</v>
      </c>
      <c r="AK35" t="s">
        <v>2396</v>
      </c>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t="s">
        <v>748</v>
      </c>
      <c r="CG35" t="s">
        <v>740</v>
      </c>
      <c r="CH35" t="s">
        <v>142</v>
      </c>
      <c r="CI35" t="s">
        <v>1201</v>
      </c>
      <c r="CJ35" t="s">
        <v>141</v>
      </c>
      <c r="CK35"/>
      <c r="CL35"/>
      <c r="CM35">
        <v>1659348092</v>
      </c>
      <c r="CN35">
        <v>395</v>
      </c>
      <c r="CO35">
        <v>142</v>
      </c>
      <c r="CP35"/>
      <c r="CQ35"/>
      <c r="CR35"/>
      <c r="CS35" t="s">
        <v>2397</v>
      </c>
      <c r="CT35">
        <v>12</v>
      </c>
      <c r="CU35"/>
      <c r="CV35"/>
      <c r="CW35"/>
      <c r="CX35"/>
      <c r="CY35"/>
      <c r="CZ35"/>
      <c r="DA35"/>
      <c r="DB35"/>
      <c r="DC35"/>
      <c r="DD35">
        <v>128</v>
      </c>
      <c r="DE35" t="s">
        <v>2526</v>
      </c>
      <c r="DF35"/>
      <c r="DG35"/>
      <c r="DH35">
        <v>129</v>
      </c>
      <c r="DI35" t="s">
        <v>2527</v>
      </c>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s="569">
        <v>666</v>
      </c>
      <c r="ET35" t="s">
        <v>1146</v>
      </c>
      <c r="EU35" t="s">
        <v>812</v>
      </c>
      <c r="EV35" t="s">
        <v>2969</v>
      </c>
      <c r="EW35" t="s">
        <v>54</v>
      </c>
      <c r="EX35" s="600">
        <v>55449</v>
      </c>
      <c r="EY35">
        <v>1972784205</v>
      </c>
    </row>
    <row r="36" spans="1:155" s="563" customFormat="1" x14ac:dyDescent="0.2">
      <c r="A36" s="598">
        <v>655</v>
      </c>
      <c r="B36" t="s">
        <v>843</v>
      </c>
      <c r="C36" t="s">
        <v>844</v>
      </c>
      <c r="D36" t="s">
        <v>845</v>
      </c>
      <c r="E36" t="s">
        <v>759</v>
      </c>
      <c r="F36" t="s">
        <v>846</v>
      </c>
      <c r="G36" t="s">
        <v>54</v>
      </c>
      <c r="H36" t="s">
        <v>2528</v>
      </c>
      <c r="I36"/>
      <c r="J36" t="s">
        <v>734</v>
      </c>
      <c r="K36" t="s">
        <v>735</v>
      </c>
      <c r="L36" t="s">
        <v>736</v>
      </c>
      <c r="M36" t="s">
        <v>737</v>
      </c>
      <c r="N36" t="s">
        <v>54</v>
      </c>
      <c r="O36" t="s">
        <v>2396</v>
      </c>
      <c r="P36"/>
      <c r="Q36">
        <v>3202510609</v>
      </c>
      <c r="R36">
        <v>3202513806</v>
      </c>
      <c r="S36" t="s">
        <v>1262</v>
      </c>
      <c r="T36" t="s">
        <v>816</v>
      </c>
      <c r="U36" t="s">
        <v>2135</v>
      </c>
      <c r="V36" t="s">
        <v>817</v>
      </c>
      <c r="W36" t="s">
        <v>1991</v>
      </c>
      <c r="X36" t="s">
        <v>738</v>
      </c>
      <c r="Y36" t="s">
        <v>739</v>
      </c>
      <c r="Z36" t="s">
        <v>1992</v>
      </c>
      <c r="AA36" t="s">
        <v>740</v>
      </c>
      <c r="AB36">
        <v>9525136831</v>
      </c>
      <c r="AC36"/>
      <c r="AD36">
        <v>9525136880</v>
      </c>
      <c r="AE36" t="s">
        <v>741</v>
      </c>
      <c r="AF36" t="s">
        <v>734</v>
      </c>
      <c r="AG36" t="s">
        <v>742</v>
      </c>
      <c r="AH36" t="s">
        <v>736</v>
      </c>
      <c r="AI36" t="s">
        <v>737</v>
      </c>
      <c r="AJ36" t="s">
        <v>54</v>
      </c>
      <c r="AK36" t="s">
        <v>2396</v>
      </c>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t="s">
        <v>748</v>
      </c>
      <c r="CG36" t="s">
        <v>740</v>
      </c>
      <c r="CH36" t="s">
        <v>142</v>
      </c>
      <c r="CI36"/>
      <c r="CJ36"/>
      <c r="CK36"/>
      <c r="CL36"/>
      <c r="CM36">
        <v>1659348092</v>
      </c>
      <c r="CN36">
        <v>395</v>
      </c>
      <c r="CO36">
        <v>142</v>
      </c>
      <c r="CP36"/>
      <c r="CQ36"/>
      <c r="CR36"/>
      <c r="CS36" t="s">
        <v>2397</v>
      </c>
      <c r="CT36">
        <v>12</v>
      </c>
      <c r="CU36"/>
      <c r="CV36"/>
      <c r="CW36"/>
      <c r="CX36"/>
      <c r="CY36"/>
      <c r="CZ36"/>
      <c r="DA36"/>
      <c r="DB36"/>
      <c r="DC36"/>
      <c r="DD36">
        <v>128</v>
      </c>
      <c r="DE36" t="s">
        <v>2529</v>
      </c>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s="569">
        <v>1430</v>
      </c>
      <c r="ET36" t="s">
        <v>2744</v>
      </c>
      <c r="EU36" t="s">
        <v>812</v>
      </c>
      <c r="EV36" t="s">
        <v>2970</v>
      </c>
      <c r="EW36" t="s">
        <v>54</v>
      </c>
      <c r="EX36" s="600">
        <v>55449</v>
      </c>
      <c r="EY36"/>
    </row>
    <row r="37" spans="1:155" s="561" customFormat="1" x14ac:dyDescent="0.2">
      <c r="A37" s="598">
        <v>591</v>
      </c>
      <c r="B37" t="s">
        <v>847</v>
      </c>
      <c r="C37" t="s">
        <v>848</v>
      </c>
      <c r="D37" t="s">
        <v>849</v>
      </c>
      <c r="E37"/>
      <c r="F37" t="s">
        <v>846</v>
      </c>
      <c r="G37" t="s">
        <v>54</v>
      </c>
      <c r="H37" t="s">
        <v>2530</v>
      </c>
      <c r="I37"/>
      <c r="J37" t="s">
        <v>734</v>
      </c>
      <c r="K37" t="s">
        <v>735</v>
      </c>
      <c r="L37" t="s">
        <v>736</v>
      </c>
      <c r="M37" t="s">
        <v>737</v>
      </c>
      <c r="N37" t="s">
        <v>54</v>
      </c>
      <c r="O37" t="s">
        <v>2396</v>
      </c>
      <c r="P37"/>
      <c r="Q37">
        <v>3202510609</v>
      </c>
      <c r="R37">
        <v>3202513806</v>
      </c>
      <c r="S37" t="s">
        <v>1262</v>
      </c>
      <c r="T37" t="s">
        <v>816</v>
      </c>
      <c r="U37" t="s">
        <v>2135</v>
      </c>
      <c r="V37" t="s">
        <v>817</v>
      </c>
      <c r="W37" t="s">
        <v>1991</v>
      </c>
      <c r="X37" t="s">
        <v>738</v>
      </c>
      <c r="Y37" t="s">
        <v>739</v>
      </c>
      <c r="Z37" t="s">
        <v>1992</v>
      </c>
      <c r="AA37" t="s">
        <v>740</v>
      </c>
      <c r="AB37">
        <v>9525136831</v>
      </c>
      <c r="AC37"/>
      <c r="AD37">
        <v>9525136880</v>
      </c>
      <c r="AE37" t="s">
        <v>741</v>
      </c>
      <c r="AF37" t="s">
        <v>734</v>
      </c>
      <c r="AG37" t="s">
        <v>742</v>
      </c>
      <c r="AH37" t="s">
        <v>736</v>
      </c>
      <c r="AI37" t="s">
        <v>737</v>
      </c>
      <c r="AJ37" t="s">
        <v>54</v>
      </c>
      <c r="AK37" t="s">
        <v>2396</v>
      </c>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t="s">
        <v>748</v>
      </c>
      <c r="CG37" t="s">
        <v>740</v>
      </c>
      <c r="CH37" t="s">
        <v>142</v>
      </c>
      <c r="CI37"/>
      <c r="CJ37"/>
      <c r="CK37"/>
      <c r="CL37"/>
      <c r="CM37">
        <v>1659348092</v>
      </c>
      <c r="CN37">
        <v>395</v>
      </c>
      <c r="CO37">
        <v>142</v>
      </c>
      <c r="CP37"/>
      <c r="CQ37"/>
      <c r="CR37"/>
      <c r="CS37" t="s">
        <v>2397</v>
      </c>
      <c r="CT37">
        <v>12</v>
      </c>
      <c r="CU37"/>
      <c r="CV37"/>
      <c r="CW37"/>
      <c r="CX37"/>
      <c r="CY37"/>
      <c r="CZ37"/>
      <c r="DA37"/>
      <c r="DB37"/>
      <c r="DC37"/>
      <c r="DD37">
        <v>128</v>
      </c>
      <c r="DE37" t="s">
        <v>2531</v>
      </c>
      <c r="DF37"/>
      <c r="DG37"/>
      <c r="DH37">
        <v>129</v>
      </c>
      <c r="DI37" t="s">
        <v>2388</v>
      </c>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s="569">
        <v>748</v>
      </c>
      <c r="ET37" t="s">
        <v>1443</v>
      </c>
      <c r="EU37" t="s">
        <v>812</v>
      </c>
      <c r="EV37" t="s">
        <v>2971</v>
      </c>
      <c r="EW37" t="s">
        <v>54</v>
      </c>
      <c r="EX37" s="600">
        <v>55434</v>
      </c>
      <c r="EY37">
        <v>1710098306</v>
      </c>
    </row>
    <row r="38" spans="1:155" s="561" customFormat="1" x14ac:dyDescent="0.2">
      <c r="A38" s="598">
        <v>574</v>
      </c>
      <c r="B38" t="s">
        <v>850</v>
      </c>
      <c r="C38" t="s">
        <v>736</v>
      </c>
      <c r="D38" t="s">
        <v>734</v>
      </c>
      <c r="E38" t="s">
        <v>851</v>
      </c>
      <c r="F38" t="s">
        <v>737</v>
      </c>
      <c r="G38" t="s">
        <v>54</v>
      </c>
      <c r="H38" t="s">
        <v>2396</v>
      </c>
      <c r="I38"/>
      <c r="J38" t="s">
        <v>734</v>
      </c>
      <c r="K38" t="s">
        <v>735</v>
      </c>
      <c r="L38" t="s">
        <v>736</v>
      </c>
      <c r="M38" t="s">
        <v>737</v>
      </c>
      <c r="N38" t="s">
        <v>54</v>
      </c>
      <c r="O38" t="s">
        <v>2396</v>
      </c>
      <c r="P38"/>
      <c r="Q38">
        <v>9525411840</v>
      </c>
      <c r="R38">
        <v>9525136880</v>
      </c>
      <c r="S38" t="s">
        <v>815</v>
      </c>
      <c r="T38" t="s">
        <v>816</v>
      </c>
      <c r="U38" t="s">
        <v>2135</v>
      </c>
      <c r="V38" t="s">
        <v>817</v>
      </c>
      <c r="W38" t="s">
        <v>1991</v>
      </c>
      <c r="X38" t="s">
        <v>738</v>
      </c>
      <c r="Y38" t="s">
        <v>739</v>
      </c>
      <c r="Z38" t="s">
        <v>1992</v>
      </c>
      <c r="AA38" t="s">
        <v>740</v>
      </c>
      <c r="AB38">
        <v>9525136831</v>
      </c>
      <c r="AC38"/>
      <c r="AD38">
        <v>9525136880</v>
      </c>
      <c r="AE38" t="s">
        <v>741</v>
      </c>
      <c r="AF38" t="s">
        <v>734</v>
      </c>
      <c r="AG38" t="s">
        <v>742</v>
      </c>
      <c r="AH38" t="s">
        <v>736</v>
      </c>
      <c r="AI38" t="s">
        <v>737</v>
      </c>
      <c r="AJ38" t="s">
        <v>54</v>
      </c>
      <c r="AK38" t="s">
        <v>2396</v>
      </c>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t="s">
        <v>748</v>
      </c>
      <c r="CG38" t="s">
        <v>740</v>
      </c>
      <c r="CH38" t="s">
        <v>142</v>
      </c>
      <c r="CI38" t="s">
        <v>852</v>
      </c>
      <c r="CJ38" t="s">
        <v>141</v>
      </c>
      <c r="CK38"/>
      <c r="CL38"/>
      <c r="CM38">
        <v>1659348092</v>
      </c>
      <c r="CN38">
        <v>395</v>
      </c>
      <c r="CO38">
        <v>142</v>
      </c>
      <c r="CP38"/>
      <c r="CQ38"/>
      <c r="CR38"/>
      <c r="CS38" t="s">
        <v>2397</v>
      </c>
      <c r="CT38">
        <v>12</v>
      </c>
      <c r="CU38"/>
      <c r="CV38"/>
      <c r="CW38"/>
      <c r="CX38"/>
      <c r="CY38"/>
      <c r="CZ38"/>
      <c r="DA38"/>
      <c r="DB38"/>
      <c r="DC38"/>
      <c r="DD38">
        <v>128</v>
      </c>
      <c r="DE38" t="s">
        <v>2511</v>
      </c>
      <c r="DF38">
        <v>131</v>
      </c>
      <c r="DG38" t="s">
        <v>2522</v>
      </c>
      <c r="DH38">
        <v>129</v>
      </c>
      <c r="DI38" t="s">
        <v>2532</v>
      </c>
      <c r="DJ38">
        <v>130</v>
      </c>
      <c r="DK38" t="s">
        <v>2533</v>
      </c>
      <c r="DL38"/>
      <c r="DM38"/>
      <c r="DN38"/>
      <c r="DO38"/>
      <c r="DP38"/>
      <c r="DQ38"/>
      <c r="DR38"/>
      <c r="DS38"/>
      <c r="DT38"/>
      <c r="DU38"/>
      <c r="DV38"/>
      <c r="DW38"/>
      <c r="DX38"/>
      <c r="DY38"/>
      <c r="DZ38"/>
      <c r="EA38"/>
      <c r="EB38"/>
      <c r="EC38"/>
      <c r="ED38"/>
      <c r="EE38"/>
      <c r="EF38"/>
      <c r="EG38"/>
      <c r="EH38"/>
      <c r="EI38"/>
      <c r="EJ38"/>
      <c r="EK38"/>
      <c r="EL38"/>
      <c r="EM38"/>
      <c r="EN38"/>
      <c r="EO38"/>
      <c r="EP38"/>
      <c r="EQ38"/>
      <c r="ER38"/>
      <c r="ES38" s="569">
        <v>667</v>
      </c>
      <c r="ET38" t="s">
        <v>1704</v>
      </c>
      <c r="EU38" t="s">
        <v>812</v>
      </c>
      <c r="EV38" t="s">
        <v>2972</v>
      </c>
      <c r="EW38" t="s">
        <v>54</v>
      </c>
      <c r="EX38" s="600">
        <v>55434</v>
      </c>
      <c r="EY38">
        <v>1629027594</v>
      </c>
    </row>
    <row r="39" spans="1:155" s="561" customFormat="1" x14ac:dyDescent="0.2">
      <c r="A39" s="598">
        <v>973</v>
      </c>
      <c r="B39" t="s">
        <v>853</v>
      </c>
      <c r="C39" t="s">
        <v>728</v>
      </c>
      <c r="D39" t="s">
        <v>854</v>
      </c>
      <c r="E39" t="s">
        <v>855</v>
      </c>
      <c r="F39" t="s">
        <v>846</v>
      </c>
      <c r="G39" t="s">
        <v>54</v>
      </c>
      <c r="H39" t="s">
        <v>2374</v>
      </c>
      <c r="I39" t="s">
        <v>2534</v>
      </c>
      <c r="J39" t="s">
        <v>734</v>
      </c>
      <c r="K39" t="s">
        <v>735</v>
      </c>
      <c r="L39" t="s">
        <v>736</v>
      </c>
      <c r="M39" t="s">
        <v>737</v>
      </c>
      <c r="N39" t="s">
        <v>54</v>
      </c>
      <c r="O39" t="s">
        <v>2396</v>
      </c>
      <c r="P39"/>
      <c r="Q39">
        <v>3202318910</v>
      </c>
      <c r="R39">
        <v>3202530273</v>
      </c>
      <c r="S39" t="s">
        <v>815</v>
      </c>
      <c r="T39" t="s">
        <v>816</v>
      </c>
      <c r="U39" t="s">
        <v>2135</v>
      </c>
      <c r="V39" t="s">
        <v>817</v>
      </c>
      <c r="W39" t="s">
        <v>1991</v>
      </c>
      <c r="X39" t="s">
        <v>738</v>
      </c>
      <c r="Y39" t="s">
        <v>739</v>
      </c>
      <c r="Z39" t="s">
        <v>1992</v>
      </c>
      <c r="AA39" t="s">
        <v>740</v>
      </c>
      <c r="AB39">
        <v>9525136831</v>
      </c>
      <c r="AC39"/>
      <c r="AD39">
        <v>9525136880</v>
      </c>
      <c r="AE39" t="s">
        <v>741</v>
      </c>
      <c r="AF39" t="s">
        <v>734</v>
      </c>
      <c r="AG39" t="s">
        <v>742</v>
      </c>
      <c r="AH39" t="s">
        <v>736</v>
      </c>
      <c r="AI39" t="s">
        <v>737</v>
      </c>
      <c r="AJ39" t="s">
        <v>54</v>
      </c>
      <c r="AK39" t="s">
        <v>2396</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t="s">
        <v>748</v>
      </c>
      <c r="CG39" t="s">
        <v>740</v>
      </c>
      <c r="CH39" t="s">
        <v>142</v>
      </c>
      <c r="CI39" t="s">
        <v>856</v>
      </c>
      <c r="CJ39" t="s">
        <v>141</v>
      </c>
      <c r="CK39"/>
      <c r="CL39"/>
      <c r="CM39">
        <v>1659348092</v>
      </c>
      <c r="CN39">
        <v>395</v>
      </c>
      <c r="CO39">
        <v>142</v>
      </c>
      <c r="CP39"/>
      <c r="CQ39"/>
      <c r="CR39"/>
      <c r="CS39" t="s">
        <v>2397</v>
      </c>
      <c r="CT39">
        <v>12</v>
      </c>
      <c r="CU39"/>
      <c r="CV39"/>
      <c r="CW39"/>
      <c r="CX39"/>
      <c r="CY39"/>
      <c r="CZ39"/>
      <c r="DA39"/>
      <c r="DB39"/>
      <c r="DC39"/>
      <c r="DD39"/>
      <c r="DE39"/>
      <c r="DF39"/>
      <c r="DG39"/>
      <c r="DH39">
        <v>129</v>
      </c>
      <c r="DI39" t="s">
        <v>2535</v>
      </c>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s="569">
        <v>1380</v>
      </c>
      <c r="ET39" t="s">
        <v>2183</v>
      </c>
      <c r="EU39" t="s">
        <v>812</v>
      </c>
      <c r="EV39" t="s">
        <v>2973</v>
      </c>
      <c r="EW39" t="s">
        <v>54</v>
      </c>
      <c r="EX39" s="600">
        <v>55434</v>
      </c>
      <c r="EY39">
        <v>1629027594</v>
      </c>
    </row>
    <row r="40" spans="1:155" s="561" customFormat="1" x14ac:dyDescent="0.2">
      <c r="A40" s="598">
        <v>773</v>
      </c>
      <c r="B40" t="s">
        <v>857</v>
      </c>
      <c r="C40" t="s">
        <v>778</v>
      </c>
      <c r="D40" t="s">
        <v>858</v>
      </c>
      <c r="E40" t="s">
        <v>859</v>
      </c>
      <c r="F40" t="s">
        <v>772</v>
      </c>
      <c r="G40" t="s">
        <v>54</v>
      </c>
      <c r="H40" t="s">
        <v>2428</v>
      </c>
      <c r="I40"/>
      <c r="J40" t="s">
        <v>734</v>
      </c>
      <c r="K40" t="s">
        <v>735</v>
      </c>
      <c r="L40" t="s">
        <v>736</v>
      </c>
      <c r="M40" t="s">
        <v>737</v>
      </c>
      <c r="N40" t="s">
        <v>54</v>
      </c>
      <c r="O40" t="s">
        <v>2396</v>
      </c>
      <c r="P40"/>
      <c r="Q40">
        <v>6517884040</v>
      </c>
      <c r="R40">
        <v>6512976115</v>
      </c>
      <c r="S40" t="s">
        <v>815</v>
      </c>
      <c r="T40" t="s">
        <v>816</v>
      </c>
      <c r="U40" t="s">
        <v>2135</v>
      </c>
      <c r="V40" t="s">
        <v>817</v>
      </c>
      <c r="W40" t="s">
        <v>1991</v>
      </c>
      <c r="X40" t="s">
        <v>738</v>
      </c>
      <c r="Y40" t="s">
        <v>739</v>
      </c>
      <c r="Z40" t="s">
        <v>1992</v>
      </c>
      <c r="AA40" t="s">
        <v>740</v>
      </c>
      <c r="AB40">
        <v>9525136831</v>
      </c>
      <c r="AC40"/>
      <c r="AD40">
        <v>9525136880</v>
      </c>
      <c r="AE40" t="s">
        <v>741</v>
      </c>
      <c r="AF40" t="s">
        <v>734</v>
      </c>
      <c r="AG40" t="s">
        <v>742</v>
      </c>
      <c r="AH40" t="s">
        <v>736</v>
      </c>
      <c r="AI40" t="s">
        <v>737</v>
      </c>
      <c r="AJ40" t="s">
        <v>54</v>
      </c>
      <c r="AK40" t="s">
        <v>2396</v>
      </c>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t="s">
        <v>748</v>
      </c>
      <c r="CG40" t="s">
        <v>740</v>
      </c>
      <c r="CH40" t="s">
        <v>142</v>
      </c>
      <c r="CI40" t="s">
        <v>852</v>
      </c>
      <c r="CJ40" t="s">
        <v>141</v>
      </c>
      <c r="CK40"/>
      <c r="CL40"/>
      <c r="CM40">
        <v>1659348092</v>
      </c>
      <c r="CN40">
        <v>395</v>
      </c>
      <c r="CO40">
        <v>142</v>
      </c>
      <c r="CP40"/>
      <c r="CQ40"/>
      <c r="CR40"/>
      <c r="CS40" t="s">
        <v>2397</v>
      </c>
      <c r="CT40">
        <v>12</v>
      </c>
      <c r="CU40"/>
      <c r="CV40"/>
      <c r="CW40"/>
      <c r="CX40"/>
      <c r="CY40"/>
      <c r="CZ40"/>
      <c r="DA40"/>
      <c r="DB40"/>
      <c r="DC40"/>
      <c r="DD40">
        <v>128</v>
      </c>
      <c r="DE40" t="s">
        <v>2536</v>
      </c>
      <c r="DF40"/>
      <c r="DG40"/>
      <c r="DH40">
        <v>129</v>
      </c>
      <c r="DI40" t="s">
        <v>2537</v>
      </c>
      <c r="DJ40">
        <v>130</v>
      </c>
      <c r="DK40" t="s">
        <v>2538</v>
      </c>
      <c r="DL40"/>
      <c r="DM40"/>
      <c r="DN40"/>
      <c r="DO40"/>
      <c r="DP40"/>
      <c r="DQ40"/>
      <c r="DR40"/>
      <c r="DS40"/>
      <c r="DT40"/>
      <c r="DU40"/>
      <c r="DV40"/>
      <c r="DW40"/>
      <c r="DX40"/>
      <c r="DY40"/>
      <c r="DZ40"/>
      <c r="EA40"/>
      <c r="EB40"/>
      <c r="EC40"/>
      <c r="ED40"/>
      <c r="EE40"/>
      <c r="EF40"/>
      <c r="EG40"/>
      <c r="EH40"/>
      <c r="EI40"/>
      <c r="EJ40"/>
      <c r="EK40"/>
      <c r="EL40"/>
      <c r="EM40"/>
      <c r="EN40"/>
      <c r="EO40"/>
      <c r="EP40"/>
      <c r="EQ40"/>
      <c r="ER40"/>
      <c r="ES40" s="569">
        <v>500</v>
      </c>
      <c r="ET40" t="s">
        <v>2171</v>
      </c>
      <c r="EU40" t="s">
        <v>1279</v>
      </c>
      <c r="EV40" t="s">
        <v>2974</v>
      </c>
      <c r="EW40" t="s">
        <v>54</v>
      </c>
      <c r="EX40" s="600">
        <v>55431</v>
      </c>
      <c r="EY40">
        <v>1518273085</v>
      </c>
    </row>
    <row r="41" spans="1:155" s="561" customFormat="1" x14ac:dyDescent="0.2">
      <c r="A41" s="598">
        <v>519</v>
      </c>
      <c r="B41" t="s">
        <v>860</v>
      </c>
      <c r="C41" t="s">
        <v>861</v>
      </c>
      <c r="D41" t="s">
        <v>862</v>
      </c>
      <c r="E41" t="s">
        <v>863</v>
      </c>
      <c r="F41" t="s">
        <v>864</v>
      </c>
      <c r="G41" t="s">
        <v>54</v>
      </c>
      <c r="H41" t="s">
        <v>2539</v>
      </c>
      <c r="I41"/>
      <c r="J41" t="s">
        <v>862</v>
      </c>
      <c r="K41" t="s">
        <v>863</v>
      </c>
      <c r="L41" t="s">
        <v>861</v>
      </c>
      <c r="M41" t="s">
        <v>864</v>
      </c>
      <c r="N41" t="s">
        <v>54</v>
      </c>
      <c r="O41" t="s">
        <v>2539</v>
      </c>
      <c r="P41"/>
      <c r="Q41">
        <v>5072384949</v>
      </c>
      <c r="R41">
        <v>8552735489</v>
      </c>
      <c r="S41" t="s">
        <v>2540</v>
      </c>
      <c r="T41" t="s">
        <v>2541</v>
      </c>
      <c r="U41" t="s">
        <v>729</v>
      </c>
      <c r="V41" t="s">
        <v>2542</v>
      </c>
      <c r="W41"/>
      <c r="X41" t="s">
        <v>866</v>
      </c>
      <c r="Y41" t="s">
        <v>2030</v>
      </c>
      <c r="Z41" t="s">
        <v>867</v>
      </c>
      <c r="AA41" t="s">
        <v>860</v>
      </c>
      <c r="AB41">
        <v>5072384949</v>
      </c>
      <c r="AC41">
        <v>140</v>
      </c>
      <c r="AD41">
        <v>8552735489</v>
      </c>
      <c r="AE41" t="s">
        <v>868</v>
      </c>
      <c r="AF41" t="s">
        <v>862</v>
      </c>
      <c r="AG41" t="s">
        <v>863</v>
      </c>
      <c r="AH41" t="s">
        <v>861</v>
      </c>
      <c r="AI41" t="s">
        <v>864</v>
      </c>
      <c r="AJ41" t="s">
        <v>54</v>
      </c>
      <c r="AK41" t="s">
        <v>2539</v>
      </c>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t="s">
        <v>869</v>
      </c>
      <c r="CG41" t="s">
        <v>755</v>
      </c>
      <c r="CH41" t="s">
        <v>56</v>
      </c>
      <c r="CI41"/>
      <c r="CJ41"/>
      <c r="CK41"/>
      <c r="CL41"/>
      <c r="CM41">
        <v>1134173644</v>
      </c>
      <c r="CN41">
        <v>2868</v>
      </c>
      <c r="CO41">
        <v>3062</v>
      </c>
      <c r="CP41"/>
      <c r="CQ41"/>
      <c r="CR41"/>
      <c r="CS41" t="s">
        <v>2397</v>
      </c>
      <c r="CT41">
        <v>12</v>
      </c>
      <c r="CU41">
        <v>158</v>
      </c>
      <c r="CV41"/>
      <c r="CW41"/>
      <c r="CX41"/>
      <c r="CY41"/>
      <c r="CZ41"/>
      <c r="DA41"/>
      <c r="DB41"/>
      <c r="DC41"/>
      <c r="DD41"/>
      <c r="DE41"/>
      <c r="DF41"/>
      <c r="DG41"/>
      <c r="DH41"/>
      <c r="DI41"/>
      <c r="DJ41"/>
      <c r="DK41"/>
      <c r="DL41">
        <v>132</v>
      </c>
      <c r="DM41" t="s">
        <v>2519</v>
      </c>
      <c r="DN41"/>
      <c r="DO41"/>
      <c r="DP41"/>
      <c r="DQ41"/>
      <c r="DR41"/>
      <c r="DS41"/>
      <c r="DT41"/>
      <c r="DU41"/>
      <c r="DV41"/>
      <c r="DW41"/>
      <c r="DX41"/>
      <c r="DY41"/>
      <c r="DZ41"/>
      <c r="EA41"/>
      <c r="EB41"/>
      <c r="EC41"/>
      <c r="ED41"/>
      <c r="EE41"/>
      <c r="EF41"/>
      <c r="EG41"/>
      <c r="EH41"/>
      <c r="EI41"/>
      <c r="EJ41"/>
      <c r="EK41"/>
      <c r="EL41"/>
      <c r="EM41"/>
      <c r="EN41"/>
      <c r="EO41"/>
      <c r="EP41"/>
      <c r="EQ41"/>
      <c r="ER41"/>
      <c r="ES41" s="569">
        <v>833</v>
      </c>
      <c r="ET41" t="s">
        <v>1042</v>
      </c>
      <c r="EU41" t="s">
        <v>1043</v>
      </c>
      <c r="EV41" t="s">
        <v>2975</v>
      </c>
      <c r="EW41" t="s">
        <v>54</v>
      </c>
      <c r="EX41" s="600">
        <v>56013</v>
      </c>
      <c r="EY41"/>
    </row>
    <row r="42" spans="1:155" s="561" customFormat="1" x14ac:dyDescent="0.2">
      <c r="A42" s="598">
        <v>743</v>
      </c>
      <c r="B42" t="s">
        <v>2238</v>
      </c>
      <c r="C42" t="s">
        <v>848</v>
      </c>
      <c r="D42" t="s">
        <v>849</v>
      </c>
      <c r="E42"/>
      <c r="F42" t="s">
        <v>846</v>
      </c>
      <c r="G42" t="s">
        <v>54</v>
      </c>
      <c r="H42" t="s">
        <v>2530</v>
      </c>
      <c r="I42"/>
      <c r="J42" t="s">
        <v>849</v>
      </c>
      <c r="K42"/>
      <c r="L42" t="s">
        <v>848</v>
      </c>
      <c r="M42" t="s">
        <v>846</v>
      </c>
      <c r="N42" t="s">
        <v>54</v>
      </c>
      <c r="O42" t="s">
        <v>2530</v>
      </c>
      <c r="P42"/>
      <c r="Q42">
        <v>3202028949</v>
      </c>
      <c r="R42">
        <v>3205294747</v>
      </c>
      <c r="S42" t="s">
        <v>2239</v>
      </c>
      <c r="T42" t="s">
        <v>2240</v>
      </c>
      <c r="U42" t="s">
        <v>729</v>
      </c>
      <c r="V42" t="s">
        <v>2241</v>
      </c>
      <c r="W42" t="s">
        <v>2242</v>
      </c>
      <c r="X42" t="s">
        <v>2243</v>
      </c>
      <c r="Y42" t="s">
        <v>2244</v>
      </c>
      <c r="Z42" t="s">
        <v>2245</v>
      </c>
      <c r="AA42" t="s">
        <v>2246</v>
      </c>
      <c r="AB42">
        <v>3202512700</v>
      </c>
      <c r="AC42">
        <v>54401</v>
      </c>
      <c r="AD42">
        <v>3202555730</v>
      </c>
      <c r="AE42" t="s">
        <v>2247</v>
      </c>
      <c r="AF42" t="s">
        <v>2248</v>
      </c>
      <c r="AG42"/>
      <c r="AH42" t="s">
        <v>848</v>
      </c>
      <c r="AI42" t="s">
        <v>846</v>
      </c>
      <c r="AJ42" t="s">
        <v>54</v>
      </c>
      <c r="AK42" t="s">
        <v>2530</v>
      </c>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t="s">
        <v>1648</v>
      </c>
      <c r="CG42" t="s">
        <v>2249</v>
      </c>
      <c r="CH42" t="s">
        <v>141</v>
      </c>
      <c r="CI42" t="s">
        <v>740</v>
      </c>
      <c r="CJ42" t="s">
        <v>142</v>
      </c>
      <c r="CK42"/>
      <c r="CL42"/>
      <c r="CM42">
        <v>1689196339</v>
      </c>
      <c r="CN42">
        <v>421</v>
      </c>
      <c r="CO42">
        <v>185</v>
      </c>
      <c r="CP42"/>
      <c r="CQ42"/>
      <c r="CR42"/>
      <c r="CS42" t="s">
        <v>2397</v>
      </c>
      <c r="CT42">
        <v>12</v>
      </c>
      <c r="CU42"/>
      <c r="CV42"/>
      <c r="CW42"/>
      <c r="CX42"/>
      <c r="CY42"/>
      <c r="CZ42"/>
      <c r="DA42"/>
      <c r="DB42"/>
      <c r="DC42"/>
      <c r="DD42">
        <v>128</v>
      </c>
      <c r="DE42" t="s">
        <v>2543</v>
      </c>
      <c r="DF42"/>
      <c r="DG42"/>
      <c r="DH42">
        <v>129</v>
      </c>
      <c r="DI42" t="s">
        <v>2388</v>
      </c>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s="569">
        <v>162</v>
      </c>
      <c r="ET42" t="s">
        <v>1813</v>
      </c>
      <c r="EU42" t="s">
        <v>1043</v>
      </c>
      <c r="EV42" t="s">
        <v>2269</v>
      </c>
      <c r="EW42" t="s">
        <v>54</v>
      </c>
      <c r="EX42" s="599">
        <v>56013</v>
      </c>
      <c r="EY42">
        <v>1952307688</v>
      </c>
    </row>
    <row r="43" spans="1:155" s="563" customFormat="1" x14ac:dyDescent="0.2">
      <c r="A43" s="598">
        <v>1420</v>
      </c>
      <c r="B43" t="s">
        <v>2544</v>
      </c>
      <c r="C43" t="s">
        <v>870</v>
      </c>
      <c r="D43" t="s">
        <v>2545</v>
      </c>
      <c r="E43" t="s">
        <v>2368</v>
      </c>
      <c r="F43" t="s">
        <v>871</v>
      </c>
      <c r="G43" t="s">
        <v>54</v>
      </c>
      <c r="H43" t="s">
        <v>2546</v>
      </c>
      <c r="I43" t="s">
        <v>2368</v>
      </c>
      <c r="J43" t="s">
        <v>872</v>
      </c>
      <c r="K43"/>
      <c r="L43" t="s">
        <v>870</v>
      </c>
      <c r="M43" t="s">
        <v>871</v>
      </c>
      <c r="N43" t="s">
        <v>54</v>
      </c>
      <c r="O43" t="s">
        <v>2546</v>
      </c>
      <c r="P43"/>
      <c r="Q43">
        <v>3209836300</v>
      </c>
      <c r="R43">
        <v>3209836345</v>
      </c>
      <c r="S43" t="s">
        <v>1571</v>
      </c>
      <c r="T43" t="s">
        <v>2547</v>
      </c>
      <c r="U43" t="s">
        <v>873</v>
      </c>
      <c r="V43" t="s">
        <v>2548</v>
      </c>
      <c r="W43" t="s">
        <v>2368</v>
      </c>
      <c r="X43" t="s">
        <v>2142</v>
      </c>
      <c r="Y43" t="s">
        <v>2143</v>
      </c>
      <c r="Z43" t="s">
        <v>2549</v>
      </c>
      <c r="AA43" t="s">
        <v>874</v>
      </c>
      <c r="AB43">
        <v>3209836325</v>
      </c>
      <c r="AC43"/>
      <c r="AD43">
        <v>3209836345</v>
      </c>
      <c r="AE43" t="s">
        <v>2144</v>
      </c>
      <c r="AF43" t="s">
        <v>2550</v>
      </c>
      <c r="AG43"/>
      <c r="AH43" t="s">
        <v>870</v>
      </c>
      <c r="AI43" t="s">
        <v>871</v>
      </c>
      <c r="AJ43" t="s">
        <v>54</v>
      </c>
      <c r="AK43" t="s">
        <v>2546</v>
      </c>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t="s">
        <v>875</v>
      </c>
      <c r="CG43" t="s">
        <v>876</v>
      </c>
      <c r="CH43" t="s">
        <v>141</v>
      </c>
      <c r="CI43"/>
      <c r="CJ43"/>
      <c r="CK43"/>
      <c r="CL43"/>
      <c r="CM43"/>
      <c r="CN43">
        <v>250</v>
      </c>
      <c r="CO43">
        <v>255</v>
      </c>
      <c r="CP43"/>
      <c r="CQ43"/>
      <c r="CR43"/>
      <c r="CS43" t="s">
        <v>2551</v>
      </c>
      <c r="CT43">
        <v>12</v>
      </c>
      <c r="CU43"/>
      <c r="CV43"/>
      <c r="CW43"/>
      <c r="CX43" t="s">
        <v>2368</v>
      </c>
      <c r="CY43"/>
      <c r="CZ43" t="s">
        <v>2368</v>
      </c>
      <c r="DA43" t="s">
        <v>2368</v>
      </c>
      <c r="DB43" t="s">
        <v>2368</v>
      </c>
      <c r="DC43" t="s">
        <v>2368</v>
      </c>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s="569">
        <v>509</v>
      </c>
      <c r="ET43" t="s">
        <v>2703</v>
      </c>
      <c r="EU43" t="s">
        <v>1251</v>
      </c>
      <c r="EV43" t="s">
        <v>2976</v>
      </c>
      <c r="EW43" t="s">
        <v>54</v>
      </c>
      <c r="EX43" s="600">
        <v>56401</v>
      </c>
      <c r="EY43">
        <v>1437182839</v>
      </c>
    </row>
    <row r="44" spans="1:155" s="561" customFormat="1" x14ac:dyDescent="0.2">
      <c r="A44" s="598">
        <v>867</v>
      </c>
      <c r="B44" t="s">
        <v>2552</v>
      </c>
      <c r="C44" t="s">
        <v>870</v>
      </c>
      <c r="D44" t="s">
        <v>2545</v>
      </c>
      <c r="E44"/>
      <c r="F44" t="s">
        <v>871</v>
      </c>
      <c r="G44" t="s">
        <v>54</v>
      </c>
      <c r="H44" t="s">
        <v>2546</v>
      </c>
      <c r="I44"/>
      <c r="J44" t="s">
        <v>872</v>
      </c>
      <c r="K44"/>
      <c r="L44" t="s">
        <v>870</v>
      </c>
      <c r="M44" t="s">
        <v>871</v>
      </c>
      <c r="N44" t="s">
        <v>54</v>
      </c>
      <c r="O44" t="s">
        <v>2546</v>
      </c>
      <c r="P44"/>
      <c r="Q44">
        <v>3209836300</v>
      </c>
      <c r="R44">
        <v>3209836345</v>
      </c>
      <c r="S44" t="s">
        <v>1571</v>
      </c>
      <c r="T44" t="s">
        <v>2547</v>
      </c>
      <c r="U44" t="s">
        <v>873</v>
      </c>
      <c r="V44" t="s">
        <v>2548</v>
      </c>
      <c r="W44"/>
      <c r="X44" t="s">
        <v>2142</v>
      </c>
      <c r="Y44" t="s">
        <v>2143</v>
      </c>
      <c r="Z44" t="s">
        <v>2549</v>
      </c>
      <c r="AA44" t="s">
        <v>874</v>
      </c>
      <c r="AB44">
        <v>3209836325</v>
      </c>
      <c r="AC44"/>
      <c r="AD44">
        <v>3209836345</v>
      </c>
      <c r="AE44" t="s">
        <v>2144</v>
      </c>
      <c r="AF44" t="s">
        <v>2550</v>
      </c>
      <c r="AG44"/>
      <c r="AH44" t="s">
        <v>870</v>
      </c>
      <c r="AI44" t="s">
        <v>871</v>
      </c>
      <c r="AJ44" t="s">
        <v>54</v>
      </c>
      <c r="AK44" t="s">
        <v>2546</v>
      </c>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t="s">
        <v>875</v>
      </c>
      <c r="CG44" t="s">
        <v>876</v>
      </c>
      <c r="CH44"/>
      <c r="CI44"/>
      <c r="CJ44"/>
      <c r="CK44"/>
      <c r="CL44"/>
      <c r="CM44"/>
      <c r="CN44">
        <v>250</v>
      </c>
      <c r="CO44">
        <v>255</v>
      </c>
      <c r="CP44"/>
      <c r="CQ44"/>
      <c r="CR44"/>
      <c r="CS44" t="s">
        <v>2397</v>
      </c>
      <c r="CT44">
        <v>12</v>
      </c>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s="569">
        <v>142</v>
      </c>
      <c r="ET44" t="s">
        <v>1814</v>
      </c>
      <c r="EU44" t="s">
        <v>1251</v>
      </c>
      <c r="EV44" t="s">
        <v>2270</v>
      </c>
      <c r="EW44" t="s">
        <v>54</v>
      </c>
      <c r="EX44" s="599">
        <v>56401</v>
      </c>
      <c r="EY44">
        <v>1568415974</v>
      </c>
    </row>
    <row r="45" spans="1:155" s="561" customFormat="1" x14ac:dyDescent="0.2">
      <c r="A45" s="598">
        <v>865</v>
      </c>
      <c r="B45" t="s">
        <v>2553</v>
      </c>
      <c r="C45" t="s">
        <v>870</v>
      </c>
      <c r="D45" t="s">
        <v>2545</v>
      </c>
      <c r="E45"/>
      <c r="F45" t="s">
        <v>871</v>
      </c>
      <c r="G45" t="s">
        <v>54</v>
      </c>
      <c r="H45" t="s">
        <v>2546</v>
      </c>
      <c r="I45"/>
      <c r="J45" t="s">
        <v>872</v>
      </c>
      <c r="K45"/>
      <c r="L45" t="s">
        <v>870</v>
      </c>
      <c r="M45" t="s">
        <v>871</v>
      </c>
      <c r="N45" t="s">
        <v>54</v>
      </c>
      <c r="O45" t="s">
        <v>2546</v>
      </c>
      <c r="P45"/>
      <c r="Q45">
        <v>3209836300</v>
      </c>
      <c r="R45">
        <v>3209836345</v>
      </c>
      <c r="S45" t="s">
        <v>1571</v>
      </c>
      <c r="T45" t="s">
        <v>2547</v>
      </c>
      <c r="U45" t="s">
        <v>873</v>
      </c>
      <c r="V45" t="s">
        <v>2548</v>
      </c>
      <c r="W45"/>
      <c r="X45" t="s">
        <v>2142</v>
      </c>
      <c r="Y45" t="s">
        <v>2143</v>
      </c>
      <c r="Z45" t="s">
        <v>2549</v>
      </c>
      <c r="AA45" t="s">
        <v>874</v>
      </c>
      <c r="AB45">
        <v>3209836325</v>
      </c>
      <c r="AC45"/>
      <c r="AD45">
        <v>3209836345</v>
      </c>
      <c r="AE45" t="s">
        <v>2144</v>
      </c>
      <c r="AF45" t="s">
        <v>2550</v>
      </c>
      <c r="AG45"/>
      <c r="AH45" t="s">
        <v>870</v>
      </c>
      <c r="AI45" t="s">
        <v>871</v>
      </c>
      <c r="AJ45" t="s">
        <v>54</v>
      </c>
      <c r="AK45" t="s">
        <v>2546</v>
      </c>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t="s">
        <v>875</v>
      </c>
      <c r="CG45" t="s">
        <v>876</v>
      </c>
      <c r="CH45"/>
      <c r="CI45"/>
      <c r="CJ45"/>
      <c r="CK45"/>
      <c r="CL45"/>
      <c r="CM45"/>
      <c r="CN45">
        <v>250</v>
      </c>
      <c r="CO45">
        <v>255</v>
      </c>
      <c r="CP45"/>
      <c r="CQ45"/>
      <c r="CR45"/>
      <c r="CS45" t="s">
        <v>2397</v>
      </c>
      <c r="CT45">
        <v>12</v>
      </c>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s="569">
        <v>958</v>
      </c>
      <c r="ET45" t="s">
        <v>1025</v>
      </c>
      <c r="EU45" t="s">
        <v>1026</v>
      </c>
      <c r="EV45" t="s">
        <v>2977</v>
      </c>
      <c r="EW45" t="s">
        <v>54</v>
      </c>
      <c r="EX45" s="600">
        <v>56520</v>
      </c>
      <c r="EY45"/>
    </row>
    <row r="46" spans="1:155" s="561" customFormat="1" x14ac:dyDescent="0.2">
      <c r="A46" s="598">
        <v>864</v>
      </c>
      <c r="B46" t="s">
        <v>2554</v>
      </c>
      <c r="C46" t="s">
        <v>870</v>
      </c>
      <c r="D46" t="s">
        <v>2545</v>
      </c>
      <c r="E46"/>
      <c r="F46" t="s">
        <v>871</v>
      </c>
      <c r="G46" t="s">
        <v>54</v>
      </c>
      <c r="H46" t="s">
        <v>2546</v>
      </c>
      <c r="I46"/>
      <c r="J46" t="s">
        <v>872</v>
      </c>
      <c r="K46"/>
      <c r="L46" t="s">
        <v>870</v>
      </c>
      <c r="M46" t="s">
        <v>871</v>
      </c>
      <c r="N46" t="s">
        <v>54</v>
      </c>
      <c r="O46" t="s">
        <v>2546</v>
      </c>
      <c r="P46"/>
      <c r="Q46">
        <v>3209836300</v>
      </c>
      <c r="R46">
        <v>3209836345</v>
      </c>
      <c r="S46" t="s">
        <v>1571</v>
      </c>
      <c r="T46" t="s">
        <v>2547</v>
      </c>
      <c r="U46" t="s">
        <v>873</v>
      </c>
      <c r="V46" t="s">
        <v>2548</v>
      </c>
      <c r="W46"/>
      <c r="X46" t="s">
        <v>2142</v>
      </c>
      <c r="Y46" t="s">
        <v>2143</v>
      </c>
      <c r="Z46" t="s">
        <v>2549</v>
      </c>
      <c r="AA46" t="s">
        <v>874</v>
      </c>
      <c r="AB46">
        <v>3209836325</v>
      </c>
      <c r="AC46"/>
      <c r="AD46">
        <v>3209836345</v>
      </c>
      <c r="AE46" t="s">
        <v>2144</v>
      </c>
      <c r="AF46" t="s">
        <v>2550</v>
      </c>
      <c r="AG46"/>
      <c r="AH46" t="s">
        <v>870</v>
      </c>
      <c r="AI46" t="s">
        <v>871</v>
      </c>
      <c r="AJ46" t="s">
        <v>54</v>
      </c>
      <c r="AK46" t="s">
        <v>2546</v>
      </c>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t="s">
        <v>875</v>
      </c>
      <c r="CG46" t="s">
        <v>876</v>
      </c>
      <c r="CH46"/>
      <c r="CI46"/>
      <c r="CJ46"/>
      <c r="CK46"/>
      <c r="CL46"/>
      <c r="CM46"/>
      <c r="CN46">
        <v>250</v>
      </c>
      <c r="CO46">
        <v>255</v>
      </c>
      <c r="CP46"/>
      <c r="CQ46"/>
      <c r="CR46"/>
      <c r="CS46" t="s">
        <v>2397</v>
      </c>
      <c r="CT46">
        <v>12</v>
      </c>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s="569">
        <v>134</v>
      </c>
      <c r="ET46" t="s">
        <v>1815</v>
      </c>
      <c r="EU46" t="s">
        <v>1026</v>
      </c>
      <c r="EV46" t="s">
        <v>1027</v>
      </c>
      <c r="EW46" t="s">
        <v>54</v>
      </c>
      <c r="EX46" s="599">
        <v>56520</v>
      </c>
      <c r="EY46">
        <v>1639162381</v>
      </c>
    </row>
    <row r="47" spans="1:155" s="561" customFormat="1" x14ac:dyDescent="0.2">
      <c r="A47" s="598">
        <v>993</v>
      </c>
      <c r="B47" t="s">
        <v>877</v>
      </c>
      <c r="C47" t="s">
        <v>878</v>
      </c>
      <c r="D47" t="s">
        <v>1803</v>
      </c>
      <c r="E47"/>
      <c r="F47" t="s">
        <v>879</v>
      </c>
      <c r="G47" t="s">
        <v>54</v>
      </c>
      <c r="H47" t="s">
        <v>2555</v>
      </c>
      <c r="I47"/>
      <c r="J47" t="s">
        <v>872</v>
      </c>
      <c r="K47"/>
      <c r="L47" t="s">
        <v>870</v>
      </c>
      <c r="M47" t="s">
        <v>871</v>
      </c>
      <c r="N47" t="s">
        <v>54</v>
      </c>
      <c r="O47" t="s">
        <v>2546</v>
      </c>
      <c r="P47"/>
      <c r="Q47">
        <v>3209836300</v>
      </c>
      <c r="R47">
        <v>3209836345</v>
      </c>
      <c r="S47" t="s">
        <v>1571</v>
      </c>
      <c r="T47" t="s">
        <v>2547</v>
      </c>
      <c r="U47" t="s">
        <v>873</v>
      </c>
      <c r="V47" t="s">
        <v>2548</v>
      </c>
      <c r="W47"/>
      <c r="X47" t="s">
        <v>2142</v>
      </c>
      <c r="Y47" t="s">
        <v>2143</v>
      </c>
      <c r="Z47" t="s">
        <v>2549</v>
      </c>
      <c r="AA47" t="s">
        <v>874</v>
      </c>
      <c r="AB47">
        <v>3209836325</v>
      </c>
      <c r="AC47"/>
      <c r="AD47">
        <v>3209836345</v>
      </c>
      <c r="AE47" t="s">
        <v>2144</v>
      </c>
      <c r="AF47" t="s">
        <v>2550</v>
      </c>
      <c r="AG47"/>
      <c r="AH47" t="s">
        <v>870</v>
      </c>
      <c r="AI47" t="s">
        <v>871</v>
      </c>
      <c r="AJ47" t="s">
        <v>54</v>
      </c>
      <c r="AK47" t="s">
        <v>2546</v>
      </c>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t="s">
        <v>875</v>
      </c>
      <c r="CG47" t="s">
        <v>876</v>
      </c>
      <c r="CH47"/>
      <c r="CI47"/>
      <c r="CJ47"/>
      <c r="CK47"/>
      <c r="CL47"/>
      <c r="CM47"/>
      <c r="CN47">
        <v>250</v>
      </c>
      <c r="CO47">
        <v>255</v>
      </c>
      <c r="CP47"/>
      <c r="CQ47"/>
      <c r="CR47"/>
      <c r="CS47" t="s">
        <v>2397</v>
      </c>
      <c r="CT47">
        <v>12</v>
      </c>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s="569">
        <v>1019</v>
      </c>
      <c r="ET47" t="s">
        <v>1177</v>
      </c>
      <c r="EU47" t="s">
        <v>1178</v>
      </c>
      <c r="EV47" t="s">
        <v>2978</v>
      </c>
      <c r="EW47" t="s">
        <v>54</v>
      </c>
      <c r="EX47" s="600">
        <v>55430</v>
      </c>
      <c r="EY47">
        <v>1336580018</v>
      </c>
    </row>
    <row r="48" spans="1:155" s="561" customFormat="1" x14ac:dyDescent="0.2">
      <c r="A48" s="598">
        <v>832</v>
      </c>
      <c r="B48" t="s">
        <v>880</v>
      </c>
      <c r="C48" t="s">
        <v>881</v>
      </c>
      <c r="D48" t="s">
        <v>882</v>
      </c>
      <c r="E48"/>
      <c r="F48" t="s">
        <v>883</v>
      </c>
      <c r="G48" t="s">
        <v>54</v>
      </c>
      <c r="H48" t="s">
        <v>2556</v>
      </c>
      <c r="I48"/>
      <c r="J48" t="s">
        <v>872</v>
      </c>
      <c r="K48"/>
      <c r="L48" t="s">
        <v>870</v>
      </c>
      <c r="M48" t="s">
        <v>871</v>
      </c>
      <c r="N48" t="s">
        <v>54</v>
      </c>
      <c r="O48" t="s">
        <v>2546</v>
      </c>
      <c r="P48"/>
      <c r="Q48">
        <v>3209836300</v>
      </c>
      <c r="R48">
        <v>3209836345</v>
      </c>
      <c r="S48" t="s">
        <v>1571</v>
      </c>
      <c r="T48" t="s">
        <v>2547</v>
      </c>
      <c r="U48" t="s">
        <v>873</v>
      </c>
      <c r="V48" t="s">
        <v>2548</v>
      </c>
      <c r="W48"/>
      <c r="X48" t="s">
        <v>2142</v>
      </c>
      <c r="Y48" t="s">
        <v>2143</v>
      </c>
      <c r="Z48" t="s">
        <v>2549</v>
      </c>
      <c r="AA48" t="s">
        <v>874</v>
      </c>
      <c r="AB48">
        <v>3209836325</v>
      </c>
      <c r="AC48"/>
      <c r="AD48">
        <v>3209836345</v>
      </c>
      <c r="AE48" t="s">
        <v>2144</v>
      </c>
      <c r="AF48" t="s">
        <v>2550</v>
      </c>
      <c r="AG48"/>
      <c r="AH48" t="s">
        <v>870</v>
      </c>
      <c r="AI48" t="s">
        <v>871</v>
      </c>
      <c r="AJ48" t="s">
        <v>54</v>
      </c>
      <c r="AK48" t="s">
        <v>2546</v>
      </c>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t="s">
        <v>875</v>
      </c>
      <c r="CG48" t="s">
        <v>876</v>
      </c>
      <c r="CH48"/>
      <c r="CI48"/>
      <c r="CJ48"/>
      <c r="CK48"/>
      <c r="CL48"/>
      <c r="CM48"/>
      <c r="CN48">
        <v>250</v>
      </c>
      <c r="CO48">
        <v>255</v>
      </c>
      <c r="CP48"/>
      <c r="CQ48"/>
      <c r="CR48"/>
      <c r="CS48" t="s">
        <v>2397</v>
      </c>
      <c r="CT48">
        <v>12</v>
      </c>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s="569">
        <v>558</v>
      </c>
      <c r="ET48" t="s">
        <v>1407</v>
      </c>
      <c r="EU48" t="s">
        <v>1464</v>
      </c>
      <c r="EV48" t="s">
        <v>2979</v>
      </c>
      <c r="EW48" t="s">
        <v>54</v>
      </c>
      <c r="EX48" s="600">
        <v>55443</v>
      </c>
      <c r="EY48">
        <v>1073819918</v>
      </c>
    </row>
    <row r="49" spans="1:155" s="561" customFormat="1" x14ac:dyDescent="0.2">
      <c r="A49" s="598">
        <v>844</v>
      </c>
      <c r="B49" t="s">
        <v>884</v>
      </c>
      <c r="C49" t="s">
        <v>885</v>
      </c>
      <c r="D49" t="s">
        <v>886</v>
      </c>
      <c r="E49"/>
      <c r="F49" t="s">
        <v>887</v>
      </c>
      <c r="G49" t="s">
        <v>54</v>
      </c>
      <c r="H49" t="s">
        <v>2557</v>
      </c>
      <c r="I49"/>
      <c r="J49" t="s">
        <v>872</v>
      </c>
      <c r="K49"/>
      <c r="L49" t="s">
        <v>870</v>
      </c>
      <c r="M49" t="s">
        <v>871</v>
      </c>
      <c r="N49" t="s">
        <v>54</v>
      </c>
      <c r="O49" t="s">
        <v>2546</v>
      </c>
      <c r="P49"/>
      <c r="Q49">
        <v>3209836300</v>
      </c>
      <c r="R49">
        <v>3209836345</v>
      </c>
      <c r="S49" t="s">
        <v>1571</v>
      </c>
      <c r="T49" t="s">
        <v>2547</v>
      </c>
      <c r="U49" t="s">
        <v>873</v>
      </c>
      <c r="V49" t="s">
        <v>2548</v>
      </c>
      <c r="W49"/>
      <c r="X49" t="s">
        <v>2142</v>
      </c>
      <c r="Y49" t="s">
        <v>2143</v>
      </c>
      <c r="Z49" t="s">
        <v>2549</v>
      </c>
      <c r="AA49" t="s">
        <v>874</v>
      </c>
      <c r="AB49">
        <v>3209836325</v>
      </c>
      <c r="AC49"/>
      <c r="AD49">
        <v>3209836345</v>
      </c>
      <c r="AE49" t="s">
        <v>2144</v>
      </c>
      <c r="AF49" t="s">
        <v>2550</v>
      </c>
      <c r="AG49"/>
      <c r="AH49" t="s">
        <v>870</v>
      </c>
      <c r="AI49" t="s">
        <v>871</v>
      </c>
      <c r="AJ49" t="s">
        <v>54</v>
      </c>
      <c r="AK49" t="s">
        <v>2546</v>
      </c>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t="s">
        <v>875</v>
      </c>
      <c r="CG49" t="s">
        <v>876</v>
      </c>
      <c r="CH49"/>
      <c r="CI49"/>
      <c r="CJ49"/>
      <c r="CK49"/>
      <c r="CL49"/>
      <c r="CM49"/>
      <c r="CN49">
        <v>250</v>
      </c>
      <c r="CO49">
        <v>255</v>
      </c>
      <c r="CP49"/>
      <c r="CQ49"/>
      <c r="CR49"/>
      <c r="CS49" t="s">
        <v>2397</v>
      </c>
      <c r="CT49">
        <v>12</v>
      </c>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s="569">
        <v>259</v>
      </c>
      <c r="ET49" t="s">
        <v>1816</v>
      </c>
      <c r="EU49" t="s">
        <v>1464</v>
      </c>
      <c r="EV49" t="s">
        <v>2271</v>
      </c>
      <c r="EW49" t="s">
        <v>54</v>
      </c>
      <c r="EX49" s="599">
        <v>55443</v>
      </c>
      <c r="EY49">
        <v>1215182928</v>
      </c>
    </row>
    <row r="50" spans="1:155" s="561" customFormat="1" x14ac:dyDescent="0.2">
      <c r="A50" s="598">
        <v>846</v>
      </c>
      <c r="B50" t="s">
        <v>888</v>
      </c>
      <c r="C50" t="s">
        <v>889</v>
      </c>
      <c r="D50" t="s">
        <v>890</v>
      </c>
      <c r="E50"/>
      <c r="F50" t="s">
        <v>846</v>
      </c>
      <c r="G50" t="s">
        <v>54</v>
      </c>
      <c r="H50" t="s">
        <v>2558</v>
      </c>
      <c r="I50"/>
      <c r="J50" t="s">
        <v>872</v>
      </c>
      <c r="K50"/>
      <c r="L50" t="s">
        <v>870</v>
      </c>
      <c r="M50" t="s">
        <v>871</v>
      </c>
      <c r="N50" t="s">
        <v>54</v>
      </c>
      <c r="O50" t="s">
        <v>2546</v>
      </c>
      <c r="P50"/>
      <c r="Q50">
        <v>3209836300</v>
      </c>
      <c r="R50">
        <v>3209836345</v>
      </c>
      <c r="S50" t="s">
        <v>1571</v>
      </c>
      <c r="T50" t="s">
        <v>2547</v>
      </c>
      <c r="U50" t="s">
        <v>873</v>
      </c>
      <c r="V50" t="s">
        <v>2548</v>
      </c>
      <c r="W50"/>
      <c r="X50" t="s">
        <v>2142</v>
      </c>
      <c r="Y50" t="s">
        <v>2143</v>
      </c>
      <c r="Z50" t="s">
        <v>2549</v>
      </c>
      <c r="AA50" t="s">
        <v>874</v>
      </c>
      <c r="AB50">
        <v>3209836325</v>
      </c>
      <c r="AC50"/>
      <c r="AD50">
        <v>3209836345</v>
      </c>
      <c r="AE50" t="s">
        <v>2144</v>
      </c>
      <c r="AF50" t="s">
        <v>2550</v>
      </c>
      <c r="AG50"/>
      <c r="AH50" t="s">
        <v>870</v>
      </c>
      <c r="AI50" t="s">
        <v>871</v>
      </c>
      <c r="AJ50" t="s">
        <v>54</v>
      </c>
      <c r="AK50" t="s">
        <v>2546</v>
      </c>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t="s">
        <v>875</v>
      </c>
      <c r="CG50" t="s">
        <v>876</v>
      </c>
      <c r="CH50"/>
      <c r="CI50"/>
      <c r="CJ50"/>
      <c r="CK50"/>
      <c r="CL50"/>
      <c r="CM50"/>
      <c r="CN50">
        <v>250</v>
      </c>
      <c r="CO50">
        <v>255</v>
      </c>
      <c r="CP50"/>
      <c r="CQ50"/>
      <c r="CR50"/>
      <c r="CS50" t="s">
        <v>2397</v>
      </c>
      <c r="CT50">
        <v>12</v>
      </c>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s="569">
        <v>11</v>
      </c>
      <c r="ET50" t="s">
        <v>1817</v>
      </c>
      <c r="EU50" t="s">
        <v>1818</v>
      </c>
      <c r="EV50" t="s">
        <v>2272</v>
      </c>
      <c r="EW50" t="s">
        <v>54</v>
      </c>
      <c r="EX50" s="599">
        <v>55313</v>
      </c>
      <c r="EY50">
        <v>1538123567</v>
      </c>
    </row>
    <row r="51" spans="1:155" s="561" customFormat="1" x14ac:dyDescent="0.2">
      <c r="A51" s="598">
        <v>848</v>
      </c>
      <c r="B51" t="s">
        <v>891</v>
      </c>
      <c r="C51" t="s">
        <v>892</v>
      </c>
      <c r="D51" t="s">
        <v>893</v>
      </c>
      <c r="E51"/>
      <c r="F51" t="s">
        <v>894</v>
      </c>
      <c r="G51" t="s">
        <v>54</v>
      </c>
      <c r="H51" t="s">
        <v>2559</v>
      </c>
      <c r="I51"/>
      <c r="J51" t="s">
        <v>872</v>
      </c>
      <c r="K51"/>
      <c r="L51" t="s">
        <v>870</v>
      </c>
      <c r="M51" t="s">
        <v>871</v>
      </c>
      <c r="N51" t="s">
        <v>54</v>
      </c>
      <c r="O51" t="s">
        <v>2546</v>
      </c>
      <c r="P51"/>
      <c r="Q51">
        <v>3209836300</v>
      </c>
      <c r="R51">
        <v>3209836345</v>
      </c>
      <c r="S51" t="s">
        <v>1571</v>
      </c>
      <c r="T51" t="s">
        <v>2547</v>
      </c>
      <c r="U51" t="s">
        <v>873</v>
      </c>
      <c r="V51" t="s">
        <v>2548</v>
      </c>
      <c r="W51"/>
      <c r="X51" t="s">
        <v>2142</v>
      </c>
      <c r="Y51" t="s">
        <v>2143</v>
      </c>
      <c r="Z51" t="s">
        <v>2549</v>
      </c>
      <c r="AA51" t="s">
        <v>874</v>
      </c>
      <c r="AB51">
        <v>3209836325</v>
      </c>
      <c r="AC51"/>
      <c r="AD51">
        <v>3209836345</v>
      </c>
      <c r="AE51" t="s">
        <v>2144</v>
      </c>
      <c r="AF51" t="s">
        <v>2550</v>
      </c>
      <c r="AG51"/>
      <c r="AH51" t="s">
        <v>870</v>
      </c>
      <c r="AI51" t="s">
        <v>871</v>
      </c>
      <c r="AJ51" t="s">
        <v>54</v>
      </c>
      <c r="AK51" t="s">
        <v>2546</v>
      </c>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t="s">
        <v>875</v>
      </c>
      <c r="CG51" t="s">
        <v>876</v>
      </c>
      <c r="CH51"/>
      <c r="CI51"/>
      <c r="CJ51"/>
      <c r="CK51"/>
      <c r="CL51"/>
      <c r="CM51"/>
      <c r="CN51">
        <v>250</v>
      </c>
      <c r="CO51">
        <v>255</v>
      </c>
      <c r="CP51"/>
      <c r="CQ51"/>
      <c r="CR51"/>
      <c r="CS51" t="s">
        <v>2397</v>
      </c>
      <c r="CT51">
        <v>12</v>
      </c>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s="569">
        <v>1396</v>
      </c>
      <c r="ET51" t="s">
        <v>2766</v>
      </c>
      <c r="EU51" t="s">
        <v>2767</v>
      </c>
      <c r="EV51" t="s">
        <v>2980</v>
      </c>
      <c r="EW51" t="s">
        <v>2111</v>
      </c>
      <c r="EX51" s="600">
        <v>60089</v>
      </c>
      <c r="EY51"/>
    </row>
    <row r="52" spans="1:155" s="561" customFormat="1" x14ac:dyDescent="0.2">
      <c r="A52" s="598">
        <v>937</v>
      </c>
      <c r="B52" t="s">
        <v>895</v>
      </c>
      <c r="C52" t="s">
        <v>896</v>
      </c>
      <c r="D52" t="s">
        <v>897</v>
      </c>
      <c r="E52"/>
      <c r="F52" t="s">
        <v>846</v>
      </c>
      <c r="G52" t="s">
        <v>54</v>
      </c>
      <c r="H52" t="s">
        <v>2560</v>
      </c>
      <c r="I52"/>
      <c r="J52" t="s">
        <v>872</v>
      </c>
      <c r="K52"/>
      <c r="L52" t="s">
        <v>870</v>
      </c>
      <c r="M52" t="s">
        <v>871</v>
      </c>
      <c r="N52" t="s">
        <v>54</v>
      </c>
      <c r="O52" t="s">
        <v>2546</v>
      </c>
      <c r="P52"/>
      <c r="Q52">
        <v>3209836300</v>
      </c>
      <c r="R52">
        <v>3209836345</v>
      </c>
      <c r="S52" t="s">
        <v>1571</v>
      </c>
      <c r="T52" t="s">
        <v>2547</v>
      </c>
      <c r="U52" t="s">
        <v>873</v>
      </c>
      <c r="V52" t="s">
        <v>2548</v>
      </c>
      <c r="W52"/>
      <c r="X52" t="s">
        <v>2142</v>
      </c>
      <c r="Y52" t="s">
        <v>2143</v>
      </c>
      <c r="Z52" t="s">
        <v>2549</v>
      </c>
      <c r="AA52" t="s">
        <v>874</v>
      </c>
      <c r="AB52">
        <v>3209836325</v>
      </c>
      <c r="AC52"/>
      <c r="AD52">
        <v>3209836345</v>
      </c>
      <c r="AE52" t="s">
        <v>2144</v>
      </c>
      <c r="AF52" t="s">
        <v>2550</v>
      </c>
      <c r="AG52"/>
      <c r="AH52" t="s">
        <v>870</v>
      </c>
      <c r="AI52" t="s">
        <v>871</v>
      </c>
      <c r="AJ52" t="s">
        <v>54</v>
      </c>
      <c r="AK52" t="s">
        <v>2546</v>
      </c>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t="s">
        <v>875</v>
      </c>
      <c r="CG52" t="s">
        <v>876</v>
      </c>
      <c r="CH52"/>
      <c r="CI52"/>
      <c r="CJ52"/>
      <c r="CK52"/>
      <c r="CL52"/>
      <c r="CM52"/>
      <c r="CN52">
        <v>250</v>
      </c>
      <c r="CO52">
        <v>255</v>
      </c>
      <c r="CP52"/>
      <c r="CQ52"/>
      <c r="CR52"/>
      <c r="CS52" t="s">
        <v>2397</v>
      </c>
      <c r="CT52">
        <v>12</v>
      </c>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s="569">
        <v>511</v>
      </c>
      <c r="ET52" t="s">
        <v>818</v>
      </c>
      <c r="EU52" t="s">
        <v>819</v>
      </c>
      <c r="EV52" t="s">
        <v>2981</v>
      </c>
      <c r="EW52" t="s">
        <v>54</v>
      </c>
      <c r="EX52" s="600">
        <v>55337</v>
      </c>
      <c r="EY52">
        <v>1659348092</v>
      </c>
    </row>
    <row r="53" spans="1:155" s="561" customFormat="1" x14ac:dyDescent="0.2">
      <c r="A53" s="598">
        <v>857</v>
      </c>
      <c r="B53" t="s">
        <v>898</v>
      </c>
      <c r="C53" t="s">
        <v>899</v>
      </c>
      <c r="D53" t="s">
        <v>900</v>
      </c>
      <c r="E53"/>
      <c r="F53" t="s">
        <v>846</v>
      </c>
      <c r="G53" t="s">
        <v>54</v>
      </c>
      <c r="H53" t="s">
        <v>2561</v>
      </c>
      <c r="I53"/>
      <c r="J53" t="s">
        <v>872</v>
      </c>
      <c r="K53"/>
      <c r="L53" t="s">
        <v>870</v>
      </c>
      <c r="M53" t="s">
        <v>871</v>
      </c>
      <c r="N53" t="s">
        <v>54</v>
      </c>
      <c r="O53" t="s">
        <v>2546</v>
      </c>
      <c r="P53"/>
      <c r="Q53">
        <v>3209836300</v>
      </c>
      <c r="R53">
        <v>3209836345</v>
      </c>
      <c r="S53" t="s">
        <v>1571</v>
      </c>
      <c r="T53" t="s">
        <v>2547</v>
      </c>
      <c r="U53" t="s">
        <v>873</v>
      </c>
      <c r="V53" t="s">
        <v>2548</v>
      </c>
      <c r="W53"/>
      <c r="X53" t="s">
        <v>2142</v>
      </c>
      <c r="Y53" t="s">
        <v>2143</v>
      </c>
      <c r="Z53" t="s">
        <v>2549</v>
      </c>
      <c r="AA53" t="s">
        <v>874</v>
      </c>
      <c r="AB53">
        <v>3209836325</v>
      </c>
      <c r="AC53"/>
      <c r="AD53">
        <v>3209836345</v>
      </c>
      <c r="AE53" t="s">
        <v>2144</v>
      </c>
      <c r="AF53" t="s">
        <v>2550</v>
      </c>
      <c r="AG53"/>
      <c r="AH53" t="s">
        <v>870</v>
      </c>
      <c r="AI53" t="s">
        <v>871</v>
      </c>
      <c r="AJ53" t="s">
        <v>54</v>
      </c>
      <c r="AK53" t="s">
        <v>2546</v>
      </c>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t="s">
        <v>875</v>
      </c>
      <c r="CG53" t="s">
        <v>876</v>
      </c>
      <c r="CH53"/>
      <c r="CI53"/>
      <c r="CJ53"/>
      <c r="CK53"/>
      <c r="CL53"/>
      <c r="CM53"/>
      <c r="CN53">
        <v>250</v>
      </c>
      <c r="CO53">
        <v>255</v>
      </c>
      <c r="CP53"/>
      <c r="CQ53"/>
      <c r="CR53"/>
      <c r="CS53" t="s">
        <v>2397</v>
      </c>
      <c r="CT53">
        <v>12</v>
      </c>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s="569">
        <v>42</v>
      </c>
      <c r="ET53" t="s">
        <v>1819</v>
      </c>
      <c r="EU53" t="s">
        <v>819</v>
      </c>
      <c r="EV53" t="s">
        <v>2273</v>
      </c>
      <c r="EW53" t="s">
        <v>54</v>
      </c>
      <c r="EX53" s="599">
        <v>55337</v>
      </c>
      <c r="EY53">
        <v>1245217520</v>
      </c>
    </row>
    <row r="54" spans="1:155" s="561" customFormat="1" x14ac:dyDescent="0.2">
      <c r="A54" s="598">
        <v>1135</v>
      </c>
      <c r="B54" t="s">
        <v>901</v>
      </c>
      <c r="C54" t="s">
        <v>902</v>
      </c>
      <c r="D54" t="s">
        <v>903</v>
      </c>
      <c r="E54"/>
      <c r="F54" t="s">
        <v>2031</v>
      </c>
      <c r="G54" t="s">
        <v>54</v>
      </c>
      <c r="H54" t="s">
        <v>2562</v>
      </c>
      <c r="I54"/>
      <c r="J54" t="s">
        <v>872</v>
      </c>
      <c r="K54"/>
      <c r="L54" t="s">
        <v>870</v>
      </c>
      <c r="M54" t="s">
        <v>871</v>
      </c>
      <c r="N54" t="s">
        <v>54</v>
      </c>
      <c r="O54" t="s">
        <v>2546</v>
      </c>
      <c r="P54"/>
      <c r="Q54">
        <v>3209836300</v>
      </c>
      <c r="R54">
        <v>3209836345</v>
      </c>
      <c r="S54" t="s">
        <v>1571</v>
      </c>
      <c r="T54" t="s">
        <v>2547</v>
      </c>
      <c r="U54" t="s">
        <v>873</v>
      </c>
      <c r="V54" t="s">
        <v>2548</v>
      </c>
      <c r="W54"/>
      <c r="X54" t="s">
        <v>2142</v>
      </c>
      <c r="Y54" t="s">
        <v>2143</v>
      </c>
      <c r="Z54" t="s">
        <v>2549</v>
      </c>
      <c r="AA54" t="s">
        <v>874</v>
      </c>
      <c r="AB54">
        <v>3209836325</v>
      </c>
      <c r="AC54"/>
      <c r="AD54">
        <v>3209836345</v>
      </c>
      <c r="AE54" t="s">
        <v>2144</v>
      </c>
      <c r="AF54" t="s">
        <v>2550</v>
      </c>
      <c r="AG54"/>
      <c r="AH54" t="s">
        <v>870</v>
      </c>
      <c r="AI54" t="s">
        <v>871</v>
      </c>
      <c r="AJ54" t="s">
        <v>54</v>
      </c>
      <c r="AK54" t="s">
        <v>2546</v>
      </c>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t="s">
        <v>875</v>
      </c>
      <c r="CG54" t="s">
        <v>876</v>
      </c>
      <c r="CH54"/>
      <c r="CI54"/>
      <c r="CJ54"/>
      <c r="CK54"/>
      <c r="CL54"/>
      <c r="CM54"/>
      <c r="CN54">
        <v>250</v>
      </c>
      <c r="CO54">
        <v>255</v>
      </c>
      <c r="CP54"/>
      <c r="CQ54"/>
      <c r="CR54"/>
      <c r="CS54" t="s">
        <v>2397</v>
      </c>
      <c r="CT54">
        <v>12</v>
      </c>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s="569">
        <v>880</v>
      </c>
      <c r="ET54" t="s">
        <v>1352</v>
      </c>
      <c r="EU54" t="s">
        <v>819</v>
      </c>
      <c r="EV54" t="s">
        <v>2982</v>
      </c>
      <c r="EW54" t="s">
        <v>54</v>
      </c>
      <c r="EX54" s="600">
        <v>55337</v>
      </c>
      <c r="EY54">
        <v>1902836133</v>
      </c>
    </row>
    <row r="55" spans="1:155" s="561" customFormat="1" x14ac:dyDescent="0.2">
      <c r="A55" s="598">
        <v>834</v>
      </c>
      <c r="B55" t="s">
        <v>904</v>
      </c>
      <c r="C55" t="s">
        <v>905</v>
      </c>
      <c r="D55" t="s">
        <v>906</v>
      </c>
      <c r="E55"/>
      <c r="F55" t="s">
        <v>907</v>
      </c>
      <c r="G55" t="s">
        <v>54</v>
      </c>
      <c r="H55" t="s">
        <v>2563</v>
      </c>
      <c r="I55"/>
      <c r="J55" t="s">
        <v>872</v>
      </c>
      <c r="K55"/>
      <c r="L55" t="s">
        <v>870</v>
      </c>
      <c r="M55" t="s">
        <v>871</v>
      </c>
      <c r="N55" t="s">
        <v>54</v>
      </c>
      <c r="O55" t="s">
        <v>2546</v>
      </c>
      <c r="P55"/>
      <c r="Q55">
        <v>3209836300</v>
      </c>
      <c r="R55">
        <v>3209836345</v>
      </c>
      <c r="S55" t="s">
        <v>1571</v>
      </c>
      <c r="T55" t="s">
        <v>2547</v>
      </c>
      <c r="U55" t="s">
        <v>873</v>
      </c>
      <c r="V55" t="s">
        <v>2548</v>
      </c>
      <c r="W55"/>
      <c r="X55" t="s">
        <v>2142</v>
      </c>
      <c r="Y55" t="s">
        <v>2143</v>
      </c>
      <c r="Z55" t="s">
        <v>2549</v>
      </c>
      <c r="AA55" t="s">
        <v>874</v>
      </c>
      <c r="AB55">
        <v>3209836325</v>
      </c>
      <c r="AC55"/>
      <c r="AD55">
        <v>3209836345</v>
      </c>
      <c r="AE55" t="s">
        <v>2144</v>
      </c>
      <c r="AF55" t="s">
        <v>2550</v>
      </c>
      <c r="AG55"/>
      <c r="AH55" t="s">
        <v>870</v>
      </c>
      <c r="AI55" t="s">
        <v>871</v>
      </c>
      <c r="AJ55" t="s">
        <v>54</v>
      </c>
      <c r="AK55" t="s">
        <v>2546</v>
      </c>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t="s">
        <v>875</v>
      </c>
      <c r="CG55" t="s">
        <v>876</v>
      </c>
      <c r="CH55"/>
      <c r="CI55"/>
      <c r="CJ55"/>
      <c r="CK55"/>
      <c r="CL55"/>
      <c r="CM55"/>
      <c r="CN55">
        <v>250</v>
      </c>
      <c r="CO55">
        <v>255</v>
      </c>
      <c r="CP55"/>
      <c r="CQ55"/>
      <c r="CR55"/>
      <c r="CS55" t="s">
        <v>2397</v>
      </c>
      <c r="CT55">
        <v>12</v>
      </c>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s="569">
        <v>736</v>
      </c>
      <c r="ET55" t="s">
        <v>1367</v>
      </c>
      <c r="EU55" t="s">
        <v>819</v>
      </c>
      <c r="EV55" t="s">
        <v>2983</v>
      </c>
      <c r="EW55" t="s">
        <v>54</v>
      </c>
      <c r="EX55" s="600">
        <v>55337</v>
      </c>
      <c r="EY55">
        <v>1992739247</v>
      </c>
    </row>
    <row r="56" spans="1:155" s="561" customFormat="1" x14ac:dyDescent="0.2">
      <c r="A56" s="598">
        <v>836</v>
      </c>
      <c r="B56" t="s">
        <v>910</v>
      </c>
      <c r="C56" t="s">
        <v>909</v>
      </c>
      <c r="D56" t="s">
        <v>911</v>
      </c>
      <c r="E56"/>
      <c r="F56" t="s">
        <v>912</v>
      </c>
      <c r="G56" t="s">
        <v>54</v>
      </c>
      <c r="H56" t="s">
        <v>2564</v>
      </c>
      <c r="I56"/>
      <c r="J56" t="s">
        <v>872</v>
      </c>
      <c r="K56"/>
      <c r="L56" t="s">
        <v>870</v>
      </c>
      <c r="M56" t="s">
        <v>871</v>
      </c>
      <c r="N56" t="s">
        <v>54</v>
      </c>
      <c r="O56" t="s">
        <v>2546</v>
      </c>
      <c r="P56"/>
      <c r="Q56">
        <v>3209836300</v>
      </c>
      <c r="R56">
        <v>3209836345</v>
      </c>
      <c r="S56" t="s">
        <v>1571</v>
      </c>
      <c r="T56" t="s">
        <v>2547</v>
      </c>
      <c r="U56" t="s">
        <v>873</v>
      </c>
      <c r="V56" t="s">
        <v>2548</v>
      </c>
      <c r="W56"/>
      <c r="X56" t="s">
        <v>2142</v>
      </c>
      <c r="Y56" t="s">
        <v>2143</v>
      </c>
      <c r="Z56" t="s">
        <v>2549</v>
      </c>
      <c r="AA56" t="s">
        <v>874</v>
      </c>
      <c r="AB56">
        <v>3209836325</v>
      </c>
      <c r="AC56"/>
      <c r="AD56">
        <v>3209836345</v>
      </c>
      <c r="AE56" t="s">
        <v>2144</v>
      </c>
      <c r="AF56" t="s">
        <v>2550</v>
      </c>
      <c r="AG56"/>
      <c r="AH56" t="s">
        <v>870</v>
      </c>
      <c r="AI56" t="s">
        <v>871</v>
      </c>
      <c r="AJ56" t="s">
        <v>54</v>
      </c>
      <c r="AK56" t="s">
        <v>2546</v>
      </c>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t="s">
        <v>875</v>
      </c>
      <c r="CG56" t="s">
        <v>876</v>
      </c>
      <c r="CH56"/>
      <c r="CI56"/>
      <c r="CJ56"/>
      <c r="CK56"/>
      <c r="CL56"/>
      <c r="CM56"/>
      <c r="CN56">
        <v>250</v>
      </c>
      <c r="CO56">
        <v>255</v>
      </c>
      <c r="CP56"/>
      <c r="CQ56"/>
      <c r="CR56"/>
      <c r="CS56" t="s">
        <v>2397</v>
      </c>
      <c r="CT56">
        <v>12</v>
      </c>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s="569">
        <v>515</v>
      </c>
      <c r="ET56" t="s">
        <v>1504</v>
      </c>
      <c r="EU56" t="s">
        <v>819</v>
      </c>
      <c r="EV56" t="s">
        <v>2984</v>
      </c>
      <c r="EW56" t="s">
        <v>54</v>
      </c>
      <c r="EX56" s="600">
        <v>55337</v>
      </c>
      <c r="EY56">
        <v>1780621904</v>
      </c>
    </row>
    <row r="57" spans="1:155" s="561" customFormat="1" x14ac:dyDescent="0.2">
      <c r="A57" s="598">
        <v>835</v>
      </c>
      <c r="B57" t="s">
        <v>913</v>
      </c>
      <c r="C57" t="s">
        <v>914</v>
      </c>
      <c r="D57" t="s">
        <v>915</v>
      </c>
      <c r="E57"/>
      <c r="F57" t="s">
        <v>916</v>
      </c>
      <c r="G57" t="s">
        <v>54</v>
      </c>
      <c r="H57" t="s">
        <v>2565</v>
      </c>
      <c r="I57"/>
      <c r="J57" t="s">
        <v>872</v>
      </c>
      <c r="K57"/>
      <c r="L57" t="s">
        <v>870</v>
      </c>
      <c r="M57" t="s">
        <v>871</v>
      </c>
      <c r="N57" t="s">
        <v>54</v>
      </c>
      <c r="O57" t="s">
        <v>2546</v>
      </c>
      <c r="P57"/>
      <c r="Q57">
        <v>3209836300</v>
      </c>
      <c r="R57">
        <v>3209836345</v>
      </c>
      <c r="S57" t="s">
        <v>1571</v>
      </c>
      <c r="T57" t="s">
        <v>2547</v>
      </c>
      <c r="U57" t="s">
        <v>873</v>
      </c>
      <c r="V57" t="s">
        <v>2548</v>
      </c>
      <c r="W57"/>
      <c r="X57" t="s">
        <v>2142</v>
      </c>
      <c r="Y57" t="s">
        <v>2143</v>
      </c>
      <c r="Z57" t="s">
        <v>2549</v>
      </c>
      <c r="AA57" t="s">
        <v>874</v>
      </c>
      <c r="AB57">
        <v>3209836325</v>
      </c>
      <c r="AC57"/>
      <c r="AD57">
        <v>3209836345</v>
      </c>
      <c r="AE57" t="s">
        <v>2144</v>
      </c>
      <c r="AF57" t="s">
        <v>2550</v>
      </c>
      <c r="AG57"/>
      <c r="AH57" t="s">
        <v>870</v>
      </c>
      <c r="AI57" t="s">
        <v>871</v>
      </c>
      <c r="AJ57" t="s">
        <v>54</v>
      </c>
      <c r="AK57" t="s">
        <v>2546</v>
      </c>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t="s">
        <v>875</v>
      </c>
      <c r="CG57" t="s">
        <v>876</v>
      </c>
      <c r="CH57"/>
      <c r="CI57"/>
      <c r="CJ57"/>
      <c r="CK57"/>
      <c r="CL57"/>
      <c r="CM57"/>
      <c r="CN57">
        <v>250</v>
      </c>
      <c r="CO57">
        <v>255</v>
      </c>
      <c r="CP57"/>
      <c r="CQ57"/>
      <c r="CR57"/>
      <c r="CS57" t="s">
        <v>2397</v>
      </c>
      <c r="CT57">
        <v>12</v>
      </c>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s="569">
        <v>516</v>
      </c>
      <c r="ET57" t="s">
        <v>1707</v>
      </c>
      <c r="EU57" t="s">
        <v>819</v>
      </c>
      <c r="EV57" t="s">
        <v>2985</v>
      </c>
      <c r="EW57" t="s">
        <v>54</v>
      </c>
      <c r="EX57" s="600">
        <v>55337</v>
      </c>
      <c r="EY57">
        <v>1629027594</v>
      </c>
    </row>
    <row r="58" spans="1:155" s="561" customFormat="1" x14ac:dyDescent="0.2">
      <c r="A58" s="598">
        <v>837</v>
      </c>
      <c r="B58" t="s">
        <v>917</v>
      </c>
      <c r="C58" t="s">
        <v>794</v>
      </c>
      <c r="D58" t="s">
        <v>918</v>
      </c>
      <c r="E58"/>
      <c r="F58" t="s">
        <v>883</v>
      </c>
      <c r="G58" t="s">
        <v>54</v>
      </c>
      <c r="H58" t="s">
        <v>2483</v>
      </c>
      <c r="I58"/>
      <c r="J58" t="s">
        <v>872</v>
      </c>
      <c r="K58"/>
      <c r="L58" t="s">
        <v>870</v>
      </c>
      <c r="M58" t="s">
        <v>871</v>
      </c>
      <c r="N58" t="s">
        <v>54</v>
      </c>
      <c r="O58" t="s">
        <v>2546</v>
      </c>
      <c r="P58"/>
      <c r="Q58">
        <v>3209836300</v>
      </c>
      <c r="R58">
        <v>3209836345</v>
      </c>
      <c r="S58" t="s">
        <v>1571</v>
      </c>
      <c r="T58" t="s">
        <v>2547</v>
      </c>
      <c r="U58" t="s">
        <v>873</v>
      </c>
      <c r="V58" t="s">
        <v>2548</v>
      </c>
      <c r="W58"/>
      <c r="X58" t="s">
        <v>2142</v>
      </c>
      <c r="Y58" t="s">
        <v>2143</v>
      </c>
      <c r="Z58" t="s">
        <v>2549</v>
      </c>
      <c r="AA58" t="s">
        <v>874</v>
      </c>
      <c r="AB58">
        <v>3209836325</v>
      </c>
      <c r="AC58"/>
      <c r="AD58">
        <v>3209836345</v>
      </c>
      <c r="AE58" t="s">
        <v>2144</v>
      </c>
      <c r="AF58" t="s">
        <v>2550</v>
      </c>
      <c r="AG58"/>
      <c r="AH58" t="s">
        <v>870</v>
      </c>
      <c r="AI58" t="s">
        <v>871</v>
      </c>
      <c r="AJ58" t="s">
        <v>54</v>
      </c>
      <c r="AK58" t="s">
        <v>2546</v>
      </c>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t="s">
        <v>875</v>
      </c>
      <c r="CG58" t="s">
        <v>876</v>
      </c>
      <c r="CH58"/>
      <c r="CI58"/>
      <c r="CJ58"/>
      <c r="CK58"/>
      <c r="CL58"/>
      <c r="CM58"/>
      <c r="CN58">
        <v>250</v>
      </c>
      <c r="CO58">
        <v>255</v>
      </c>
      <c r="CP58"/>
      <c r="CQ58"/>
      <c r="CR58"/>
      <c r="CS58" t="s">
        <v>2397</v>
      </c>
      <c r="CT58">
        <v>12</v>
      </c>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s="569">
        <v>709</v>
      </c>
      <c r="ET58" t="s">
        <v>1469</v>
      </c>
      <c r="EU58" t="s">
        <v>819</v>
      </c>
      <c r="EV58" t="s">
        <v>2986</v>
      </c>
      <c r="EW58" t="s">
        <v>54</v>
      </c>
      <c r="EX58" s="600">
        <v>55337</v>
      </c>
      <c r="EY58">
        <v>1164474250</v>
      </c>
    </row>
    <row r="59" spans="1:155" s="561" customFormat="1" x14ac:dyDescent="0.2">
      <c r="A59" s="598">
        <v>838</v>
      </c>
      <c r="B59" t="s">
        <v>919</v>
      </c>
      <c r="C59" t="s">
        <v>920</v>
      </c>
      <c r="D59" t="s">
        <v>921</v>
      </c>
      <c r="E59"/>
      <c r="F59" t="s">
        <v>912</v>
      </c>
      <c r="G59" t="s">
        <v>54</v>
      </c>
      <c r="H59" t="s">
        <v>2566</v>
      </c>
      <c r="I59"/>
      <c r="J59" t="s">
        <v>872</v>
      </c>
      <c r="K59"/>
      <c r="L59" t="s">
        <v>870</v>
      </c>
      <c r="M59" t="s">
        <v>871</v>
      </c>
      <c r="N59" t="s">
        <v>54</v>
      </c>
      <c r="O59" t="s">
        <v>2546</v>
      </c>
      <c r="P59"/>
      <c r="Q59">
        <v>3209836300</v>
      </c>
      <c r="R59">
        <v>3209836345</v>
      </c>
      <c r="S59" t="s">
        <v>1571</v>
      </c>
      <c r="T59" t="s">
        <v>2547</v>
      </c>
      <c r="U59" t="s">
        <v>873</v>
      </c>
      <c r="V59" t="s">
        <v>2548</v>
      </c>
      <c r="W59"/>
      <c r="X59" t="s">
        <v>2142</v>
      </c>
      <c r="Y59" t="s">
        <v>2143</v>
      </c>
      <c r="Z59" t="s">
        <v>2549</v>
      </c>
      <c r="AA59" t="s">
        <v>874</v>
      </c>
      <c r="AB59">
        <v>3209836325</v>
      </c>
      <c r="AC59"/>
      <c r="AD59">
        <v>3209836345</v>
      </c>
      <c r="AE59" t="s">
        <v>2144</v>
      </c>
      <c r="AF59" t="s">
        <v>2550</v>
      </c>
      <c r="AG59"/>
      <c r="AH59" t="s">
        <v>870</v>
      </c>
      <c r="AI59" t="s">
        <v>871</v>
      </c>
      <c r="AJ59" t="s">
        <v>54</v>
      </c>
      <c r="AK59" t="s">
        <v>2546</v>
      </c>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t="s">
        <v>875</v>
      </c>
      <c r="CG59" t="s">
        <v>876</v>
      </c>
      <c r="CH59"/>
      <c r="CI59"/>
      <c r="CJ59"/>
      <c r="CK59"/>
      <c r="CL59"/>
      <c r="CM59"/>
      <c r="CN59">
        <v>250</v>
      </c>
      <c r="CO59">
        <v>255</v>
      </c>
      <c r="CP59"/>
      <c r="CQ59"/>
      <c r="CR59"/>
      <c r="CS59" t="s">
        <v>2397</v>
      </c>
      <c r="CT59">
        <v>12</v>
      </c>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s="569">
        <v>13</v>
      </c>
      <c r="ET59" t="s">
        <v>1820</v>
      </c>
      <c r="EU59" t="s">
        <v>1821</v>
      </c>
      <c r="EV59" t="s">
        <v>2274</v>
      </c>
      <c r="EW59" t="s">
        <v>54</v>
      </c>
      <c r="EX59" s="599">
        <v>55008</v>
      </c>
      <c r="EY59">
        <v>1568427383</v>
      </c>
    </row>
    <row r="60" spans="1:155" s="561" customFormat="1" x14ac:dyDescent="0.2">
      <c r="A60" s="598">
        <v>828</v>
      </c>
      <c r="B60" t="s">
        <v>923</v>
      </c>
      <c r="C60" t="s">
        <v>924</v>
      </c>
      <c r="D60" t="s">
        <v>925</v>
      </c>
      <c r="E60"/>
      <c r="F60" t="s">
        <v>912</v>
      </c>
      <c r="G60" t="s">
        <v>54</v>
      </c>
      <c r="H60" t="s">
        <v>2567</v>
      </c>
      <c r="I60"/>
      <c r="J60" t="s">
        <v>872</v>
      </c>
      <c r="K60"/>
      <c r="L60" t="s">
        <v>870</v>
      </c>
      <c r="M60" t="s">
        <v>871</v>
      </c>
      <c r="N60" t="s">
        <v>54</v>
      </c>
      <c r="O60" t="s">
        <v>2546</v>
      </c>
      <c r="P60"/>
      <c r="Q60">
        <v>3209836300</v>
      </c>
      <c r="R60">
        <v>3209836345</v>
      </c>
      <c r="S60" t="s">
        <v>1571</v>
      </c>
      <c r="T60" t="s">
        <v>2547</v>
      </c>
      <c r="U60" t="s">
        <v>873</v>
      </c>
      <c r="V60" t="s">
        <v>2548</v>
      </c>
      <c r="W60"/>
      <c r="X60" t="s">
        <v>2142</v>
      </c>
      <c r="Y60" t="s">
        <v>2143</v>
      </c>
      <c r="Z60" t="s">
        <v>2549</v>
      </c>
      <c r="AA60" t="s">
        <v>874</v>
      </c>
      <c r="AB60">
        <v>3209836325</v>
      </c>
      <c r="AC60"/>
      <c r="AD60">
        <v>3209836345</v>
      </c>
      <c r="AE60" t="s">
        <v>2144</v>
      </c>
      <c r="AF60" t="s">
        <v>2550</v>
      </c>
      <c r="AG60"/>
      <c r="AH60" t="s">
        <v>870</v>
      </c>
      <c r="AI60" t="s">
        <v>871</v>
      </c>
      <c r="AJ60" t="s">
        <v>54</v>
      </c>
      <c r="AK60" t="s">
        <v>2546</v>
      </c>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t="s">
        <v>875</v>
      </c>
      <c r="CG60" t="s">
        <v>876</v>
      </c>
      <c r="CH60"/>
      <c r="CI60"/>
      <c r="CJ60"/>
      <c r="CK60"/>
      <c r="CL60"/>
      <c r="CM60"/>
      <c r="CN60">
        <v>250</v>
      </c>
      <c r="CO60">
        <v>255</v>
      </c>
      <c r="CP60"/>
      <c r="CQ60"/>
      <c r="CR60"/>
      <c r="CS60" t="s">
        <v>2397</v>
      </c>
      <c r="CT60">
        <v>12</v>
      </c>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s="569">
        <v>14</v>
      </c>
      <c r="ET60" t="s">
        <v>1822</v>
      </c>
      <c r="EU60" t="s">
        <v>1823</v>
      </c>
      <c r="EV60" t="s">
        <v>2275</v>
      </c>
      <c r="EW60" t="s">
        <v>54</v>
      </c>
      <c r="EX60" s="599">
        <v>56220</v>
      </c>
      <c r="EY60">
        <v>1780781054</v>
      </c>
    </row>
    <row r="61" spans="1:155" s="561" customFormat="1" x14ac:dyDescent="0.2">
      <c r="A61" s="598">
        <v>1134</v>
      </c>
      <c r="B61" t="s">
        <v>927</v>
      </c>
      <c r="C61" t="s">
        <v>928</v>
      </c>
      <c r="D61" t="s">
        <v>929</v>
      </c>
      <c r="E61"/>
      <c r="F61" t="s">
        <v>1052</v>
      </c>
      <c r="G61" t="s">
        <v>54</v>
      </c>
      <c r="H61" t="s">
        <v>2568</v>
      </c>
      <c r="I61"/>
      <c r="J61" t="s">
        <v>872</v>
      </c>
      <c r="K61"/>
      <c r="L61" t="s">
        <v>870</v>
      </c>
      <c r="M61" t="s">
        <v>871</v>
      </c>
      <c r="N61" t="s">
        <v>54</v>
      </c>
      <c r="O61" t="s">
        <v>2546</v>
      </c>
      <c r="P61"/>
      <c r="Q61">
        <v>3209836300</v>
      </c>
      <c r="R61">
        <v>3209836345</v>
      </c>
      <c r="S61" t="s">
        <v>1571</v>
      </c>
      <c r="T61" t="s">
        <v>2547</v>
      </c>
      <c r="U61" t="s">
        <v>873</v>
      </c>
      <c r="V61" t="s">
        <v>2548</v>
      </c>
      <c r="W61"/>
      <c r="X61" t="s">
        <v>2142</v>
      </c>
      <c r="Y61" t="s">
        <v>2143</v>
      </c>
      <c r="Z61" t="s">
        <v>2549</v>
      </c>
      <c r="AA61" t="s">
        <v>874</v>
      </c>
      <c r="AB61">
        <v>3209836325</v>
      </c>
      <c r="AC61"/>
      <c r="AD61">
        <v>3209836345</v>
      </c>
      <c r="AE61" t="s">
        <v>2144</v>
      </c>
      <c r="AF61" t="s">
        <v>2550</v>
      </c>
      <c r="AG61"/>
      <c r="AH61" t="s">
        <v>870</v>
      </c>
      <c r="AI61" t="s">
        <v>871</v>
      </c>
      <c r="AJ61" t="s">
        <v>54</v>
      </c>
      <c r="AK61" t="s">
        <v>2546</v>
      </c>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t="s">
        <v>875</v>
      </c>
      <c r="CG61" t="s">
        <v>876</v>
      </c>
      <c r="CH61"/>
      <c r="CI61"/>
      <c r="CJ61"/>
      <c r="CK61"/>
      <c r="CL61"/>
      <c r="CM61"/>
      <c r="CN61">
        <v>250</v>
      </c>
      <c r="CO61">
        <v>255</v>
      </c>
      <c r="CP61"/>
      <c r="CQ61"/>
      <c r="CR61"/>
      <c r="CS61" t="s">
        <v>2397</v>
      </c>
      <c r="CT61">
        <v>12</v>
      </c>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s="569">
        <v>15</v>
      </c>
      <c r="ET61" t="s">
        <v>1824</v>
      </c>
      <c r="EU61" t="s">
        <v>1825</v>
      </c>
      <c r="EV61" t="s">
        <v>2276</v>
      </c>
      <c r="EW61" t="s">
        <v>54</v>
      </c>
      <c r="EX61" s="599">
        <v>55009</v>
      </c>
      <c r="EY61">
        <v>1063435410</v>
      </c>
    </row>
    <row r="62" spans="1:155" s="561" customFormat="1" x14ac:dyDescent="0.2">
      <c r="A62" s="598">
        <v>861</v>
      </c>
      <c r="B62" t="s">
        <v>930</v>
      </c>
      <c r="C62" t="s">
        <v>931</v>
      </c>
      <c r="D62" t="s">
        <v>932</v>
      </c>
      <c r="E62"/>
      <c r="F62" t="s">
        <v>933</v>
      </c>
      <c r="G62" t="s">
        <v>54</v>
      </c>
      <c r="H62" t="s">
        <v>2569</v>
      </c>
      <c r="I62"/>
      <c r="J62" t="s">
        <v>872</v>
      </c>
      <c r="K62"/>
      <c r="L62" t="s">
        <v>870</v>
      </c>
      <c r="M62" t="s">
        <v>871</v>
      </c>
      <c r="N62" t="s">
        <v>54</v>
      </c>
      <c r="O62" t="s">
        <v>2546</v>
      </c>
      <c r="P62"/>
      <c r="Q62">
        <v>3209836300</v>
      </c>
      <c r="R62">
        <v>3209836345</v>
      </c>
      <c r="S62" t="s">
        <v>1571</v>
      </c>
      <c r="T62" t="s">
        <v>2547</v>
      </c>
      <c r="U62" t="s">
        <v>873</v>
      </c>
      <c r="V62" t="s">
        <v>2548</v>
      </c>
      <c r="W62"/>
      <c r="X62" t="s">
        <v>2142</v>
      </c>
      <c r="Y62" t="s">
        <v>2143</v>
      </c>
      <c r="Z62" t="s">
        <v>2549</v>
      </c>
      <c r="AA62" t="s">
        <v>874</v>
      </c>
      <c r="AB62">
        <v>3209836325</v>
      </c>
      <c r="AC62"/>
      <c r="AD62">
        <v>3209836345</v>
      </c>
      <c r="AE62" t="s">
        <v>2144</v>
      </c>
      <c r="AF62" t="s">
        <v>2550</v>
      </c>
      <c r="AG62"/>
      <c r="AH62" t="s">
        <v>870</v>
      </c>
      <c r="AI62" t="s">
        <v>871</v>
      </c>
      <c r="AJ62" t="s">
        <v>54</v>
      </c>
      <c r="AK62" t="s">
        <v>2546</v>
      </c>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t="s">
        <v>875</v>
      </c>
      <c r="CG62" t="s">
        <v>876</v>
      </c>
      <c r="CH62"/>
      <c r="CI62"/>
      <c r="CJ62"/>
      <c r="CK62"/>
      <c r="CL62"/>
      <c r="CM62"/>
      <c r="CN62">
        <v>250</v>
      </c>
      <c r="CO62">
        <v>255</v>
      </c>
      <c r="CP62"/>
      <c r="CQ62"/>
      <c r="CR62"/>
      <c r="CS62" t="s">
        <v>2397</v>
      </c>
      <c r="CT62">
        <v>12</v>
      </c>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s="569">
        <v>214</v>
      </c>
      <c r="ET62" t="s">
        <v>1826</v>
      </c>
      <c r="EU62" t="s">
        <v>1827</v>
      </c>
      <c r="EV62" t="s">
        <v>2277</v>
      </c>
      <c r="EW62" t="s">
        <v>54</v>
      </c>
      <c r="EX62" s="599">
        <v>56633</v>
      </c>
      <c r="EY62">
        <v>1194754382</v>
      </c>
    </row>
    <row r="63" spans="1:155" s="561" customFormat="1" x14ac:dyDescent="0.2">
      <c r="A63" s="598">
        <v>854</v>
      </c>
      <c r="B63" t="s">
        <v>934</v>
      </c>
      <c r="C63" t="s">
        <v>935</v>
      </c>
      <c r="D63" t="s">
        <v>936</v>
      </c>
      <c r="E63"/>
      <c r="F63" t="s">
        <v>937</v>
      </c>
      <c r="G63" t="s">
        <v>54</v>
      </c>
      <c r="H63" t="s">
        <v>2570</v>
      </c>
      <c r="I63"/>
      <c r="J63" t="s">
        <v>872</v>
      </c>
      <c r="K63"/>
      <c r="L63" t="s">
        <v>870</v>
      </c>
      <c r="M63" t="s">
        <v>871</v>
      </c>
      <c r="N63" t="s">
        <v>54</v>
      </c>
      <c r="O63" t="s">
        <v>2546</v>
      </c>
      <c r="P63"/>
      <c r="Q63">
        <v>3209836300</v>
      </c>
      <c r="R63">
        <v>3209836345</v>
      </c>
      <c r="S63" t="s">
        <v>1571</v>
      </c>
      <c r="T63" t="s">
        <v>2547</v>
      </c>
      <c r="U63" t="s">
        <v>873</v>
      </c>
      <c r="V63" t="s">
        <v>2548</v>
      </c>
      <c r="W63"/>
      <c r="X63" t="s">
        <v>2142</v>
      </c>
      <c r="Y63" t="s">
        <v>2143</v>
      </c>
      <c r="Z63" t="s">
        <v>2549</v>
      </c>
      <c r="AA63" t="s">
        <v>874</v>
      </c>
      <c r="AB63">
        <v>3209836325</v>
      </c>
      <c r="AC63"/>
      <c r="AD63">
        <v>3209836345</v>
      </c>
      <c r="AE63" t="s">
        <v>2144</v>
      </c>
      <c r="AF63" t="s">
        <v>2550</v>
      </c>
      <c r="AG63"/>
      <c r="AH63" t="s">
        <v>870</v>
      </c>
      <c r="AI63" t="s">
        <v>871</v>
      </c>
      <c r="AJ63" t="s">
        <v>54</v>
      </c>
      <c r="AK63" t="s">
        <v>2546</v>
      </c>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t="s">
        <v>875</v>
      </c>
      <c r="CG63" t="s">
        <v>876</v>
      </c>
      <c r="CH63"/>
      <c r="CI63"/>
      <c r="CJ63"/>
      <c r="CK63"/>
      <c r="CL63"/>
      <c r="CM63"/>
      <c r="CN63">
        <v>250</v>
      </c>
      <c r="CO63">
        <v>255</v>
      </c>
      <c r="CP63"/>
      <c r="CQ63"/>
      <c r="CR63"/>
      <c r="CS63" t="s">
        <v>2397</v>
      </c>
      <c r="CT63">
        <v>12</v>
      </c>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s="569">
        <v>1394</v>
      </c>
      <c r="ET63" t="s">
        <v>2833</v>
      </c>
      <c r="EU63" t="s">
        <v>2834</v>
      </c>
      <c r="EV63" t="s">
        <v>2987</v>
      </c>
      <c r="EW63" t="s">
        <v>2837</v>
      </c>
      <c r="EX63" s="600">
        <v>80112</v>
      </c>
      <c r="EY63"/>
    </row>
    <row r="64" spans="1:155" s="561" customFormat="1" x14ac:dyDescent="0.2">
      <c r="A64" s="598">
        <v>862</v>
      </c>
      <c r="B64" t="s">
        <v>938</v>
      </c>
      <c r="C64" t="s">
        <v>939</v>
      </c>
      <c r="D64" t="s">
        <v>940</v>
      </c>
      <c r="E64"/>
      <c r="F64" t="s">
        <v>912</v>
      </c>
      <c r="G64" t="s">
        <v>54</v>
      </c>
      <c r="H64" t="s">
        <v>2571</v>
      </c>
      <c r="I64"/>
      <c r="J64" t="s">
        <v>872</v>
      </c>
      <c r="K64"/>
      <c r="L64" t="s">
        <v>870</v>
      </c>
      <c r="M64" t="s">
        <v>871</v>
      </c>
      <c r="N64" t="s">
        <v>54</v>
      </c>
      <c r="O64" t="s">
        <v>2546</v>
      </c>
      <c r="P64"/>
      <c r="Q64">
        <v>3209836300</v>
      </c>
      <c r="R64">
        <v>3209836345</v>
      </c>
      <c r="S64" t="s">
        <v>1571</v>
      </c>
      <c r="T64" t="s">
        <v>2547</v>
      </c>
      <c r="U64" t="s">
        <v>873</v>
      </c>
      <c r="V64" t="s">
        <v>2548</v>
      </c>
      <c r="W64"/>
      <c r="X64" t="s">
        <v>2142</v>
      </c>
      <c r="Y64" t="s">
        <v>2143</v>
      </c>
      <c r="Z64" t="s">
        <v>2549</v>
      </c>
      <c r="AA64" t="s">
        <v>874</v>
      </c>
      <c r="AB64">
        <v>3209836325</v>
      </c>
      <c r="AC64"/>
      <c r="AD64">
        <v>3209836345</v>
      </c>
      <c r="AE64" t="s">
        <v>2144</v>
      </c>
      <c r="AF64" t="s">
        <v>2550</v>
      </c>
      <c r="AG64"/>
      <c r="AH64" t="s">
        <v>870</v>
      </c>
      <c r="AI64" t="s">
        <v>871</v>
      </c>
      <c r="AJ64" t="s">
        <v>54</v>
      </c>
      <c r="AK64" t="s">
        <v>2546</v>
      </c>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t="s">
        <v>875</v>
      </c>
      <c r="CG64" t="s">
        <v>876</v>
      </c>
      <c r="CH64"/>
      <c r="CI64"/>
      <c r="CJ64"/>
      <c r="CK64"/>
      <c r="CL64"/>
      <c r="CM64"/>
      <c r="CN64">
        <v>250</v>
      </c>
      <c r="CO64">
        <v>255</v>
      </c>
      <c r="CP64"/>
      <c r="CQ64"/>
      <c r="CR64"/>
      <c r="CS64" t="s">
        <v>2397</v>
      </c>
      <c r="CT64">
        <v>12</v>
      </c>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s="569">
        <v>1119</v>
      </c>
      <c r="ET64" t="s">
        <v>1762</v>
      </c>
      <c r="EU64" t="s">
        <v>1763</v>
      </c>
      <c r="EV64" t="s">
        <v>2988</v>
      </c>
      <c r="EW64" t="s">
        <v>54</v>
      </c>
      <c r="EX64" s="600">
        <v>55318</v>
      </c>
      <c r="EY64">
        <v>1164474250</v>
      </c>
    </row>
    <row r="65" spans="1:155" s="561" customFormat="1" x14ac:dyDescent="0.2">
      <c r="A65" s="598">
        <v>850</v>
      </c>
      <c r="B65" t="s">
        <v>941</v>
      </c>
      <c r="C65" t="s">
        <v>942</v>
      </c>
      <c r="D65" t="s">
        <v>943</v>
      </c>
      <c r="E65"/>
      <c r="F65" t="s">
        <v>944</v>
      </c>
      <c r="G65" t="s">
        <v>54</v>
      </c>
      <c r="H65" t="s">
        <v>2572</v>
      </c>
      <c r="I65"/>
      <c r="J65" t="s">
        <v>872</v>
      </c>
      <c r="K65"/>
      <c r="L65" t="s">
        <v>870</v>
      </c>
      <c r="M65" t="s">
        <v>871</v>
      </c>
      <c r="N65" t="s">
        <v>54</v>
      </c>
      <c r="O65" t="s">
        <v>2546</v>
      </c>
      <c r="P65"/>
      <c r="Q65">
        <v>3209836300</v>
      </c>
      <c r="R65">
        <v>3209836345</v>
      </c>
      <c r="S65" t="s">
        <v>1571</v>
      </c>
      <c r="T65" t="s">
        <v>2547</v>
      </c>
      <c r="U65" t="s">
        <v>873</v>
      </c>
      <c r="V65" t="s">
        <v>2548</v>
      </c>
      <c r="W65"/>
      <c r="X65" t="s">
        <v>2142</v>
      </c>
      <c r="Y65" t="s">
        <v>2143</v>
      </c>
      <c r="Z65" t="s">
        <v>2549</v>
      </c>
      <c r="AA65" t="s">
        <v>874</v>
      </c>
      <c r="AB65">
        <v>3209836325</v>
      </c>
      <c r="AC65"/>
      <c r="AD65">
        <v>3209836345</v>
      </c>
      <c r="AE65" t="s">
        <v>2144</v>
      </c>
      <c r="AF65" t="s">
        <v>2550</v>
      </c>
      <c r="AG65"/>
      <c r="AH65" t="s">
        <v>870</v>
      </c>
      <c r="AI65" t="s">
        <v>871</v>
      </c>
      <c r="AJ65" t="s">
        <v>54</v>
      </c>
      <c r="AK65" t="s">
        <v>2546</v>
      </c>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t="s">
        <v>875</v>
      </c>
      <c r="CG65" t="s">
        <v>876</v>
      </c>
      <c r="CH65"/>
      <c r="CI65"/>
      <c r="CJ65"/>
      <c r="CK65"/>
      <c r="CL65"/>
      <c r="CM65"/>
      <c r="CN65">
        <v>250</v>
      </c>
      <c r="CO65">
        <v>255</v>
      </c>
      <c r="CP65"/>
      <c r="CQ65"/>
      <c r="CR65"/>
      <c r="CS65" t="s">
        <v>2397</v>
      </c>
      <c r="CT65">
        <v>12</v>
      </c>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s="569">
        <v>834</v>
      </c>
      <c r="ET65" t="s">
        <v>904</v>
      </c>
      <c r="EU65" t="s">
        <v>905</v>
      </c>
      <c r="EV65" t="s">
        <v>2989</v>
      </c>
      <c r="EW65" t="s">
        <v>54</v>
      </c>
      <c r="EX65" s="600">
        <v>55720</v>
      </c>
      <c r="EY65"/>
    </row>
    <row r="66" spans="1:155" s="561" customFormat="1" x14ac:dyDescent="0.2">
      <c r="A66" s="598">
        <v>839</v>
      </c>
      <c r="B66" t="s">
        <v>945</v>
      </c>
      <c r="C66" t="s">
        <v>946</v>
      </c>
      <c r="D66" t="s">
        <v>947</v>
      </c>
      <c r="E66"/>
      <c r="F66" t="s">
        <v>948</v>
      </c>
      <c r="G66" t="s">
        <v>54</v>
      </c>
      <c r="H66" t="s">
        <v>2573</v>
      </c>
      <c r="I66"/>
      <c r="J66" t="s">
        <v>872</v>
      </c>
      <c r="K66"/>
      <c r="L66" t="s">
        <v>870</v>
      </c>
      <c r="M66" t="s">
        <v>871</v>
      </c>
      <c r="N66" t="s">
        <v>54</v>
      </c>
      <c r="O66" t="s">
        <v>2546</v>
      </c>
      <c r="P66"/>
      <c r="Q66">
        <v>3209836300</v>
      </c>
      <c r="R66">
        <v>3209836345</v>
      </c>
      <c r="S66" t="s">
        <v>1571</v>
      </c>
      <c r="T66" t="s">
        <v>2547</v>
      </c>
      <c r="U66" t="s">
        <v>873</v>
      </c>
      <c r="V66" t="s">
        <v>2548</v>
      </c>
      <c r="W66"/>
      <c r="X66" t="s">
        <v>2142</v>
      </c>
      <c r="Y66" t="s">
        <v>2143</v>
      </c>
      <c r="Z66" t="s">
        <v>2549</v>
      </c>
      <c r="AA66" t="s">
        <v>874</v>
      </c>
      <c r="AB66">
        <v>3209836325</v>
      </c>
      <c r="AC66"/>
      <c r="AD66">
        <v>3209836345</v>
      </c>
      <c r="AE66" t="s">
        <v>2144</v>
      </c>
      <c r="AF66" t="s">
        <v>2550</v>
      </c>
      <c r="AG66"/>
      <c r="AH66" t="s">
        <v>870</v>
      </c>
      <c r="AI66" t="s">
        <v>871</v>
      </c>
      <c r="AJ66" t="s">
        <v>54</v>
      </c>
      <c r="AK66" t="s">
        <v>2546</v>
      </c>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t="s">
        <v>875</v>
      </c>
      <c r="CG66" t="s">
        <v>876</v>
      </c>
      <c r="CH66"/>
      <c r="CI66"/>
      <c r="CJ66"/>
      <c r="CK66"/>
      <c r="CL66"/>
      <c r="CM66"/>
      <c r="CN66">
        <v>250</v>
      </c>
      <c r="CO66">
        <v>255</v>
      </c>
      <c r="CP66"/>
      <c r="CQ66"/>
      <c r="CR66"/>
      <c r="CS66" t="s">
        <v>2397</v>
      </c>
      <c r="CT66">
        <v>12</v>
      </c>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s="569">
        <v>24</v>
      </c>
      <c r="ET66" t="s">
        <v>1828</v>
      </c>
      <c r="EU66" t="s">
        <v>905</v>
      </c>
      <c r="EV66" t="s">
        <v>906</v>
      </c>
      <c r="EW66" t="s">
        <v>54</v>
      </c>
      <c r="EX66" s="599">
        <v>55720</v>
      </c>
      <c r="EY66">
        <v>1003869082</v>
      </c>
    </row>
    <row r="67" spans="1:155" s="561" customFormat="1" x14ac:dyDescent="0.2">
      <c r="A67" s="598">
        <v>1204</v>
      </c>
      <c r="B67" t="s">
        <v>949</v>
      </c>
      <c r="C67" t="s">
        <v>950</v>
      </c>
      <c r="D67" t="s">
        <v>951</v>
      </c>
      <c r="E67"/>
      <c r="F67" t="s">
        <v>952</v>
      </c>
      <c r="G67" t="s">
        <v>54</v>
      </c>
      <c r="H67" t="s">
        <v>2574</v>
      </c>
      <c r="I67" t="s">
        <v>2575</v>
      </c>
      <c r="J67" t="s">
        <v>872</v>
      </c>
      <c r="K67"/>
      <c r="L67" t="s">
        <v>870</v>
      </c>
      <c r="M67" t="s">
        <v>871</v>
      </c>
      <c r="N67" t="s">
        <v>54</v>
      </c>
      <c r="O67" t="s">
        <v>2546</v>
      </c>
      <c r="P67"/>
      <c r="Q67">
        <v>3209836300</v>
      </c>
      <c r="R67">
        <v>3209836345</v>
      </c>
      <c r="S67" t="s">
        <v>1571</v>
      </c>
      <c r="T67" t="s">
        <v>2547</v>
      </c>
      <c r="U67" t="s">
        <v>873</v>
      </c>
      <c r="V67" t="s">
        <v>2548</v>
      </c>
      <c r="W67"/>
      <c r="X67" t="s">
        <v>2142</v>
      </c>
      <c r="Y67" t="s">
        <v>2143</v>
      </c>
      <c r="Z67" t="s">
        <v>2549</v>
      </c>
      <c r="AA67" t="s">
        <v>874</v>
      </c>
      <c r="AB67">
        <v>3209836325</v>
      </c>
      <c r="AC67"/>
      <c r="AD67">
        <v>3209836345</v>
      </c>
      <c r="AE67" t="s">
        <v>2144</v>
      </c>
      <c r="AF67" t="s">
        <v>2550</v>
      </c>
      <c r="AG67"/>
      <c r="AH67" t="s">
        <v>870</v>
      </c>
      <c r="AI67" t="s">
        <v>871</v>
      </c>
      <c r="AJ67" t="s">
        <v>54</v>
      </c>
      <c r="AK67" t="s">
        <v>2546</v>
      </c>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t="s">
        <v>875</v>
      </c>
      <c r="CG67" t="s">
        <v>876</v>
      </c>
      <c r="CH67"/>
      <c r="CI67"/>
      <c r="CJ67"/>
      <c r="CK67"/>
      <c r="CL67"/>
      <c r="CM67"/>
      <c r="CN67">
        <v>250</v>
      </c>
      <c r="CO67">
        <v>255</v>
      </c>
      <c r="CP67"/>
      <c r="CQ67"/>
      <c r="CR67"/>
      <c r="CS67" t="s">
        <v>2397</v>
      </c>
      <c r="CT67">
        <v>12</v>
      </c>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s="569">
        <v>836</v>
      </c>
      <c r="ET67" t="s">
        <v>910</v>
      </c>
      <c r="EU67" t="s">
        <v>909</v>
      </c>
      <c r="EV67" t="s">
        <v>2990</v>
      </c>
      <c r="EW67" t="s">
        <v>54</v>
      </c>
      <c r="EX67" s="600">
        <v>55723</v>
      </c>
      <c r="EY67"/>
    </row>
    <row r="68" spans="1:155" s="561" customFormat="1" x14ac:dyDescent="0.2">
      <c r="A68" s="598">
        <v>553</v>
      </c>
      <c r="B68" t="s">
        <v>953</v>
      </c>
      <c r="C68" t="s">
        <v>954</v>
      </c>
      <c r="D68" t="s">
        <v>2131</v>
      </c>
      <c r="E68"/>
      <c r="F68" t="s">
        <v>955</v>
      </c>
      <c r="G68" t="s">
        <v>54</v>
      </c>
      <c r="H68" t="s">
        <v>2576</v>
      </c>
      <c r="I68"/>
      <c r="J68" t="s">
        <v>872</v>
      </c>
      <c r="K68"/>
      <c r="L68" t="s">
        <v>870</v>
      </c>
      <c r="M68" t="s">
        <v>871</v>
      </c>
      <c r="N68" t="s">
        <v>54</v>
      </c>
      <c r="O68" t="s">
        <v>2546</v>
      </c>
      <c r="P68"/>
      <c r="Q68">
        <v>3209836300</v>
      </c>
      <c r="R68">
        <v>3209836345</v>
      </c>
      <c r="S68" t="s">
        <v>1571</v>
      </c>
      <c r="T68" t="s">
        <v>2547</v>
      </c>
      <c r="U68" t="s">
        <v>873</v>
      </c>
      <c r="V68" t="s">
        <v>2548</v>
      </c>
      <c r="W68"/>
      <c r="X68" t="s">
        <v>2142</v>
      </c>
      <c r="Y68" t="s">
        <v>2143</v>
      </c>
      <c r="Z68" t="s">
        <v>2549</v>
      </c>
      <c r="AA68" t="s">
        <v>874</v>
      </c>
      <c r="AB68">
        <v>3209836325</v>
      </c>
      <c r="AC68"/>
      <c r="AD68">
        <v>3209836345</v>
      </c>
      <c r="AE68" t="s">
        <v>2144</v>
      </c>
      <c r="AF68" t="s">
        <v>2550</v>
      </c>
      <c r="AG68"/>
      <c r="AH68" t="s">
        <v>870</v>
      </c>
      <c r="AI68" t="s">
        <v>871</v>
      </c>
      <c r="AJ68" t="s">
        <v>54</v>
      </c>
      <c r="AK68" t="s">
        <v>2546</v>
      </c>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t="s">
        <v>875</v>
      </c>
      <c r="CG68" t="s">
        <v>876</v>
      </c>
      <c r="CH68"/>
      <c r="CI68"/>
      <c r="CJ68"/>
      <c r="CK68"/>
      <c r="CL68"/>
      <c r="CM68"/>
      <c r="CN68">
        <v>250</v>
      </c>
      <c r="CO68">
        <v>255</v>
      </c>
      <c r="CP68"/>
      <c r="CQ68"/>
      <c r="CR68"/>
      <c r="CS68" t="s">
        <v>2397</v>
      </c>
      <c r="CT68">
        <v>12</v>
      </c>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s="569">
        <v>29</v>
      </c>
      <c r="ET68" t="s">
        <v>1829</v>
      </c>
      <c r="EU68" t="s">
        <v>909</v>
      </c>
      <c r="EV68" t="s">
        <v>2278</v>
      </c>
      <c r="EW68" t="s">
        <v>54</v>
      </c>
      <c r="EX68" s="599">
        <v>55723</v>
      </c>
      <c r="EY68">
        <v>1992763858</v>
      </c>
    </row>
    <row r="69" spans="1:155" s="561" customFormat="1" ht="14.25" customHeight="1" x14ac:dyDescent="0.2">
      <c r="A69" s="598">
        <v>1207</v>
      </c>
      <c r="B69" t="s">
        <v>960</v>
      </c>
      <c r="C69" t="s">
        <v>961</v>
      </c>
      <c r="D69" t="s">
        <v>962</v>
      </c>
      <c r="E69"/>
      <c r="F69" t="s">
        <v>963</v>
      </c>
      <c r="G69" t="s">
        <v>54</v>
      </c>
      <c r="H69" t="s">
        <v>2577</v>
      </c>
      <c r="I69" t="s">
        <v>2578</v>
      </c>
      <c r="J69" t="s">
        <v>872</v>
      </c>
      <c r="K69"/>
      <c r="L69" t="s">
        <v>870</v>
      </c>
      <c r="M69" t="s">
        <v>871</v>
      </c>
      <c r="N69" t="s">
        <v>54</v>
      </c>
      <c r="O69" t="s">
        <v>2546</v>
      </c>
      <c r="P69"/>
      <c r="Q69">
        <v>3209836300</v>
      </c>
      <c r="R69">
        <v>3209836345</v>
      </c>
      <c r="S69" t="s">
        <v>1571</v>
      </c>
      <c r="T69" t="s">
        <v>2547</v>
      </c>
      <c r="U69" t="s">
        <v>873</v>
      </c>
      <c r="V69" t="s">
        <v>2548</v>
      </c>
      <c r="W69"/>
      <c r="X69" t="s">
        <v>2142</v>
      </c>
      <c r="Y69" t="s">
        <v>2143</v>
      </c>
      <c r="Z69" t="s">
        <v>2549</v>
      </c>
      <c r="AA69" t="s">
        <v>874</v>
      </c>
      <c r="AB69">
        <v>3209836325</v>
      </c>
      <c r="AC69"/>
      <c r="AD69">
        <v>3209836345</v>
      </c>
      <c r="AE69" t="s">
        <v>2144</v>
      </c>
      <c r="AF69" t="s">
        <v>2550</v>
      </c>
      <c r="AG69"/>
      <c r="AH69" t="s">
        <v>870</v>
      </c>
      <c r="AI69" t="s">
        <v>871</v>
      </c>
      <c r="AJ69" t="s">
        <v>54</v>
      </c>
      <c r="AK69" t="s">
        <v>2546</v>
      </c>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t="s">
        <v>875</v>
      </c>
      <c r="CG69" t="s">
        <v>876</v>
      </c>
      <c r="CH69"/>
      <c r="CI69"/>
      <c r="CJ69"/>
      <c r="CK69"/>
      <c r="CL69"/>
      <c r="CM69"/>
      <c r="CN69">
        <v>250</v>
      </c>
      <c r="CO69">
        <v>255</v>
      </c>
      <c r="CP69"/>
      <c r="CQ69"/>
      <c r="CR69"/>
      <c r="CS69" t="s">
        <v>2397</v>
      </c>
      <c r="CT69">
        <v>12</v>
      </c>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s="569">
        <v>517</v>
      </c>
      <c r="ET69" t="s">
        <v>822</v>
      </c>
      <c r="EU69" t="s">
        <v>823</v>
      </c>
      <c r="EV69" t="s">
        <v>2991</v>
      </c>
      <c r="EW69" t="s">
        <v>54</v>
      </c>
      <c r="EX69" s="600">
        <v>55433</v>
      </c>
      <c r="EY69">
        <v>1659348092</v>
      </c>
    </row>
    <row r="70" spans="1:155" s="561" customFormat="1" x14ac:dyDescent="0.2">
      <c r="A70" s="598">
        <v>856</v>
      </c>
      <c r="B70" t="s">
        <v>964</v>
      </c>
      <c r="C70" t="s">
        <v>965</v>
      </c>
      <c r="D70" t="s">
        <v>966</v>
      </c>
      <c r="E70"/>
      <c r="F70" t="s">
        <v>965</v>
      </c>
      <c r="G70" t="s">
        <v>54</v>
      </c>
      <c r="H70" t="s">
        <v>2579</v>
      </c>
      <c r="I70"/>
      <c r="J70" t="s">
        <v>872</v>
      </c>
      <c r="K70"/>
      <c r="L70" t="s">
        <v>870</v>
      </c>
      <c r="M70" t="s">
        <v>871</v>
      </c>
      <c r="N70" t="s">
        <v>54</v>
      </c>
      <c r="O70" t="s">
        <v>2546</v>
      </c>
      <c r="P70"/>
      <c r="Q70">
        <v>3209836300</v>
      </c>
      <c r="R70">
        <v>3209836345</v>
      </c>
      <c r="S70" t="s">
        <v>1571</v>
      </c>
      <c r="T70" t="s">
        <v>2547</v>
      </c>
      <c r="U70" t="s">
        <v>873</v>
      </c>
      <c r="V70" t="s">
        <v>2548</v>
      </c>
      <c r="W70"/>
      <c r="X70" t="s">
        <v>2142</v>
      </c>
      <c r="Y70" t="s">
        <v>2143</v>
      </c>
      <c r="Z70" t="s">
        <v>2549</v>
      </c>
      <c r="AA70" t="s">
        <v>874</v>
      </c>
      <c r="AB70">
        <v>3209836325</v>
      </c>
      <c r="AC70"/>
      <c r="AD70">
        <v>3209836345</v>
      </c>
      <c r="AE70" t="s">
        <v>2144</v>
      </c>
      <c r="AF70" t="s">
        <v>2550</v>
      </c>
      <c r="AG70"/>
      <c r="AH70" t="s">
        <v>870</v>
      </c>
      <c r="AI70" t="s">
        <v>871</v>
      </c>
      <c r="AJ70" t="s">
        <v>54</v>
      </c>
      <c r="AK70" t="s">
        <v>2546</v>
      </c>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t="s">
        <v>875</v>
      </c>
      <c r="CG70" t="s">
        <v>876</v>
      </c>
      <c r="CH70"/>
      <c r="CI70"/>
      <c r="CJ70"/>
      <c r="CK70"/>
      <c r="CL70"/>
      <c r="CM70"/>
      <c r="CN70">
        <v>250</v>
      </c>
      <c r="CO70">
        <v>255</v>
      </c>
      <c r="CP70"/>
      <c r="CQ70"/>
      <c r="CR70"/>
      <c r="CS70" t="s">
        <v>2397</v>
      </c>
      <c r="CT70">
        <v>12</v>
      </c>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s="569">
        <v>84</v>
      </c>
      <c r="ET70" t="s">
        <v>1830</v>
      </c>
      <c r="EU70" t="s">
        <v>823</v>
      </c>
      <c r="EV70" t="s">
        <v>2279</v>
      </c>
      <c r="EW70" t="s">
        <v>54</v>
      </c>
      <c r="EX70" s="599">
        <v>55433</v>
      </c>
      <c r="EY70">
        <v>1316904287</v>
      </c>
    </row>
    <row r="71" spans="1:155" s="561" customFormat="1" x14ac:dyDescent="0.2">
      <c r="A71" s="598">
        <v>964</v>
      </c>
      <c r="B71" t="s">
        <v>967</v>
      </c>
      <c r="C71" t="s">
        <v>968</v>
      </c>
      <c r="D71" t="s">
        <v>969</v>
      </c>
      <c r="E71"/>
      <c r="F71" t="s">
        <v>958</v>
      </c>
      <c r="G71" t="s">
        <v>54</v>
      </c>
      <c r="H71" t="s">
        <v>2580</v>
      </c>
      <c r="I71"/>
      <c r="J71" t="s">
        <v>872</v>
      </c>
      <c r="K71"/>
      <c r="L71" t="s">
        <v>870</v>
      </c>
      <c r="M71" t="s">
        <v>871</v>
      </c>
      <c r="N71" t="s">
        <v>54</v>
      </c>
      <c r="O71" t="s">
        <v>2546</v>
      </c>
      <c r="P71"/>
      <c r="Q71">
        <v>3209836300</v>
      </c>
      <c r="R71">
        <v>3209836345</v>
      </c>
      <c r="S71" t="s">
        <v>1571</v>
      </c>
      <c r="T71" t="s">
        <v>2547</v>
      </c>
      <c r="U71" t="s">
        <v>873</v>
      </c>
      <c r="V71" t="s">
        <v>2548</v>
      </c>
      <c r="W71"/>
      <c r="X71" t="s">
        <v>2142</v>
      </c>
      <c r="Y71" t="s">
        <v>2143</v>
      </c>
      <c r="Z71" t="s">
        <v>2549</v>
      </c>
      <c r="AA71" t="s">
        <v>874</v>
      </c>
      <c r="AB71">
        <v>3209836325</v>
      </c>
      <c r="AC71"/>
      <c r="AD71">
        <v>3209836345</v>
      </c>
      <c r="AE71" t="s">
        <v>2144</v>
      </c>
      <c r="AF71" t="s">
        <v>2550</v>
      </c>
      <c r="AG71"/>
      <c r="AH71" t="s">
        <v>870</v>
      </c>
      <c r="AI71" t="s">
        <v>871</v>
      </c>
      <c r="AJ71" t="s">
        <v>54</v>
      </c>
      <c r="AK71" t="s">
        <v>2546</v>
      </c>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t="s">
        <v>875</v>
      </c>
      <c r="CG71" t="s">
        <v>876</v>
      </c>
      <c r="CH71"/>
      <c r="CI71"/>
      <c r="CJ71"/>
      <c r="CK71"/>
      <c r="CL71"/>
      <c r="CM71"/>
      <c r="CN71">
        <v>250</v>
      </c>
      <c r="CO71">
        <v>255</v>
      </c>
      <c r="CP71"/>
      <c r="CQ71"/>
      <c r="CR71"/>
      <c r="CS71" t="s">
        <v>2397</v>
      </c>
      <c r="CT71">
        <v>12</v>
      </c>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s="569">
        <v>744</v>
      </c>
      <c r="ET71" t="s">
        <v>1486</v>
      </c>
      <c r="EU71" t="s">
        <v>823</v>
      </c>
      <c r="EV71" t="s">
        <v>2992</v>
      </c>
      <c r="EW71" t="s">
        <v>54</v>
      </c>
      <c r="EX71" s="600">
        <v>55433</v>
      </c>
      <c r="EY71">
        <v>1164474250</v>
      </c>
    </row>
    <row r="72" spans="1:155" s="561" customFormat="1" x14ac:dyDescent="0.2">
      <c r="A72" s="598">
        <v>845</v>
      </c>
      <c r="B72" t="s">
        <v>970</v>
      </c>
      <c r="C72" t="s">
        <v>971</v>
      </c>
      <c r="D72" t="s">
        <v>972</v>
      </c>
      <c r="E72"/>
      <c r="F72" t="s">
        <v>971</v>
      </c>
      <c r="G72" t="s">
        <v>54</v>
      </c>
      <c r="H72" t="s">
        <v>2581</v>
      </c>
      <c r="I72"/>
      <c r="J72" t="s">
        <v>872</v>
      </c>
      <c r="K72"/>
      <c r="L72" t="s">
        <v>870</v>
      </c>
      <c r="M72" t="s">
        <v>871</v>
      </c>
      <c r="N72" t="s">
        <v>54</v>
      </c>
      <c r="O72" t="s">
        <v>2546</v>
      </c>
      <c r="P72"/>
      <c r="Q72">
        <v>3209836300</v>
      </c>
      <c r="R72">
        <v>3209836345</v>
      </c>
      <c r="S72" t="s">
        <v>1571</v>
      </c>
      <c r="T72" t="s">
        <v>2547</v>
      </c>
      <c r="U72" t="s">
        <v>873</v>
      </c>
      <c r="V72" t="s">
        <v>2548</v>
      </c>
      <c r="W72"/>
      <c r="X72" t="s">
        <v>2142</v>
      </c>
      <c r="Y72" t="s">
        <v>2143</v>
      </c>
      <c r="Z72" t="s">
        <v>2549</v>
      </c>
      <c r="AA72" t="s">
        <v>874</v>
      </c>
      <c r="AB72">
        <v>3209836325</v>
      </c>
      <c r="AC72"/>
      <c r="AD72">
        <v>3209836345</v>
      </c>
      <c r="AE72" t="s">
        <v>2144</v>
      </c>
      <c r="AF72" t="s">
        <v>2550</v>
      </c>
      <c r="AG72"/>
      <c r="AH72" t="s">
        <v>870</v>
      </c>
      <c r="AI72" t="s">
        <v>871</v>
      </c>
      <c r="AJ72" t="s">
        <v>54</v>
      </c>
      <c r="AK72" t="s">
        <v>2546</v>
      </c>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t="s">
        <v>875</v>
      </c>
      <c r="CG72" t="s">
        <v>876</v>
      </c>
      <c r="CH72"/>
      <c r="CI72"/>
      <c r="CJ72"/>
      <c r="CK72"/>
      <c r="CL72"/>
      <c r="CM72"/>
      <c r="CN72">
        <v>250</v>
      </c>
      <c r="CO72">
        <v>255</v>
      </c>
      <c r="CP72"/>
      <c r="CQ72"/>
      <c r="CR72"/>
      <c r="CS72" t="s">
        <v>2397</v>
      </c>
      <c r="CT72">
        <v>12</v>
      </c>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s="569">
        <v>520</v>
      </c>
      <c r="ET72" t="s">
        <v>1710</v>
      </c>
      <c r="EU72" t="s">
        <v>823</v>
      </c>
      <c r="EV72" t="s">
        <v>2993</v>
      </c>
      <c r="EW72" t="s">
        <v>54</v>
      </c>
      <c r="EX72" s="600">
        <v>55433</v>
      </c>
      <c r="EY72">
        <v>1427008937</v>
      </c>
    </row>
    <row r="73" spans="1:155" s="561" customFormat="1" x14ac:dyDescent="0.2">
      <c r="A73" s="598">
        <v>842</v>
      </c>
      <c r="B73" t="s">
        <v>974</v>
      </c>
      <c r="C73" t="s">
        <v>975</v>
      </c>
      <c r="D73" t="s">
        <v>976</v>
      </c>
      <c r="E73"/>
      <c r="F73" t="s">
        <v>977</v>
      </c>
      <c r="G73" t="s">
        <v>54</v>
      </c>
      <c r="H73" t="s">
        <v>2582</v>
      </c>
      <c r="I73"/>
      <c r="J73" t="s">
        <v>872</v>
      </c>
      <c r="K73"/>
      <c r="L73" t="s">
        <v>870</v>
      </c>
      <c r="M73" t="s">
        <v>871</v>
      </c>
      <c r="N73" t="s">
        <v>54</v>
      </c>
      <c r="O73" t="s">
        <v>2546</v>
      </c>
      <c r="P73"/>
      <c r="Q73">
        <v>3209836300</v>
      </c>
      <c r="R73">
        <v>3209836345</v>
      </c>
      <c r="S73" t="s">
        <v>1571</v>
      </c>
      <c r="T73" t="s">
        <v>2547</v>
      </c>
      <c r="U73" t="s">
        <v>873</v>
      </c>
      <c r="V73" t="s">
        <v>2548</v>
      </c>
      <c r="W73"/>
      <c r="X73" t="s">
        <v>2142</v>
      </c>
      <c r="Y73" t="s">
        <v>2143</v>
      </c>
      <c r="Z73" t="s">
        <v>2549</v>
      </c>
      <c r="AA73" t="s">
        <v>874</v>
      </c>
      <c r="AB73">
        <v>3209836325</v>
      </c>
      <c r="AC73"/>
      <c r="AD73">
        <v>3209836345</v>
      </c>
      <c r="AE73" t="s">
        <v>2144</v>
      </c>
      <c r="AF73" t="s">
        <v>2550</v>
      </c>
      <c r="AG73"/>
      <c r="AH73" t="s">
        <v>870</v>
      </c>
      <c r="AI73" t="s">
        <v>871</v>
      </c>
      <c r="AJ73" t="s">
        <v>54</v>
      </c>
      <c r="AK73" t="s">
        <v>2546</v>
      </c>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t="s">
        <v>875</v>
      </c>
      <c r="CG73" t="s">
        <v>876</v>
      </c>
      <c r="CH73"/>
      <c r="CI73"/>
      <c r="CJ73"/>
      <c r="CK73"/>
      <c r="CL73"/>
      <c r="CM73"/>
      <c r="CN73">
        <v>250</v>
      </c>
      <c r="CO73">
        <v>255</v>
      </c>
      <c r="CP73"/>
      <c r="CQ73"/>
      <c r="CR73"/>
      <c r="CS73" t="s">
        <v>2397</v>
      </c>
      <c r="CT73">
        <v>12</v>
      </c>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s="569">
        <v>1032</v>
      </c>
      <c r="ET73" t="s">
        <v>1713</v>
      </c>
      <c r="EU73" t="s">
        <v>823</v>
      </c>
      <c r="EV73" t="s">
        <v>2994</v>
      </c>
      <c r="EW73" t="s">
        <v>54</v>
      </c>
      <c r="EX73" s="600">
        <v>55433</v>
      </c>
      <c r="EY73">
        <v>1427008937</v>
      </c>
    </row>
    <row r="74" spans="1:155" s="561" customFormat="1" x14ac:dyDescent="0.2">
      <c r="A74" s="598">
        <v>849</v>
      </c>
      <c r="B74" t="s">
        <v>978</v>
      </c>
      <c r="C74" t="s">
        <v>979</v>
      </c>
      <c r="D74" t="s">
        <v>980</v>
      </c>
      <c r="E74"/>
      <c r="F74" t="s">
        <v>907</v>
      </c>
      <c r="G74" t="s">
        <v>54</v>
      </c>
      <c r="H74" t="s">
        <v>2583</v>
      </c>
      <c r="I74"/>
      <c r="J74" t="s">
        <v>872</v>
      </c>
      <c r="K74"/>
      <c r="L74" t="s">
        <v>870</v>
      </c>
      <c r="M74" t="s">
        <v>871</v>
      </c>
      <c r="N74" t="s">
        <v>54</v>
      </c>
      <c r="O74" t="s">
        <v>2546</v>
      </c>
      <c r="P74"/>
      <c r="Q74">
        <v>3209836300</v>
      </c>
      <c r="R74">
        <v>3209836345</v>
      </c>
      <c r="S74" t="s">
        <v>1571</v>
      </c>
      <c r="T74" t="s">
        <v>2547</v>
      </c>
      <c r="U74" t="s">
        <v>873</v>
      </c>
      <c r="V74" t="s">
        <v>2548</v>
      </c>
      <c r="W74"/>
      <c r="X74" t="s">
        <v>2142</v>
      </c>
      <c r="Y74" t="s">
        <v>2143</v>
      </c>
      <c r="Z74" t="s">
        <v>2549</v>
      </c>
      <c r="AA74" t="s">
        <v>874</v>
      </c>
      <c r="AB74">
        <v>3209836325</v>
      </c>
      <c r="AC74"/>
      <c r="AD74">
        <v>3209836345</v>
      </c>
      <c r="AE74" t="s">
        <v>2144</v>
      </c>
      <c r="AF74" t="s">
        <v>2550</v>
      </c>
      <c r="AG74"/>
      <c r="AH74" t="s">
        <v>870</v>
      </c>
      <c r="AI74" t="s">
        <v>871</v>
      </c>
      <c r="AJ74" t="s">
        <v>54</v>
      </c>
      <c r="AK74" t="s">
        <v>2546</v>
      </c>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t="s">
        <v>875</v>
      </c>
      <c r="CG74" t="s">
        <v>876</v>
      </c>
      <c r="CH74"/>
      <c r="CI74"/>
      <c r="CJ74"/>
      <c r="CK74"/>
      <c r="CL74"/>
      <c r="CM74"/>
      <c r="CN74">
        <v>250</v>
      </c>
      <c r="CO74">
        <v>255</v>
      </c>
      <c r="CP74"/>
      <c r="CQ74"/>
      <c r="CR74"/>
      <c r="CS74" t="s">
        <v>2397</v>
      </c>
      <c r="CT74">
        <v>12</v>
      </c>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s="569">
        <v>1050</v>
      </c>
      <c r="ET74" t="s">
        <v>1577</v>
      </c>
      <c r="EU74" t="s">
        <v>1578</v>
      </c>
      <c r="EV74" t="s">
        <v>2995</v>
      </c>
      <c r="EW74" t="s">
        <v>1580</v>
      </c>
      <c r="EX74" s="600">
        <v>53527</v>
      </c>
      <c r="EY74">
        <v>1295785079</v>
      </c>
    </row>
    <row r="75" spans="1:155" s="561" customFormat="1" x14ac:dyDescent="0.2">
      <c r="A75" s="598">
        <v>851</v>
      </c>
      <c r="B75" t="s">
        <v>981</v>
      </c>
      <c r="C75" t="s">
        <v>982</v>
      </c>
      <c r="D75" t="s">
        <v>983</v>
      </c>
      <c r="E75"/>
      <c r="F75" t="s">
        <v>871</v>
      </c>
      <c r="G75" t="s">
        <v>54</v>
      </c>
      <c r="H75" t="s">
        <v>2584</v>
      </c>
      <c r="I75"/>
      <c r="J75" t="s">
        <v>872</v>
      </c>
      <c r="K75"/>
      <c r="L75" t="s">
        <v>870</v>
      </c>
      <c r="M75" t="s">
        <v>871</v>
      </c>
      <c r="N75" t="s">
        <v>54</v>
      </c>
      <c r="O75" t="s">
        <v>2546</v>
      </c>
      <c r="P75"/>
      <c r="Q75">
        <v>3209836300</v>
      </c>
      <c r="R75">
        <v>3209836345</v>
      </c>
      <c r="S75" t="s">
        <v>1571</v>
      </c>
      <c r="T75" t="s">
        <v>2547</v>
      </c>
      <c r="U75" t="s">
        <v>873</v>
      </c>
      <c r="V75" t="s">
        <v>2548</v>
      </c>
      <c r="W75"/>
      <c r="X75" t="s">
        <v>2142</v>
      </c>
      <c r="Y75" t="s">
        <v>2143</v>
      </c>
      <c r="Z75" t="s">
        <v>2549</v>
      </c>
      <c r="AA75" t="s">
        <v>874</v>
      </c>
      <c r="AB75">
        <v>3209836325</v>
      </c>
      <c r="AC75"/>
      <c r="AD75">
        <v>3209836345</v>
      </c>
      <c r="AE75" t="s">
        <v>2144</v>
      </c>
      <c r="AF75" t="s">
        <v>2550</v>
      </c>
      <c r="AG75"/>
      <c r="AH75" t="s">
        <v>870</v>
      </c>
      <c r="AI75" t="s">
        <v>871</v>
      </c>
      <c r="AJ75" t="s">
        <v>54</v>
      </c>
      <c r="AK75" t="s">
        <v>2546</v>
      </c>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t="s">
        <v>875</v>
      </c>
      <c r="CG75" t="s">
        <v>876</v>
      </c>
      <c r="CH75"/>
      <c r="CI75"/>
      <c r="CJ75"/>
      <c r="CK75"/>
      <c r="CL75"/>
      <c r="CM75"/>
      <c r="CN75">
        <v>250</v>
      </c>
      <c r="CO75">
        <v>255</v>
      </c>
      <c r="CP75"/>
      <c r="CQ75"/>
      <c r="CR75"/>
      <c r="CS75" t="s">
        <v>2397</v>
      </c>
      <c r="CT75">
        <v>12</v>
      </c>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s="569">
        <v>1411</v>
      </c>
      <c r="ET75" t="s">
        <v>2846</v>
      </c>
      <c r="EU75" t="s">
        <v>1578</v>
      </c>
      <c r="EV75" t="s">
        <v>2995</v>
      </c>
      <c r="EW75" t="s">
        <v>1580</v>
      </c>
      <c r="EX75" s="600">
        <v>53527</v>
      </c>
      <c r="EY75">
        <v>1295785079</v>
      </c>
    </row>
    <row r="76" spans="1:155" x14ac:dyDescent="0.2">
      <c r="A76" s="598">
        <v>853</v>
      </c>
      <c r="B76" t="s">
        <v>985</v>
      </c>
      <c r="C76" t="s">
        <v>986</v>
      </c>
      <c r="D76" t="s">
        <v>987</v>
      </c>
      <c r="E76"/>
      <c r="F76" t="s">
        <v>988</v>
      </c>
      <c r="G76" t="s">
        <v>54</v>
      </c>
      <c r="H76" t="s">
        <v>2585</v>
      </c>
      <c r="I76"/>
      <c r="J76" t="s">
        <v>872</v>
      </c>
      <c r="K76"/>
      <c r="L76" t="s">
        <v>870</v>
      </c>
      <c r="M76" t="s">
        <v>871</v>
      </c>
      <c r="N76" t="s">
        <v>54</v>
      </c>
      <c r="O76" t="s">
        <v>2546</v>
      </c>
      <c r="P76"/>
      <c r="Q76">
        <v>3209836300</v>
      </c>
      <c r="R76">
        <v>3209836345</v>
      </c>
      <c r="S76" t="s">
        <v>1571</v>
      </c>
      <c r="T76" t="s">
        <v>2547</v>
      </c>
      <c r="U76" t="s">
        <v>873</v>
      </c>
      <c r="V76" t="s">
        <v>2548</v>
      </c>
      <c r="W76"/>
      <c r="X76" t="s">
        <v>2142</v>
      </c>
      <c r="Y76" t="s">
        <v>2143</v>
      </c>
      <c r="Z76" t="s">
        <v>2549</v>
      </c>
      <c r="AA76" t="s">
        <v>874</v>
      </c>
      <c r="AB76">
        <v>3209836325</v>
      </c>
      <c r="AC76"/>
      <c r="AD76">
        <v>3209836345</v>
      </c>
      <c r="AE76" t="s">
        <v>2144</v>
      </c>
      <c r="AF76" t="s">
        <v>2550</v>
      </c>
      <c r="AG76"/>
      <c r="AH76" t="s">
        <v>870</v>
      </c>
      <c r="AI76" t="s">
        <v>871</v>
      </c>
      <c r="AJ76" t="s">
        <v>54</v>
      </c>
      <c r="AK76" t="s">
        <v>2546</v>
      </c>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t="s">
        <v>875</v>
      </c>
      <c r="CG76" t="s">
        <v>876</v>
      </c>
      <c r="CH76"/>
      <c r="CI76"/>
      <c r="CJ76"/>
      <c r="CK76"/>
      <c r="CL76"/>
      <c r="CM76"/>
      <c r="CN76">
        <v>250</v>
      </c>
      <c r="CO76">
        <v>255</v>
      </c>
      <c r="CP76"/>
      <c r="CQ76"/>
      <c r="CR76"/>
      <c r="CS76" t="s">
        <v>2397</v>
      </c>
      <c r="CT76">
        <v>12</v>
      </c>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s="569">
        <v>1330</v>
      </c>
      <c r="ET76" t="s">
        <v>2173</v>
      </c>
      <c r="EU76" t="s">
        <v>1578</v>
      </c>
      <c r="EV76" t="s">
        <v>2995</v>
      </c>
      <c r="EW76" t="s">
        <v>1580</v>
      </c>
      <c r="EX76" s="600">
        <v>53527</v>
      </c>
      <c r="EY76">
        <v>1295785079</v>
      </c>
    </row>
    <row r="77" spans="1:155" x14ac:dyDescent="0.2">
      <c r="A77" s="598">
        <v>938</v>
      </c>
      <c r="B77" t="s">
        <v>989</v>
      </c>
      <c r="C77" t="s">
        <v>990</v>
      </c>
      <c r="D77" t="s">
        <v>991</v>
      </c>
      <c r="E77"/>
      <c r="F77" t="s">
        <v>990</v>
      </c>
      <c r="G77" t="s">
        <v>54</v>
      </c>
      <c r="H77" t="s">
        <v>2586</v>
      </c>
      <c r="I77" t="s">
        <v>2587</v>
      </c>
      <c r="J77" t="s">
        <v>872</v>
      </c>
      <c r="K77"/>
      <c r="L77" t="s">
        <v>870</v>
      </c>
      <c r="M77" t="s">
        <v>871</v>
      </c>
      <c r="N77" t="s">
        <v>54</v>
      </c>
      <c r="O77" t="s">
        <v>2546</v>
      </c>
      <c r="P77"/>
      <c r="Q77">
        <v>3209836300</v>
      </c>
      <c r="R77">
        <v>3209836345</v>
      </c>
      <c r="S77" t="s">
        <v>1571</v>
      </c>
      <c r="T77" t="s">
        <v>2547</v>
      </c>
      <c r="U77" t="s">
        <v>873</v>
      </c>
      <c r="V77" t="s">
        <v>2548</v>
      </c>
      <c r="W77"/>
      <c r="X77" t="s">
        <v>2142</v>
      </c>
      <c r="Y77" t="s">
        <v>2143</v>
      </c>
      <c r="Z77" t="s">
        <v>2549</v>
      </c>
      <c r="AA77" t="s">
        <v>874</v>
      </c>
      <c r="AB77">
        <v>3209836325</v>
      </c>
      <c r="AC77"/>
      <c r="AD77">
        <v>3209836345</v>
      </c>
      <c r="AE77" t="s">
        <v>2144</v>
      </c>
      <c r="AF77" t="s">
        <v>2550</v>
      </c>
      <c r="AG77"/>
      <c r="AH77" t="s">
        <v>870</v>
      </c>
      <c r="AI77" t="s">
        <v>871</v>
      </c>
      <c r="AJ77" t="s">
        <v>54</v>
      </c>
      <c r="AK77" t="s">
        <v>2546</v>
      </c>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t="s">
        <v>875</v>
      </c>
      <c r="CG77" t="s">
        <v>876</v>
      </c>
      <c r="CH77"/>
      <c r="CI77"/>
      <c r="CJ77"/>
      <c r="CK77"/>
      <c r="CL77"/>
      <c r="CM77"/>
      <c r="CN77">
        <v>250</v>
      </c>
      <c r="CO77">
        <v>255</v>
      </c>
      <c r="CP77"/>
      <c r="CQ77"/>
      <c r="CR77"/>
      <c r="CS77" t="s">
        <v>2397</v>
      </c>
      <c r="CT77">
        <v>12</v>
      </c>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s="569">
        <v>1412</v>
      </c>
      <c r="ET77" t="s">
        <v>2847</v>
      </c>
      <c r="EU77" t="s">
        <v>1578</v>
      </c>
      <c r="EV77" t="s">
        <v>2995</v>
      </c>
      <c r="EW77" t="s">
        <v>1580</v>
      </c>
      <c r="EX77" s="600">
        <v>53527</v>
      </c>
      <c r="EY77">
        <v>1295785079</v>
      </c>
    </row>
    <row r="78" spans="1:155" x14ac:dyDescent="0.2">
      <c r="A78" s="598">
        <v>841</v>
      </c>
      <c r="B78" t="s">
        <v>992</v>
      </c>
      <c r="C78" t="s">
        <v>993</v>
      </c>
      <c r="D78" t="s">
        <v>994</v>
      </c>
      <c r="E78"/>
      <c r="F78" t="s">
        <v>995</v>
      </c>
      <c r="G78" t="s">
        <v>54</v>
      </c>
      <c r="H78" t="s">
        <v>2588</v>
      </c>
      <c r="I78"/>
      <c r="J78" t="s">
        <v>872</v>
      </c>
      <c r="K78"/>
      <c r="L78" t="s">
        <v>870</v>
      </c>
      <c r="M78" t="s">
        <v>871</v>
      </c>
      <c r="N78" t="s">
        <v>54</v>
      </c>
      <c r="O78" t="s">
        <v>2546</v>
      </c>
      <c r="P78"/>
      <c r="Q78">
        <v>3209836300</v>
      </c>
      <c r="R78">
        <v>3209836345</v>
      </c>
      <c r="S78" t="s">
        <v>1571</v>
      </c>
      <c r="T78" t="s">
        <v>2547</v>
      </c>
      <c r="U78" t="s">
        <v>873</v>
      </c>
      <c r="V78" t="s">
        <v>2548</v>
      </c>
      <c r="W78"/>
      <c r="X78" t="s">
        <v>2142</v>
      </c>
      <c r="Y78" t="s">
        <v>2143</v>
      </c>
      <c r="Z78" t="s">
        <v>2549</v>
      </c>
      <c r="AA78" t="s">
        <v>874</v>
      </c>
      <c r="AB78">
        <v>3209836325</v>
      </c>
      <c r="AC78"/>
      <c r="AD78">
        <v>3209836345</v>
      </c>
      <c r="AE78" t="s">
        <v>2144</v>
      </c>
      <c r="AF78" t="s">
        <v>2550</v>
      </c>
      <c r="AG78"/>
      <c r="AH78" t="s">
        <v>870</v>
      </c>
      <c r="AI78" t="s">
        <v>871</v>
      </c>
      <c r="AJ78" t="s">
        <v>54</v>
      </c>
      <c r="AK78" t="s">
        <v>2546</v>
      </c>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t="s">
        <v>875</v>
      </c>
      <c r="CG78" t="s">
        <v>876</v>
      </c>
      <c r="CH78"/>
      <c r="CI78"/>
      <c r="CJ78"/>
      <c r="CK78"/>
      <c r="CL78"/>
      <c r="CM78"/>
      <c r="CN78">
        <v>250</v>
      </c>
      <c r="CO78">
        <v>255</v>
      </c>
      <c r="CP78"/>
      <c r="CQ78"/>
      <c r="CR78"/>
      <c r="CS78" t="s">
        <v>2397</v>
      </c>
      <c r="CT78">
        <v>12</v>
      </c>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s="569">
        <v>1008</v>
      </c>
      <c r="ET78" t="s">
        <v>2174</v>
      </c>
      <c r="EU78" t="s">
        <v>1578</v>
      </c>
      <c r="EV78" t="s">
        <v>2995</v>
      </c>
      <c r="EW78" t="s">
        <v>1580</v>
      </c>
      <c r="EX78" s="600">
        <v>53527</v>
      </c>
      <c r="EY78">
        <v>1295785079</v>
      </c>
    </row>
    <row r="79" spans="1:155" x14ac:dyDescent="0.2">
      <c r="A79" s="598">
        <v>855</v>
      </c>
      <c r="B79" t="s">
        <v>996</v>
      </c>
      <c r="C79" t="s">
        <v>997</v>
      </c>
      <c r="D79" t="s">
        <v>998</v>
      </c>
      <c r="E79"/>
      <c r="F79" t="s">
        <v>999</v>
      </c>
      <c r="G79" t="s">
        <v>54</v>
      </c>
      <c r="H79" t="s">
        <v>2589</v>
      </c>
      <c r="I79"/>
      <c r="J79" t="s">
        <v>872</v>
      </c>
      <c r="K79"/>
      <c r="L79" t="s">
        <v>870</v>
      </c>
      <c r="M79" t="s">
        <v>871</v>
      </c>
      <c r="N79" t="s">
        <v>54</v>
      </c>
      <c r="O79" t="s">
        <v>2546</v>
      </c>
      <c r="P79"/>
      <c r="Q79">
        <v>3209836300</v>
      </c>
      <c r="R79">
        <v>3209836345</v>
      </c>
      <c r="S79" t="s">
        <v>1571</v>
      </c>
      <c r="T79" t="s">
        <v>2547</v>
      </c>
      <c r="U79" t="s">
        <v>873</v>
      </c>
      <c r="V79" t="s">
        <v>2548</v>
      </c>
      <c r="W79"/>
      <c r="X79" t="s">
        <v>2142</v>
      </c>
      <c r="Y79" t="s">
        <v>2143</v>
      </c>
      <c r="Z79" t="s">
        <v>2549</v>
      </c>
      <c r="AA79" t="s">
        <v>874</v>
      </c>
      <c r="AB79">
        <v>3209836325</v>
      </c>
      <c r="AC79"/>
      <c r="AD79">
        <v>3209836345</v>
      </c>
      <c r="AE79" t="s">
        <v>2144</v>
      </c>
      <c r="AF79" t="s">
        <v>2550</v>
      </c>
      <c r="AG79"/>
      <c r="AH79" t="s">
        <v>870</v>
      </c>
      <c r="AI79" t="s">
        <v>871</v>
      </c>
      <c r="AJ79" t="s">
        <v>54</v>
      </c>
      <c r="AK79" t="s">
        <v>2546</v>
      </c>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t="s">
        <v>875</v>
      </c>
      <c r="CG79" t="s">
        <v>876</v>
      </c>
      <c r="CH79"/>
      <c r="CI79"/>
      <c r="CJ79"/>
      <c r="CK79"/>
      <c r="CL79"/>
      <c r="CM79"/>
      <c r="CN79">
        <v>250</v>
      </c>
      <c r="CO79">
        <v>255</v>
      </c>
      <c r="CP79"/>
      <c r="CQ79"/>
      <c r="CR79"/>
      <c r="CS79" t="s">
        <v>2397</v>
      </c>
      <c r="CT79">
        <v>12</v>
      </c>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s="569">
        <v>1208</v>
      </c>
      <c r="ET79" t="s">
        <v>1590</v>
      </c>
      <c r="EU79" t="s">
        <v>1578</v>
      </c>
      <c r="EV79" t="s">
        <v>2995</v>
      </c>
      <c r="EW79" t="s">
        <v>1580</v>
      </c>
      <c r="EX79" s="600">
        <v>53527</v>
      </c>
      <c r="EY79">
        <v>1295785079</v>
      </c>
    </row>
    <row r="80" spans="1:155" x14ac:dyDescent="0.2">
      <c r="A80" s="598">
        <v>1046</v>
      </c>
      <c r="B80" t="s">
        <v>1000</v>
      </c>
      <c r="C80" t="s">
        <v>1001</v>
      </c>
      <c r="D80" t="s">
        <v>1002</v>
      </c>
      <c r="E80"/>
      <c r="F80" t="s">
        <v>1003</v>
      </c>
      <c r="G80" t="s">
        <v>54</v>
      </c>
      <c r="H80" t="s">
        <v>2590</v>
      </c>
      <c r="I80"/>
      <c r="J80" t="s">
        <v>872</v>
      </c>
      <c r="K80"/>
      <c r="L80" t="s">
        <v>870</v>
      </c>
      <c r="M80" t="s">
        <v>871</v>
      </c>
      <c r="N80" t="s">
        <v>54</v>
      </c>
      <c r="O80" t="s">
        <v>2546</v>
      </c>
      <c r="P80"/>
      <c r="Q80">
        <v>3209836300</v>
      </c>
      <c r="R80">
        <v>3209836345</v>
      </c>
      <c r="S80" t="s">
        <v>1571</v>
      </c>
      <c r="T80" t="s">
        <v>2547</v>
      </c>
      <c r="U80" t="s">
        <v>873</v>
      </c>
      <c r="V80" t="s">
        <v>2548</v>
      </c>
      <c r="W80"/>
      <c r="X80" t="s">
        <v>2142</v>
      </c>
      <c r="Y80" t="s">
        <v>2143</v>
      </c>
      <c r="Z80" t="s">
        <v>2549</v>
      </c>
      <c r="AA80" t="s">
        <v>874</v>
      </c>
      <c r="AB80">
        <v>3209836325</v>
      </c>
      <c r="AC80"/>
      <c r="AD80">
        <v>3209836345</v>
      </c>
      <c r="AE80" t="s">
        <v>2144</v>
      </c>
      <c r="AF80" t="s">
        <v>2550</v>
      </c>
      <c r="AG80"/>
      <c r="AH80" t="s">
        <v>870</v>
      </c>
      <c r="AI80" t="s">
        <v>871</v>
      </c>
      <c r="AJ80" t="s">
        <v>54</v>
      </c>
      <c r="AK80" t="s">
        <v>2546</v>
      </c>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t="s">
        <v>875</v>
      </c>
      <c r="CG80" t="s">
        <v>876</v>
      </c>
      <c r="CH80"/>
      <c r="CI80"/>
      <c r="CJ80"/>
      <c r="CK80"/>
      <c r="CL80"/>
      <c r="CM80"/>
      <c r="CN80">
        <v>250</v>
      </c>
      <c r="CO80">
        <v>255</v>
      </c>
      <c r="CP80"/>
      <c r="CQ80"/>
      <c r="CR80"/>
      <c r="CS80" t="s">
        <v>2397</v>
      </c>
      <c r="CT80">
        <v>12</v>
      </c>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s="569">
        <v>1131</v>
      </c>
      <c r="ET80" t="s">
        <v>1591</v>
      </c>
      <c r="EU80" t="s">
        <v>1578</v>
      </c>
      <c r="EV80" t="s">
        <v>2995</v>
      </c>
      <c r="EW80" t="s">
        <v>1580</v>
      </c>
      <c r="EX80" s="600">
        <v>53527</v>
      </c>
      <c r="EY80">
        <v>1295785079</v>
      </c>
    </row>
    <row r="81" spans="1:155" x14ac:dyDescent="0.2">
      <c r="A81" s="598">
        <v>827</v>
      </c>
      <c r="B81" t="s">
        <v>1004</v>
      </c>
      <c r="C81" t="s">
        <v>1005</v>
      </c>
      <c r="D81" t="s">
        <v>1006</v>
      </c>
      <c r="E81"/>
      <c r="F81" t="s">
        <v>1007</v>
      </c>
      <c r="G81" t="s">
        <v>54</v>
      </c>
      <c r="H81" t="s">
        <v>2591</v>
      </c>
      <c r="I81"/>
      <c r="J81" t="s">
        <v>872</v>
      </c>
      <c r="K81"/>
      <c r="L81" t="s">
        <v>870</v>
      </c>
      <c r="M81" t="s">
        <v>871</v>
      </c>
      <c r="N81" t="s">
        <v>54</v>
      </c>
      <c r="O81" t="s">
        <v>2546</v>
      </c>
      <c r="P81"/>
      <c r="Q81">
        <v>3209836300</v>
      </c>
      <c r="R81">
        <v>3209836345</v>
      </c>
      <c r="S81" t="s">
        <v>1571</v>
      </c>
      <c r="T81" t="s">
        <v>2547</v>
      </c>
      <c r="U81" t="s">
        <v>873</v>
      </c>
      <c r="V81" t="s">
        <v>2548</v>
      </c>
      <c r="W81"/>
      <c r="X81" t="s">
        <v>2142</v>
      </c>
      <c r="Y81" t="s">
        <v>2143</v>
      </c>
      <c r="Z81" t="s">
        <v>2549</v>
      </c>
      <c r="AA81" t="s">
        <v>874</v>
      </c>
      <c r="AB81">
        <v>3209836325</v>
      </c>
      <c r="AC81"/>
      <c r="AD81">
        <v>3209836345</v>
      </c>
      <c r="AE81" t="s">
        <v>2144</v>
      </c>
      <c r="AF81" t="s">
        <v>2550</v>
      </c>
      <c r="AG81"/>
      <c r="AH81" t="s">
        <v>870</v>
      </c>
      <c r="AI81" t="s">
        <v>871</v>
      </c>
      <c r="AJ81" t="s">
        <v>54</v>
      </c>
      <c r="AK81" t="s">
        <v>2546</v>
      </c>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t="s">
        <v>875</v>
      </c>
      <c r="CG81" t="s">
        <v>876</v>
      </c>
      <c r="CH81"/>
      <c r="CI81"/>
      <c r="CJ81"/>
      <c r="CK81"/>
      <c r="CL81"/>
      <c r="CM81"/>
      <c r="CN81">
        <v>250</v>
      </c>
      <c r="CO81">
        <v>255</v>
      </c>
      <c r="CP81"/>
      <c r="CQ81"/>
      <c r="CR81"/>
      <c r="CS81" t="s">
        <v>2397</v>
      </c>
      <c r="CT81">
        <v>12</v>
      </c>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s="569">
        <v>1267</v>
      </c>
      <c r="ET81" t="s">
        <v>2099</v>
      </c>
      <c r="EU81" t="s">
        <v>1578</v>
      </c>
      <c r="EV81" t="s">
        <v>2995</v>
      </c>
      <c r="EW81" t="s">
        <v>1580</v>
      </c>
      <c r="EX81" s="600">
        <v>53527</v>
      </c>
      <c r="EY81">
        <v>1295785079</v>
      </c>
    </row>
    <row r="82" spans="1:155" x14ac:dyDescent="0.2">
      <c r="A82" s="598">
        <v>599</v>
      </c>
      <c r="B82" t="s">
        <v>1008</v>
      </c>
      <c r="C82" t="s">
        <v>1009</v>
      </c>
      <c r="D82" t="s">
        <v>2345</v>
      </c>
      <c r="E82"/>
      <c r="F82" t="s">
        <v>2032</v>
      </c>
      <c r="G82" t="s">
        <v>54</v>
      </c>
      <c r="H82" t="s">
        <v>2592</v>
      </c>
      <c r="I82"/>
      <c r="J82" t="s">
        <v>872</v>
      </c>
      <c r="K82"/>
      <c r="L82" t="s">
        <v>870</v>
      </c>
      <c r="M82" t="s">
        <v>871</v>
      </c>
      <c r="N82" t="s">
        <v>54</v>
      </c>
      <c r="O82" t="s">
        <v>2546</v>
      </c>
      <c r="P82"/>
      <c r="Q82">
        <v>3209836300</v>
      </c>
      <c r="R82">
        <v>3209836345</v>
      </c>
      <c r="S82" t="s">
        <v>1571</v>
      </c>
      <c r="T82" t="s">
        <v>2547</v>
      </c>
      <c r="U82" t="s">
        <v>873</v>
      </c>
      <c r="V82" t="s">
        <v>2548</v>
      </c>
      <c r="W82"/>
      <c r="X82" t="s">
        <v>2142</v>
      </c>
      <c r="Y82" t="s">
        <v>2143</v>
      </c>
      <c r="Z82" t="s">
        <v>2549</v>
      </c>
      <c r="AA82" t="s">
        <v>874</v>
      </c>
      <c r="AB82">
        <v>3209836325</v>
      </c>
      <c r="AC82"/>
      <c r="AD82">
        <v>3209836345</v>
      </c>
      <c r="AE82" t="s">
        <v>2144</v>
      </c>
      <c r="AF82" t="s">
        <v>2550</v>
      </c>
      <c r="AG82"/>
      <c r="AH82" t="s">
        <v>870</v>
      </c>
      <c r="AI82" t="s">
        <v>871</v>
      </c>
      <c r="AJ82" t="s">
        <v>54</v>
      </c>
      <c r="AK82" t="s">
        <v>2546</v>
      </c>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t="s">
        <v>875</v>
      </c>
      <c r="CG82" t="s">
        <v>876</v>
      </c>
      <c r="CH82"/>
      <c r="CI82"/>
      <c r="CJ82"/>
      <c r="CK82"/>
      <c r="CL82"/>
      <c r="CM82"/>
      <c r="CN82">
        <v>250</v>
      </c>
      <c r="CO82">
        <v>255</v>
      </c>
      <c r="CP82"/>
      <c r="CQ82"/>
      <c r="CR82"/>
      <c r="CS82" t="s">
        <v>2397</v>
      </c>
      <c r="CT82">
        <v>12</v>
      </c>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s="569">
        <v>988</v>
      </c>
      <c r="ET82" t="s">
        <v>2848</v>
      </c>
      <c r="EU82" t="s">
        <v>1578</v>
      </c>
      <c r="EV82" t="s">
        <v>2995</v>
      </c>
      <c r="EW82" t="s">
        <v>1580</v>
      </c>
      <c r="EX82" s="600">
        <v>53527</v>
      </c>
      <c r="EY82">
        <v>1295785079</v>
      </c>
    </row>
    <row r="83" spans="1:155" x14ac:dyDescent="0.2">
      <c r="A83" s="598">
        <v>825</v>
      </c>
      <c r="B83" t="s">
        <v>1010</v>
      </c>
      <c r="C83" t="s">
        <v>1011</v>
      </c>
      <c r="D83" t="s">
        <v>1012</v>
      </c>
      <c r="E83"/>
      <c r="F83" t="s">
        <v>1011</v>
      </c>
      <c r="G83" t="s">
        <v>54</v>
      </c>
      <c r="H83" t="s">
        <v>2593</v>
      </c>
      <c r="I83"/>
      <c r="J83" t="s">
        <v>872</v>
      </c>
      <c r="K83"/>
      <c r="L83" t="s">
        <v>870</v>
      </c>
      <c r="M83" t="s">
        <v>871</v>
      </c>
      <c r="N83" t="s">
        <v>54</v>
      </c>
      <c r="O83" t="s">
        <v>2546</v>
      </c>
      <c r="P83"/>
      <c r="Q83">
        <v>3209836300</v>
      </c>
      <c r="R83">
        <v>3209836345</v>
      </c>
      <c r="S83" t="s">
        <v>1571</v>
      </c>
      <c r="T83" t="s">
        <v>2547</v>
      </c>
      <c r="U83" t="s">
        <v>873</v>
      </c>
      <c r="V83" t="s">
        <v>2548</v>
      </c>
      <c r="W83"/>
      <c r="X83" t="s">
        <v>2142</v>
      </c>
      <c r="Y83" t="s">
        <v>2143</v>
      </c>
      <c r="Z83" t="s">
        <v>2549</v>
      </c>
      <c r="AA83" t="s">
        <v>874</v>
      </c>
      <c r="AB83">
        <v>3209836325</v>
      </c>
      <c r="AC83"/>
      <c r="AD83">
        <v>3209836345</v>
      </c>
      <c r="AE83" t="s">
        <v>2144</v>
      </c>
      <c r="AF83" t="s">
        <v>2550</v>
      </c>
      <c r="AG83"/>
      <c r="AH83" t="s">
        <v>870</v>
      </c>
      <c r="AI83" t="s">
        <v>871</v>
      </c>
      <c r="AJ83" t="s">
        <v>54</v>
      </c>
      <c r="AK83" t="s">
        <v>2546</v>
      </c>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t="s">
        <v>875</v>
      </c>
      <c r="CG83" t="s">
        <v>876</v>
      </c>
      <c r="CH83"/>
      <c r="CI83"/>
      <c r="CJ83"/>
      <c r="CK83"/>
      <c r="CL83"/>
      <c r="CM83"/>
      <c r="CN83">
        <v>250</v>
      </c>
      <c r="CO83">
        <v>255</v>
      </c>
      <c r="CP83"/>
      <c r="CQ83"/>
      <c r="CR83"/>
      <c r="CS83" t="s">
        <v>2397</v>
      </c>
      <c r="CT83">
        <v>12</v>
      </c>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s="569">
        <v>904</v>
      </c>
      <c r="ET83" t="s">
        <v>2849</v>
      </c>
      <c r="EU83" t="s">
        <v>1578</v>
      </c>
      <c r="EV83" t="s">
        <v>2995</v>
      </c>
      <c r="EW83" t="s">
        <v>1580</v>
      </c>
      <c r="EX83" s="600">
        <v>53527</v>
      </c>
      <c r="EY83">
        <v>1295785079</v>
      </c>
    </row>
    <row r="84" spans="1:155" x14ac:dyDescent="0.2">
      <c r="A84" s="598">
        <v>829</v>
      </c>
      <c r="B84" t="s">
        <v>1013</v>
      </c>
      <c r="C84" t="s">
        <v>1014</v>
      </c>
      <c r="D84" t="s">
        <v>1015</v>
      </c>
      <c r="E84"/>
      <c r="F84" t="s">
        <v>1016</v>
      </c>
      <c r="G84" t="s">
        <v>54</v>
      </c>
      <c r="H84" t="s">
        <v>2594</v>
      </c>
      <c r="I84"/>
      <c r="J84" t="s">
        <v>872</v>
      </c>
      <c r="K84"/>
      <c r="L84" t="s">
        <v>870</v>
      </c>
      <c r="M84" t="s">
        <v>871</v>
      </c>
      <c r="N84" t="s">
        <v>54</v>
      </c>
      <c r="O84" t="s">
        <v>2546</v>
      </c>
      <c r="P84"/>
      <c r="Q84">
        <v>3209836300</v>
      </c>
      <c r="R84">
        <v>3209836345</v>
      </c>
      <c r="S84" t="s">
        <v>1571</v>
      </c>
      <c r="T84" t="s">
        <v>2547</v>
      </c>
      <c r="U84" t="s">
        <v>873</v>
      </c>
      <c r="V84" t="s">
        <v>2548</v>
      </c>
      <c r="W84"/>
      <c r="X84" t="s">
        <v>2142</v>
      </c>
      <c r="Y84" t="s">
        <v>2143</v>
      </c>
      <c r="Z84" t="s">
        <v>2549</v>
      </c>
      <c r="AA84" t="s">
        <v>874</v>
      </c>
      <c r="AB84">
        <v>3209836325</v>
      </c>
      <c r="AC84"/>
      <c r="AD84">
        <v>3209836345</v>
      </c>
      <c r="AE84" t="s">
        <v>2144</v>
      </c>
      <c r="AF84" t="s">
        <v>2550</v>
      </c>
      <c r="AG84"/>
      <c r="AH84" t="s">
        <v>870</v>
      </c>
      <c r="AI84" t="s">
        <v>871</v>
      </c>
      <c r="AJ84" t="s">
        <v>54</v>
      </c>
      <c r="AK84" t="s">
        <v>2546</v>
      </c>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t="s">
        <v>875</v>
      </c>
      <c r="CG84" t="s">
        <v>876</v>
      </c>
      <c r="CH84"/>
      <c r="CI84"/>
      <c r="CJ84"/>
      <c r="CK84"/>
      <c r="CL84"/>
      <c r="CM84"/>
      <c r="CN84">
        <v>250</v>
      </c>
      <c r="CO84">
        <v>255</v>
      </c>
      <c r="CP84"/>
      <c r="CQ84"/>
      <c r="CR84"/>
      <c r="CS84" t="s">
        <v>2397</v>
      </c>
      <c r="CT84">
        <v>12</v>
      </c>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s="569">
        <v>989</v>
      </c>
      <c r="ET84" t="s">
        <v>1592</v>
      </c>
      <c r="EU84" t="s">
        <v>1578</v>
      </c>
      <c r="EV84" t="s">
        <v>2995</v>
      </c>
      <c r="EW84" t="s">
        <v>1580</v>
      </c>
      <c r="EX84" s="600">
        <v>53527</v>
      </c>
      <c r="EY84">
        <v>1295785079</v>
      </c>
    </row>
    <row r="85" spans="1:155" x14ac:dyDescent="0.2">
      <c r="A85" s="598">
        <v>939</v>
      </c>
      <c r="B85" t="s">
        <v>1017</v>
      </c>
      <c r="C85" t="s">
        <v>1018</v>
      </c>
      <c r="D85" t="s">
        <v>1019</v>
      </c>
      <c r="E85"/>
      <c r="F85" t="s">
        <v>1020</v>
      </c>
      <c r="G85" t="s">
        <v>54</v>
      </c>
      <c r="H85" t="s">
        <v>2595</v>
      </c>
      <c r="I85" t="s">
        <v>2596</v>
      </c>
      <c r="J85" t="s">
        <v>872</v>
      </c>
      <c r="K85"/>
      <c r="L85" t="s">
        <v>870</v>
      </c>
      <c r="M85" t="s">
        <v>871</v>
      </c>
      <c r="N85" t="s">
        <v>54</v>
      </c>
      <c r="O85" t="s">
        <v>2546</v>
      </c>
      <c r="P85"/>
      <c r="Q85">
        <v>3209836300</v>
      </c>
      <c r="R85">
        <v>3209836345</v>
      </c>
      <c r="S85" t="s">
        <v>1571</v>
      </c>
      <c r="T85" t="s">
        <v>2547</v>
      </c>
      <c r="U85" t="s">
        <v>873</v>
      </c>
      <c r="V85" t="s">
        <v>2548</v>
      </c>
      <c r="W85"/>
      <c r="X85" t="s">
        <v>2142</v>
      </c>
      <c r="Y85" t="s">
        <v>2143</v>
      </c>
      <c r="Z85" t="s">
        <v>2549</v>
      </c>
      <c r="AA85" t="s">
        <v>874</v>
      </c>
      <c r="AB85">
        <v>3209836325</v>
      </c>
      <c r="AC85"/>
      <c r="AD85">
        <v>3209836345</v>
      </c>
      <c r="AE85" t="s">
        <v>2144</v>
      </c>
      <c r="AF85" t="s">
        <v>2550</v>
      </c>
      <c r="AG85"/>
      <c r="AH85" t="s">
        <v>870</v>
      </c>
      <c r="AI85" t="s">
        <v>871</v>
      </c>
      <c r="AJ85" t="s">
        <v>54</v>
      </c>
      <c r="AK85" t="s">
        <v>2546</v>
      </c>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t="s">
        <v>875</v>
      </c>
      <c r="CG85" t="s">
        <v>876</v>
      </c>
      <c r="CH85"/>
      <c r="CI85"/>
      <c r="CJ85"/>
      <c r="CK85"/>
      <c r="CL85"/>
      <c r="CM85"/>
      <c r="CN85">
        <v>250</v>
      </c>
      <c r="CO85">
        <v>255</v>
      </c>
      <c r="CP85"/>
      <c r="CQ85"/>
      <c r="CR85"/>
      <c r="CS85" t="s">
        <v>2397</v>
      </c>
      <c r="CT85">
        <v>12</v>
      </c>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s="569">
        <v>1010</v>
      </c>
      <c r="ET85" t="s">
        <v>1593</v>
      </c>
      <c r="EU85" t="s">
        <v>1578</v>
      </c>
      <c r="EV85" t="s">
        <v>2995</v>
      </c>
      <c r="EW85" t="s">
        <v>1580</v>
      </c>
      <c r="EX85" s="600">
        <v>53527</v>
      </c>
      <c r="EY85">
        <v>1295785079</v>
      </c>
    </row>
    <row r="86" spans="1:155" x14ac:dyDescent="0.2">
      <c r="A86" s="598">
        <v>858</v>
      </c>
      <c r="B86" t="s">
        <v>1021</v>
      </c>
      <c r="C86" t="s">
        <v>1022</v>
      </c>
      <c r="D86" t="s">
        <v>1023</v>
      </c>
      <c r="E86"/>
      <c r="F86" t="s">
        <v>1024</v>
      </c>
      <c r="G86" t="s">
        <v>54</v>
      </c>
      <c r="H86" t="s">
        <v>2597</v>
      </c>
      <c r="I86"/>
      <c r="J86" t="s">
        <v>872</v>
      </c>
      <c r="K86"/>
      <c r="L86" t="s">
        <v>870</v>
      </c>
      <c r="M86" t="s">
        <v>871</v>
      </c>
      <c r="N86" t="s">
        <v>54</v>
      </c>
      <c r="O86" t="s">
        <v>2546</v>
      </c>
      <c r="P86"/>
      <c r="Q86">
        <v>3209836300</v>
      </c>
      <c r="R86">
        <v>3209836345</v>
      </c>
      <c r="S86" t="s">
        <v>1571</v>
      </c>
      <c r="T86" t="s">
        <v>2547</v>
      </c>
      <c r="U86" t="s">
        <v>873</v>
      </c>
      <c r="V86" t="s">
        <v>2548</v>
      </c>
      <c r="W86"/>
      <c r="X86" t="s">
        <v>2142</v>
      </c>
      <c r="Y86" t="s">
        <v>2143</v>
      </c>
      <c r="Z86" t="s">
        <v>2549</v>
      </c>
      <c r="AA86" t="s">
        <v>874</v>
      </c>
      <c r="AB86">
        <v>3209836325</v>
      </c>
      <c r="AC86"/>
      <c r="AD86">
        <v>3209836345</v>
      </c>
      <c r="AE86" t="s">
        <v>2144</v>
      </c>
      <c r="AF86" t="s">
        <v>2550</v>
      </c>
      <c r="AG86"/>
      <c r="AH86" t="s">
        <v>870</v>
      </c>
      <c r="AI86" t="s">
        <v>871</v>
      </c>
      <c r="AJ86" t="s">
        <v>54</v>
      </c>
      <c r="AK86" t="s">
        <v>2546</v>
      </c>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t="s">
        <v>875</v>
      </c>
      <c r="CG86" t="s">
        <v>876</v>
      </c>
      <c r="CH86"/>
      <c r="CI86"/>
      <c r="CJ86"/>
      <c r="CK86"/>
      <c r="CL86"/>
      <c r="CM86"/>
      <c r="CN86">
        <v>250</v>
      </c>
      <c r="CO86">
        <v>255</v>
      </c>
      <c r="CP86"/>
      <c r="CQ86"/>
      <c r="CR86"/>
      <c r="CS86" t="s">
        <v>2397</v>
      </c>
      <c r="CT86">
        <v>12</v>
      </c>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s="569">
        <v>1332</v>
      </c>
      <c r="ET86" t="s">
        <v>2175</v>
      </c>
      <c r="EU86" t="s">
        <v>1578</v>
      </c>
      <c r="EV86" t="s">
        <v>2995</v>
      </c>
      <c r="EW86" t="s">
        <v>1580</v>
      </c>
      <c r="EX86" s="600">
        <v>53527</v>
      </c>
      <c r="EY86">
        <v>1295785079</v>
      </c>
    </row>
    <row r="87" spans="1:155" x14ac:dyDescent="0.2">
      <c r="A87" s="598">
        <v>958</v>
      </c>
      <c r="B87" t="s">
        <v>1025</v>
      </c>
      <c r="C87" t="s">
        <v>1026</v>
      </c>
      <c r="D87" t="s">
        <v>1027</v>
      </c>
      <c r="E87"/>
      <c r="F87" t="s">
        <v>1028</v>
      </c>
      <c r="G87" t="s">
        <v>54</v>
      </c>
      <c r="H87" t="s">
        <v>2598</v>
      </c>
      <c r="I87"/>
      <c r="J87" t="s">
        <v>872</v>
      </c>
      <c r="K87"/>
      <c r="L87" t="s">
        <v>870</v>
      </c>
      <c r="M87" t="s">
        <v>871</v>
      </c>
      <c r="N87" t="s">
        <v>54</v>
      </c>
      <c r="O87" t="s">
        <v>2546</v>
      </c>
      <c r="P87"/>
      <c r="Q87">
        <v>3209836300</v>
      </c>
      <c r="R87">
        <v>3209836345</v>
      </c>
      <c r="S87" t="s">
        <v>1571</v>
      </c>
      <c r="T87" t="s">
        <v>2547</v>
      </c>
      <c r="U87" t="s">
        <v>873</v>
      </c>
      <c r="V87" t="s">
        <v>2548</v>
      </c>
      <c r="W87"/>
      <c r="X87" t="s">
        <v>2142</v>
      </c>
      <c r="Y87" t="s">
        <v>2143</v>
      </c>
      <c r="Z87" t="s">
        <v>2549</v>
      </c>
      <c r="AA87" t="s">
        <v>874</v>
      </c>
      <c r="AB87">
        <v>3209836325</v>
      </c>
      <c r="AC87"/>
      <c r="AD87">
        <v>3209836345</v>
      </c>
      <c r="AE87" t="s">
        <v>2144</v>
      </c>
      <c r="AF87" t="s">
        <v>2550</v>
      </c>
      <c r="AG87"/>
      <c r="AH87" t="s">
        <v>870</v>
      </c>
      <c r="AI87" t="s">
        <v>871</v>
      </c>
      <c r="AJ87" t="s">
        <v>54</v>
      </c>
      <c r="AK87" t="s">
        <v>2546</v>
      </c>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t="s">
        <v>875</v>
      </c>
      <c r="CG87" t="s">
        <v>876</v>
      </c>
      <c r="CH87"/>
      <c r="CI87"/>
      <c r="CJ87"/>
      <c r="CK87"/>
      <c r="CL87"/>
      <c r="CM87"/>
      <c r="CN87">
        <v>250</v>
      </c>
      <c r="CO87">
        <v>255</v>
      </c>
      <c r="CP87"/>
      <c r="CQ87"/>
      <c r="CR87"/>
      <c r="CS87" t="s">
        <v>2397</v>
      </c>
      <c r="CT87">
        <v>12</v>
      </c>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s="569">
        <v>1333</v>
      </c>
      <c r="ET87" t="s">
        <v>2176</v>
      </c>
      <c r="EU87" t="s">
        <v>1578</v>
      </c>
      <c r="EV87" t="s">
        <v>2995</v>
      </c>
      <c r="EW87" t="s">
        <v>1580</v>
      </c>
      <c r="EX87" s="600">
        <v>53527</v>
      </c>
      <c r="EY87">
        <v>1295785079</v>
      </c>
    </row>
    <row r="88" spans="1:155" x14ac:dyDescent="0.2">
      <c r="A88" s="598">
        <v>843</v>
      </c>
      <c r="B88" t="s">
        <v>1029</v>
      </c>
      <c r="C88" t="s">
        <v>1030</v>
      </c>
      <c r="D88" t="s">
        <v>1031</v>
      </c>
      <c r="E88"/>
      <c r="F88" t="s">
        <v>1032</v>
      </c>
      <c r="G88" t="s">
        <v>54</v>
      </c>
      <c r="H88" t="s">
        <v>2599</v>
      </c>
      <c r="I88"/>
      <c r="J88" t="s">
        <v>872</v>
      </c>
      <c r="K88"/>
      <c r="L88" t="s">
        <v>870</v>
      </c>
      <c r="M88" t="s">
        <v>871</v>
      </c>
      <c r="N88" t="s">
        <v>54</v>
      </c>
      <c r="O88" t="s">
        <v>2546</v>
      </c>
      <c r="P88"/>
      <c r="Q88">
        <v>3209836300</v>
      </c>
      <c r="R88">
        <v>3209836345</v>
      </c>
      <c r="S88" t="s">
        <v>1571</v>
      </c>
      <c r="T88" t="s">
        <v>2547</v>
      </c>
      <c r="U88" t="s">
        <v>873</v>
      </c>
      <c r="V88" t="s">
        <v>2548</v>
      </c>
      <c r="W88"/>
      <c r="X88" t="s">
        <v>2142</v>
      </c>
      <c r="Y88" t="s">
        <v>2143</v>
      </c>
      <c r="Z88" t="s">
        <v>2549</v>
      </c>
      <c r="AA88" t="s">
        <v>874</v>
      </c>
      <c r="AB88">
        <v>3209836325</v>
      </c>
      <c r="AC88"/>
      <c r="AD88">
        <v>3209836345</v>
      </c>
      <c r="AE88" t="s">
        <v>2144</v>
      </c>
      <c r="AF88" t="s">
        <v>2550</v>
      </c>
      <c r="AG88"/>
      <c r="AH88" t="s">
        <v>870</v>
      </c>
      <c r="AI88" t="s">
        <v>871</v>
      </c>
      <c r="AJ88" t="s">
        <v>54</v>
      </c>
      <c r="AK88" t="s">
        <v>2546</v>
      </c>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t="s">
        <v>875</v>
      </c>
      <c r="CG88" t="s">
        <v>876</v>
      </c>
      <c r="CH88"/>
      <c r="CI88"/>
      <c r="CJ88"/>
      <c r="CK88"/>
      <c r="CL88"/>
      <c r="CM88"/>
      <c r="CN88">
        <v>250</v>
      </c>
      <c r="CO88">
        <v>255</v>
      </c>
      <c r="CP88"/>
      <c r="CQ88"/>
      <c r="CR88"/>
      <c r="CS88" t="s">
        <v>2397</v>
      </c>
      <c r="CT88">
        <v>12</v>
      </c>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s="569">
        <v>1132</v>
      </c>
      <c r="ET88" t="s">
        <v>2851</v>
      </c>
      <c r="EU88" t="s">
        <v>1578</v>
      </c>
      <c r="EV88" t="s">
        <v>2995</v>
      </c>
      <c r="EW88" t="s">
        <v>1580</v>
      </c>
      <c r="EX88" s="600">
        <v>53527</v>
      </c>
      <c r="EY88">
        <v>1295785079</v>
      </c>
    </row>
    <row r="89" spans="1:155" x14ac:dyDescent="0.2">
      <c r="A89" s="598">
        <v>852</v>
      </c>
      <c r="B89" t="s">
        <v>1033</v>
      </c>
      <c r="C89" t="s">
        <v>1034</v>
      </c>
      <c r="D89" t="s">
        <v>1035</v>
      </c>
      <c r="E89"/>
      <c r="F89" t="s">
        <v>1036</v>
      </c>
      <c r="G89" t="s">
        <v>54</v>
      </c>
      <c r="H89" t="s">
        <v>2600</v>
      </c>
      <c r="I89"/>
      <c r="J89" t="s">
        <v>872</v>
      </c>
      <c r="K89"/>
      <c r="L89" t="s">
        <v>870</v>
      </c>
      <c r="M89" t="s">
        <v>871</v>
      </c>
      <c r="N89" t="s">
        <v>54</v>
      </c>
      <c r="O89" t="s">
        <v>2546</v>
      </c>
      <c r="P89"/>
      <c r="Q89">
        <v>3209836300</v>
      </c>
      <c r="R89">
        <v>3209836345</v>
      </c>
      <c r="S89" t="s">
        <v>1571</v>
      </c>
      <c r="T89" t="s">
        <v>2547</v>
      </c>
      <c r="U89" t="s">
        <v>873</v>
      </c>
      <c r="V89" t="s">
        <v>2548</v>
      </c>
      <c r="W89"/>
      <c r="X89" t="s">
        <v>2142</v>
      </c>
      <c r="Y89" t="s">
        <v>2143</v>
      </c>
      <c r="Z89" t="s">
        <v>2549</v>
      </c>
      <c r="AA89" t="s">
        <v>874</v>
      </c>
      <c r="AB89">
        <v>3209836325</v>
      </c>
      <c r="AC89"/>
      <c r="AD89">
        <v>3209836345</v>
      </c>
      <c r="AE89" t="s">
        <v>2144</v>
      </c>
      <c r="AF89" t="s">
        <v>2550</v>
      </c>
      <c r="AG89"/>
      <c r="AH89" t="s">
        <v>870</v>
      </c>
      <c r="AI89" t="s">
        <v>871</v>
      </c>
      <c r="AJ89" t="s">
        <v>54</v>
      </c>
      <c r="AK89" t="s">
        <v>2546</v>
      </c>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t="s">
        <v>875</v>
      </c>
      <c r="CG89" t="s">
        <v>876</v>
      </c>
      <c r="CH89"/>
      <c r="CI89"/>
      <c r="CJ89"/>
      <c r="CK89"/>
      <c r="CL89"/>
      <c r="CM89"/>
      <c r="CN89">
        <v>250</v>
      </c>
      <c r="CO89">
        <v>255</v>
      </c>
      <c r="CP89"/>
      <c r="CQ89"/>
      <c r="CR89"/>
      <c r="CS89" t="s">
        <v>2397</v>
      </c>
      <c r="CT89">
        <v>12</v>
      </c>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s="569">
        <v>1413</v>
      </c>
      <c r="ET89" t="s">
        <v>2853</v>
      </c>
      <c r="EU89" t="s">
        <v>1578</v>
      </c>
      <c r="EV89" t="s">
        <v>2995</v>
      </c>
      <c r="EW89" t="s">
        <v>1580</v>
      </c>
      <c r="EX89" s="600">
        <v>53527</v>
      </c>
      <c r="EY89">
        <v>1295785079</v>
      </c>
    </row>
    <row r="90" spans="1:155" x14ac:dyDescent="0.2">
      <c r="A90" s="598">
        <v>831</v>
      </c>
      <c r="B90" t="s">
        <v>1037</v>
      </c>
      <c r="C90" t="s">
        <v>1038</v>
      </c>
      <c r="D90" t="s">
        <v>1039</v>
      </c>
      <c r="E90"/>
      <c r="F90" t="s">
        <v>879</v>
      </c>
      <c r="G90" t="s">
        <v>54</v>
      </c>
      <c r="H90" t="s">
        <v>2601</v>
      </c>
      <c r="I90"/>
      <c r="J90" t="s">
        <v>872</v>
      </c>
      <c r="K90"/>
      <c r="L90" t="s">
        <v>870</v>
      </c>
      <c r="M90" t="s">
        <v>871</v>
      </c>
      <c r="N90" t="s">
        <v>54</v>
      </c>
      <c r="O90" t="s">
        <v>2546</v>
      </c>
      <c r="P90"/>
      <c r="Q90">
        <v>3209836300</v>
      </c>
      <c r="R90">
        <v>3209836345</v>
      </c>
      <c r="S90" t="s">
        <v>1571</v>
      </c>
      <c r="T90" t="s">
        <v>2547</v>
      </c>
      <c r="U90" t="s">
        <v>873</v>
      </c>
      <c r="V90" t="s">
        <v>2548</v>
      </c>
      <c r="W90"/>
      <c r="X90" t="s">
        <v>2142</v>
      </c>
      <c r="Y90" t="s">
        <v>2143</v>
      </c>
      <c r="Z90" t="s">
        <v>2549</v>
      </c>
      <c r="AA90" t="s">
        <v>874</v>
      </c>
      <c r="AB90">
        <v>3209836325</v>
      </c>
      <c r="AC90"/>
      <c r="AD90">
        <v>3209836345</v>
      </c>
      <c r="AE90" t="s">
        <v>2144</v>
      </c>
      <c r="AF90" t="s">
        <v>2550</v>
      </c>
      <c r="AG90"/>
      <c r="AH90" t="s">
        <v>870</v>
      </c>
      <c r="AI90" t="s">
        <v>871</v>
      </c>
      <c r="AJ90" t="s">
        <v>54</v>
      </c>
      <c r="AK90" t="s">
        <v>2546</v>
      </c>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t="s">
        <v>875</v>
      </c>
      <c r="CG90" t="s">
        <v>876</v>
      </c>
      <c r="CH90"/>
      <c r="CI90"/>
      <c r="CJ90"/>
      <c r="CK90"/>
      <c r="CL90"/>
      <c r="CM90"/>
      <c r="CN90">
        <v>250</v>
      </c>
      <c r="CO90">
        <v>255</v>
      </c>
      <c r="CP90"/>
      <c r="CQ90"/>
      <c r="CR90"/>
      <c r="CS90" t="s">
        <v>2397</v>
      </c>
      <c r="CT90">
        <v>12</v>
      </c>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s="569">
        <v>1334</v>
      </c>
      <c r="ET90" t="s">
        <v>2177</v>
      </c>
      <c r="EU90" t="s">
        <v>1578</v>
      </c>
      <c r="EV90" t="s">
        <v>2995</v>
      </c>
      <c r="EW90" t="s">
        <v>1580</v>
      </c>
      <c r="EX90" s="600">
        <v>53527</v>
      </c>
      <c r="EY90">
        <v>1295785079</v>
      </c>
    </row>
    <row r="91" spans="1:155" x14ac:dyDescent="0.2">
      <c r="A91" s="598">
        <v>860</v>
      </c>
      <c r="B91" t="s">
        <v>1040</v>
      </c>
      <c r="C91" t="s">
        <v>963</v>
      </c>
      <c r="D91" t="s">
        <v>1041</v>
      </c>
      <c r="E91"/>
      <c r="F91" t="s">
        <v>963</v>
      </c>
      <c r="G91" t="s">
        <v>54</v>
      </c>
      <c r="H91" t="s">
        <v>2602</v>
      </c>
      <c r="I91"/>
      <c r="J91" t="s">
        <v>872</v>
      </c>
      <c r="K91"/>
      <c r="L91" t="s">
        <v>870</v>
      </c>
      <c r="M91" t="s">
        <v>871</v>
      </c>
      <c r="N91" t="s">
        <v>54</v>
      </c>
      <c r="O91" t="s">
        <v>2546</v>
      </c>
      <c r="P91"/>
      <c r="Q91">
        <v>3209836300</v>
      </c>
      <c r="R91">
        <v>3209836345</v>
      </c>
      <c r="S91" t="s">
        <v>1571</v>
      </c>
      <c r="T91" t="s">
        <v>2547</v>
      </c>
      <c r="U91" t="s">
        <v>873</v>
      </c>
      <c r="V91" t="s">
        <v>2548</v>
      </c>
      <c r="W91"/>
      <c r="X91" t="s">
        <v>2142</v>
      </c>
      <c r="Y91" t="s">
        <v>2143</v>
      </c>
      <c r="Z91" t="s">
        <v>2549</v>
      </c>
      <c r="AA91" t="s">
        <v>874</v>
      </c>
      <c r="AB91">
        <v>3209836325</v>
      </c>
      <c r="AC91"/>
      <c r="AD91">
        <v>3209836345</v>
      </c>
      <c r="AE91" t="s">
        <v>2144</v>
      </c>
      <c r="AF91" t="s">
        <v>2550</v>
      </c>
      <c r="AG91"/>
      <c r="AH91" t="s">
        <v>870</v>
      </c>
      <c r="AI91" t="s">
        <v>871</v>
      </c>
      <c r="AJ91" t="s">
        <v>54</v>
      </c>
      <c r="AK91" t="s">
        <v>2546</v>
      </c>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t="s">
        <v>875</v>
      </c>
      <c r="CG91" t="s">
        <v>876</v>
      </c>
      <c r="CH91"/>
      <c r="CI91"/>
      <c r="CJ91"/>
      <c r="CK91"/>
      <c r="CL91"/>
      <c r="CM91"/>
      <c r="CN91">
        <v>250</v>
      </c>
      <c r="CO91">
        <v>255</v>
      </c>
      <c r="CP91"/>
      <c r="CQ91"/>
      <c r="CR91"/>
      <c r="CS91" t="s">
        <v>2397</v>
      </c>
      <c r="CT91">
        <v>12</v>
      </c>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s="569">
        <v>1414</v>
      </c>
      <c r="ET91" t="s">
        <v>2854</v>
      </c>
      <c r="EU91" t="s">
        <v>1578</v>
      </c>
      <c r="EV91" t="s">
        <v>2995</v>
      </c>
      <c r="EW91" t="s">
        <v>1580</v>
      </c>
      <c r="EX91" s="600">
        <v>53527</v>
      </c>
      <c r="EY91">
        <v>1295785079</v>
      </c>
    </row>
    <row r="92" spans="1:155" x14ac:dyDescent="0.2">
      <c r="A92" s="598">
        <v>833</v>
      </c>
      <c r="B92" t="s">
        <v>1042</v>
      </c>
      <c r="C92" t="s">
        <v>1043</v>
      </c>
      <c r="D92" t="s">
        <v>1044</v>
      </c>
      <c r="E92"/>
      <c r="F92" t="s">
        <v>1045</v>
      </c>
      <c r="G92" t="s">
        <v>54</v>
      </c>
      <c r="H92" t="s">
        <v>2603</v>
      </c>
      <c r="I92"/>
      <c r="J92" t="s">
        <v>872</v>
      </c>
      <c r="K92"/>
      <c r="L92" t="s">
        <v>870</v>
      </c>
      <c r="M92" t="s">
        <v>871</v>
      </c>
      <c r="N92" t="s">
        <v>54</v>
      </c>
      <c r="O92" t="s">
        <v>2546</v>
      </c>
      <c r="P92"/>
      <c r="Q92">
        <v>3209836300</v>
      </c>
      <c r="R92">
        <v>3209836345</v>
      </c>
      <c r="S92" t="s">
        <v>1571</v>
      </c>
      <c r="T92" t="s">
        <v>2547</v>
      </c>
      <c r="U92" t="s">
        <v>873</v>
      </c>
      <c r="V92" t="s">
        <v>2548</v>
      </c>
      <c r="W92"/>
      <c r="X92" t="s">
        <v>2142</v>
      </c>
      <c r="Y92" t="s">
        <v>2143</v>
      </c>
      <c r="Z92" t="s">
        <v>2549</v>
      </c>
      <c r="AA92" t="s">
        <v>874</v>
      </c>
      <c r="AB92">
        <v>3209836325</v>
      </c>
      <c r="AC92"/>
      <c r="AD92">
        <v>3209836345</v>
      </c>
      <c r="AE92" t="s">
        <v>2144</v>
      </c>
      <c r="AF92" t="s">
        <v>2550</v>
      </c>
      <c r="AG92"/>
      <c r="AH92" t="s">
        <v>870</v>
      </c>
      <c r="AI92" t="s">
        <v>871</v>
      </c>
      <c r="AJ92" t="s">
        <v>54</v>
      </c>
      <c r="AK92" t="s">
        <v>2546</v>
      </c>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t="s">
        <v>875</v>
      </c>
      <c r="CG92" t="s">
        <v>876</v>
      </c>
      <c r="CH92"/>
      <c r="CI92"/>
      <c r="CJ92"/>
      <c r="CK92"/>
      <c r="CL92"/>
      <c r="CM92"/>
      <c r="CN92">
        <v>250</v>
      </c>
      <c r="CO92">
        <v>255</v>
      </c>
      <c r="CP92"/>
      <c r="CQ92"/>
      <c r="CR92"/>
      <c r="CS92" t="s">
        <v>2397</v>
      </c>
      <c r="CT92">
        <v>12</v>
      </c>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s="569">
        <v>1133</v>
      </c>
      <c r="ET92" t="s">
        <v>1594</v>
      </c>
      <c r="EU92" t="s">
        <v>1578</v>
      </c>
      <c r="EV92" t="s">
        <v>2995</v>
      </c>
      <c r="EW92" t="s">
        <v>1580</v>
      </c>
      <c r="EX92" s="600">
        <v>53527</v>
      </c>
      <c r="EY92">
        <v>1295785079</v>
      </c>
    </row>
    <row r="93" spans="1:155" x14ac:dyDescent="0.2">
      <c r="A93" s="598">
        <v>300</v>
      </c>
      <c r="B93" t="s">
        <v>2226</v>
      </c>
      <c r="C93" t="s">
        <v>1046</v>
      </c>
      <c r="D93" t="s">
        <v>2227</v>
      </c>
      <c r="E93"/>
      <c r="F93" t="s">
        <v>737</v>
      </c>
      <c r="G93" t="s">
        <v>54</v>
      </c>
      <c r="H93" t="s">
        <v>2604</v>
      </c>
      <c r="I93"/>
      <c r="J93" t="s">
        <v>2227</v>
      </c>
      <c r="K93"/>
      <c r="L93" t="s">
        <v>1046</v>
      </c>
      <c r="M93" t="s">
        <v>737</v>
      </c>
      <c r="N93" t="s">
        <v>54</v>
      </c>
      <c r="O93" t="s">
        <v>2604</v>
      </c>
      <c r="P93"/>
      <c r="Q93">
        <v>9529308600</v>
      </c>
      <c r="R93">
        <v>9529308650</v>
      </c>
      <c r="S93" t="s">
        <v>2228</v>
      </c>
      <c r="T93" t="s">
        <v>2229</v>
      </c>
      <c r="U93" t="s">
        <v>2230</v>
      </c>
      <c r="V93" t="s">
        <v>2231</v>
      </c>
      <c r="W93" t="s">
        <v>2232</v>
      </c>
      <c r="X93" t="s">
        <v>865</v>
      </c>
      <c r="Y93" t="s">
        <v>2233</v>
      </c>
      <c r="Z93" t="s">
        <v>1092</v>
      </c>
      <c r="AA93" t="s">
        <v>2226</v>
      </c>
      <c r="AB93">
        <v>9529925406</v>
      </c>
      <c r="AC93"/>
      <c r="AD93">
        <v>9529925600</v>
      </c>
      <c r="AE93" t="s">
        <v>2234</v>
      </c>
      <c r="AF93" t="s">
        <v>2235</v>
      </c>
      <c r="AG93"/>
      <c r="AH93" t="s">
        <v>1049</v>
      </c>
      <c r="AI93" t="s">
        <v>737</v>
      </c>
      <c r="AJ93" t="s">
        <v>54</v>
      </c>
      <c r="AK93" t="s">
        <v>2605</v>
      </c>
      <c r="AL93"/>
      <c r="AM93" t="s">
        <v>2606</v>
      </c>
      <c r="AN93" t="s">
        <v>2607</v>
      </c>
      <c r="AO93" t="s">
        <v>2608</v>
      </c>
      <c r="AP93" t="s">
        <v>2226</v>
      </c>
      <c r="AQ93">
        <v>6128136516</v>
      </c>
      <c r="AR93"/>
      <c r="AS93">
        <v>6128136673</v>
      </c>
      <c r="AT93"/>
      <c r="AU93" t="s">
        <v>2227</v>
      </c>
      <c r="AV93"/>
      <c r="AW93" t="s">
        <v>1046</v>
      </c>
      <c r="AX93" t="s">
        <v>737</v>
      </c>
      <c r="AY93" t="s">
        <v>54</v>
      </c>
      <c r="AZ93" t="s">
        <v>2604</v>
      </c>
      <c r="BA93"/>
      <c r="BB93"/>
      <c r="BC93"/>
      <c r="BD93"/>
      <c r="BE93"/>
      <c r="BF93"/>
      <c r="BG93"/>
      <c r="BH93"/>
      <c r="BI93"/>
      <c r="BJ93"/>
      <c r="BK93"/>
      <c r="BL93"/>
      <c r="BM93"/>
      <c r="BN93"/>
      <c r="BO93"/>
      <c r="BP93"/>
      <c r="BQ93" t="s">
        <v>865</v>
      </c>
      <c r="BR93" t="s">
        <v>2233</v>
      </c>
      <c r="BS93" t="s">
        <v>1092</v>
      </c>
      <c r="BT93" t="s">
        <v>2226</v>
      </c>
      <c r="BU93">
        <v>9529925406</v>
      </c>
      <c r="BV93"/>
      <c r="BW93">
        <v>9529925600</v>
      </c>
      <c r="BX93" t="s">
        <v>2234</v>
      </c>
      <c r="BY93" t="s">
        <v>2235</v>
      </c>
      <c r="BZ93"/>
      <c r="CA93" t="s">
        <v>1049</v>
      </c>
      <c r="CB93" t="s">
        <v>737</v>
      </c>
      <c r="CC93" t="s">
        <v>54</v>
      </c>
      <c r="CD93" t="s">
        <v>2605</v>
      </c>
      <c r="CE93"/>
      <c r="CF93" t="s">
        <v>2236</v>
      </c>
      <c r="CG93" t="s">
        <v>2237</v>
      </c>
      <c r="CH93" t="s">
        <v>141</v>
      </c>
      <c r="CI93"/>
      <c r="CJ93"/>
      <c r="CK93"/>
      <c r="CL93"/>
      <c r="CM93">
        <v>1952405284</v>
      </c>
      <c r="CN93">
        <v>94</v>
      </c>
      <c r="CO93">
        <v>6</v>
      </c>
      <c r="CP93">
        <v>30</v>
      </c>
      <c r="CQ93"/>
      <c r="CR93">
        <v>6</v>
      </c>
      <c r="CS93" t="s">
        <v>2397</v>
      </c>
      <c r="CT93">
        <v>12</v>
      </c>
      <c r="CU93"/>
      <c r="CV93">
        <v>411889375</v>
      </c>
      <c r="CW93"/>
      <c r="CX93"/>
      <c r="CY93"/>
      <c r="CZ93"/>
      <c r="DA93"/>
      <c r="DB93"/>
      <c r="DC93"/>
      <c r="DD93">
        <v>128</v>
      </c>
      <c r="DE93" t="s">
        <v>2609</v>
      </c>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s="569">
        <v>1375</v>
      </c>
      <c r="ET93" t="s">
        <v>2205</v>
      </c>
      <c r="EU93" t="s">
        <v>1596</v>
      </c>
      <c r="EV93" t="s">
        <v>2996</v>
      </c>
      <c r="EW93" t="s">
        <v>54</v>
      </c>
      <c r="EX93" s="600">
        <v>56716</v>
      </c>
      <c r="EY93">
        <v>1760494330</v>
      </c>
    </row>
    <row r="94" spans="1:155" x14ac:dyDescent="0.2">
      <c r="A94" s="598">
        <v>523</v>
      </c>
      <c r="B94" t="s">
        <v>1050</v>
      </c>
      <c r="C94" t="s">
        <v>928</v>
      </c>
      <c r="D94" t="s">
        <v>1051</v>
      </c>
      <c r="E94"/>
      <c r="F94" t="s">
        <v>1052</v>
      </c>
      <c r="G94" t="s">
        <v>54</v>
      </c>
      <c r="H94" t="s">
        <v>2568</v>
      </c>
      <c r="I94"/>
      <c r="J94" t="s">
        <v>1051</v>
      </c>
      <c r="K94"/>
      <c r="L94" t="s">
        <v>928</v>
      </c>
      <c r="M94" t="s">
        <v>1052</v>
      </c>
      <c r="N94" t="s">
        <v>54</v>
      </c>
      <c r="O94" t="s">
        <v>2568</v>
      </c>
      <c r="P94"/>
      <c r="Q94">
        <v>2188476316</v>
      </c>
      <c r="R94">
        <v>2188476303</v>
      </c>
      <c r="S94" t="s">
        <v>804</v>
      </c>
      <c r="T94" t="s">
        <v>1053</v>
      </c>
      <c r="U94" t="s">
        <v>873</v>
      </c>
      <c r="V94"/>
      <c r="W94" t="s">
        <v>2033</v>
      </c>
      <c r="X94" t="s">
        <v>765</v>
      </c>
      <c r="Y94" t="s">
        <v>1054</v>
      </c>
      <c r="Z94" t="s">
        <v>1055</v>
      </c>
      <c r="AA94" t="s">
        <v>1056</v>
      </c>
      <c r="AB94">
        <v>7015516909</v>
      </c>
      <c r="AC94"/>
      <c r="AD94">
        <v>7012359660</v>
      </c>
      <c r="AE94" t="s">
        <v>1057</v>
      </c>
      <c r="AF94" t="s">
        <v>1058</v>
      </c>
      <c r="AG94" t="s">
        <v>1059</v>
      </c>
      <c r="AH94" t="s">
        <v>1060</v>
      </c>
      <c r="AI94" t="s">
        <v>1061</v>
      </c>
      <c r="AJ94" t="s">
        <v>1062</v>
      </c>
      <c r="AK94" t="s">
        <v>2610</v>
      </c>
      <c r="AL94" t="s">
        <v>2611</v>
      </c>
      <c r="AM94" t="s">
        <v>1063</v>
      </c>
      <c r="AN94" t="s">
        <v>2612</v>
      </c>
      <c r="AO94" t="s">
        <v>1064</v>
      </c>
      <c r="AP94" t="s">
        <v>1056</v>
      </c>
      <c r="AQ94">
        <v>7015516907</v>
      </c>
      <c r="AR94"/>
      <c r="AS94">
        <v>7012349466</v>
      </c>
      <c r="AT94" t="s">
        <v>2613</v>
      </c>
      <c r="AU94" t="s">
        <v>1058</v>
      </c>
      <c r="AV94" t="s">
        <v>1059</v>
      </c>
      <c r="AW94" t="s">
        <v>1060</v>
      </c>
      <c r="AX94" t="s">
        <v>1061</v>
      </c>
      <c r="AY94" t="s">
        <v>1062</v>
      </c>
      <c r="AZ94" t="s">
        <v>2610</v>
      </c>
      <c r="BA94" t="s">
        <v>2611</v>
      </c>
      <c r="BB94"/>
      <c r="BC94"/>
      <c r="BD94"/>
      <c r="BE94"/>
      <c r="BF94"/>
      <c r="BG94"/>
      <c r="BH94"/>
      <c r="BI94"/>
      <c r="BJ94"/>
      <c r="BK94"/>
      <c r="BL94"/>
      <c r="BM94"/>
      <c r="BN94"/>
      <c r="BO94"/>
      <c r="BP94"/>
      <c r="BQ94"/>
      <c r="BR94"/>
      <c r="BS94"/>
      <c r="BT94"/>
      <c r="BU94"/>
      <c r="BV94"/>
      <c r="BW94"/>
      <c r="BX94"/>
      <c r="BY94"/>
      <c r="BZ94"/>
      <c r="CA94"/>
      <c r="CB94"/>
      <c r="CC94"/>
      <c r="CD94"/>
      <c r="CE94"/>
      <c r="CF94" t="s">
        <v>1065</v>
      </c>
      <c r="CG94" t="s">
        <v>1056</v>
      </c>
      <c r="CH94" t="s">
        <v>141</v>
      </c>
      <c r="CI94"/>
      <c r="CJ94"/>
      <c r="CK94"/>
      <c r="CL94"/>
      <c r="CM94">
        <v>1023039278</v>
      </c>
      <c r="CN94">
        <v>325</v>
      </c>
      <c r="CO94">
        <v>2096</v>
      </c>
      <c r="CP94">
        <v>168</v>
      </c>
      <c r="CQ94"/>
      <c r="CR94"/>
      <c r="CS94" t="s">
        <v>2397</v>
      </c>
      <c r="CT94">
        <v>12</v>
      </c>
      <c r="CU94"/>
      <c r="CV94"/>
      <c r="CW94"/>
      <c r="CX94"/>
      <c r="CY94"/>
      <c r="CZ94"/>
      <c r="DA94"/>
      <c r="DB94"/>
      <c r="DC94"/>
      <c r="DD94">
        <v>128</v>
      </c>
      <c r="DE94" t="s">
        <v>2614</v>
      </c>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s="569">
        <v>119</v>
      </c>
      <c r="ET94" t="s">
        <v>1831</v>
      </c>
      <c r="EU94" t="s">
        <v>1596</v>
      </c>
      <c r="EV94" t="s">
        <v>2280</v>
      </c>
      <c r="EW94" t="s">
        <v>54</v>
      </c>
      <c r="EX94" s="599">
        <v>56716</v>
      </c>
      <c r="EY94">
        <v>1477525566</v>
      </c>
    </row>
    <row r="95" spans="1:155" x14ac:dyDescent="0.2">
      <c r="A95" s="598">
        <v>564</v>
      </c>
      <c r="B95" t="s">
        <v>1066</v>
      </c>
      <c r="C95" t="s">
        <v>1067</v>
      </c>
      <c r="D95" t="s">
        <v>1068</v>
      </c>
      <c r="E95"/>
      <c r="F95" t="s">
        <v>737</v>
      </c>
      <c r="G95" t="s">
        <v>54</v>
      </c>
      <c r="H95" t="s">
        <v>2615</v>
      </c>
      <c r="I95"/>
      <c r="J95" t="s">
        <v>1068</v>
      </c>
      <c r="K95"/>
      <c r="L95" t="s">
        <v>1067</v>
      </c>
      <c r="M95" t="s">
        <v>737</v>
      </c>
      <c r="N95" t="s">
        <v>54</v>
      </c>
      <c r="O95" t="s">
        <v>2615</v>
      </c>
      <c r="P95"/>
      <c r="Q95">
        <v>7635094720</v>
      </c>
      <c r="R95">
        <v>7635094738</v>
      </c>
      <c r="S95" t="s">
        <v>1069</v>
      </c>
      <c r="T95" t="s">
        <v>1070</v>
      </c>
      <c r="U95" t="s">
        <v>1071</v>
      </c>
      <c r="V95" t="s">
        <v>1072</v>
      </c>
      <c r="W95" t="s">
        <v>1073</v>
      </c>
      <c r="X95" t="s">
        <v>1074</v>
      </c>
      <c r="Y95" t="s">
        <v>1075</v>
      </c>
      <c r="Z95" t="s">
        <v>1076</v>
      </c>
      <c r="AA95" t="s">
        <v>1066</v>
      </c>
      <c r="AB95">
        <v>6125732233</v>
      </c>
      <c r="AC95"/>
      <c r="AD95">
        <v>6125732240</v>
      </c>
      <c r="AE95" t="s">
        <v>1077</v>
      </c>
      <c r="AF95" t="s">
        <v>1078</v>
      </c>
      <c r="AG95"/>
      <c r="AH95" t="s">
        <v>764</v>
      </c>
      <c r="AI95" t="s">
        <v>737</v>
      </c>
      <c r="AJ95" t="s">
        <v>54</v>
      </c>
      <c r="AK95" t="s">
        <v>2616</v>
      </c>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t="s">
        <v>1079</v>
      </c>
      <c r="CG95" t="s">
        <v>1066</v>
      </c>
      <c r="CH95" t="s">
        <v>141</v>
      </c>
      <c r="CI95"/>
      <c r="CJ95"/>
      <c r="CK95"/>
      <c r="CL95"/>
      <c r="CM95"/>
      <c r="CN95">
        <v>367</v>
      </c>
      <c r="CO95">
        <v>264</v>
      </c>
      <c r="CP95"/>
      <c r="CQ95"/>
      <c r="CR95"/>
      <c r="CS95" t="s">
        <v>2397</v>
      </c>
      <c r="CT95">
        <v>12</v>
      </c>
      <c r="CU95"/>
      <c r="CV95"/>
      <c r="CW95"/>
      <c r="CX95"/>
      <c r="CY95"/>
      <c r="CZ95"/>
      <c r="DA95"/>
      <c r="DB95"/>
      <c r="DC95"/>
      <c r="DD95">
        <v>128</v>
      </c>
      <c r="DE95" t="s">
        <v>2617</v>
      </c>
      <c r="DF95"/>
      <c r="DG95"/>
      <c r="DH95">
        <v>129</v>
      </c>
      <c r="DI95" t="s">
        <v>2618</v>
      </c>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s="569">
        <v>759</v>
      </c>
      <c r="ET95" t="s">
        <v>1595</v>
      </c>
      <c r="EU95" t="s">
        <v>1596</v>
      </c>
      <c r="EV95" t="s">
        <v>2997</v>
      </c>
      <c r="EW95" t="s">
        <v>54</v>
      </c>
      <c r="EX95" s="600">
        <v>56716</v>
      </c>
      <c r="EY95">
        <v>1679528194</v>
      </c>
    </row>
    <row r="96" spans="1:155" x14ac:dyDescent="0.2">
      <c r="A96" s="598">
        <v>1168</v>
      </c>
      <c r="B96" t="s">
        <v>1080</v>
      </c>
      <c r="C96" t="s">
        <v>1081</v>
      </c>
      <c r="D96" t="s">
        <v>1082</v>
      </c>
      <c r="E96"/>
      <c r="F96" t="s">
        <v>916</v>
      </c>
      <c r="G96" t="s">
        <v>54</v>
      </c>
      <c r="H96" t="s">
        <v>2619</v>
      </c>
      <c r="I96"/>
      <c r="J96" t="s">
        <v>915</v>
      </c>
      <c r="K96"/>
      <c r="L96" t="s">
        <v>914</v>
      </c>
      <c r="M96" t="s">
        <v>916</v>
      </c>
      <c r="N96" t="s">
        <v>54</v>
      </c>
      <c r="O96" t="s">
        <v>2620</v>
      </c>
      <c r="P96"/>
      <c r="Q96">
        <v>2185467000</v>
      </c>
      <c r="R96"/>
      <c r="S96" t="s">
        <v>2034</v>
      </c>
      <c r="T96" t="s">
        <v>2035</v>
      </c>
      <c r="U96" t="s">
        <v>1084</v>
      </c>
      <c r="V96" t="s">
        <v>2036</v>
      </c>
      <c r="W96" t="s">
        <v>2134</v>
      </c>
      <c r="X96" t="s">
        <v>2037</v>
      </c>
      <c r="Y96" t="s">
        <v>1086</v>
      </c>
      <c r="Z96" t="s">
        <v>1087</v>
      </c>
      <c r="AA96" t="s">
        <v>1080</v>
      </c>
      <c r="AB96">
        <v>2185462385</v>
      </c>
      <c r="AC96"/>
      <c r="AD96">
        <v>21854654355</v>
      </c>
      <c r="AE96" t="s">
        <v>2038</v>
      </c>
      <c r="AF96" t="s">
        <v>915</v>
      </c>
      <c r="AG96"/>
      <c r="AH96" t="s">
        <v>914</v>
      </c>
      <c r="AI96" t="s">
        <v>916</v>
      </c>
      <c r="AJ96" t="s">
        <v>54</v>
      </c>
      <c r="AK96" t="s">
        <v>2620</v>
      </c>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t="s">
        <v>1088</v>
      </c>
      <c r="CG96" t="s">
        <v>768</v>
      </c>
      <c r="CH96" t="s">
        <v>141</v>
      </c>
      <c r="CI96"/>
      <c r="CJ96"/>
      <c r="CK96"/>
      <c r="CL96"/>
      <c r="CM96">
        <v>1538143896</v>
      </c>
      <c r="CN96">
        <v>1750</v>
      </c>
      <c r="CO96">
        <v>1724</v>
      </c>
      <c r="CP96"/>
      <c r="CQ96"/>
      <c r="CR96"/>
      <c r="CS96" t="s">
        <v>2397</v>
      </c>
      <c r="CT96">
        <v>12</v>
      </c>
      <c r="CU96"/>
      <c r="CV96"/>
      <c r="CW96"/>
      <c r="CX96"/>
      <c r="CY96"/>
      <c r="CZ96"/>
      <c r="DA96"/>
      <c r="DB96"/>
      <c r="DC96"/>
      <c r="DD96"/>
      <c r="DE96"/>
      <c r="DF96"/>
      <c r="DG96"/>
      <c r="DH96">
        <v>129</v>
      </c>
      <c r="DI96" t="s">
        <v>2621</v>
      </c>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s="569">
        <v>835</v>
      </c>
      <c r="ET96" t="s">
        <v>913</v>
      </c>
      <c r="EU96" t="s">
        <v>914</v>
      </c>
      <c r="EV96" t="s">
        <v>2998</v>
      </c>
      <c r="EW96" t="s">
        <v>54</v>
      </c>
      <c r="EX96" s="600">
        <v>56441</v>
      </c>
      <c r="EY96"/>
    </row>
    <row r="97" spans="1:155" x14ac:dyDescent="0.2">
      <c r="A97" s="598">
        <v>1402</v>
      </c>
      <c r="B97" t="s">
        <v>2622</v>
      </c>
      <c r="C97" t="s">
        <v>2623</v>
      </c>
      <c r="D97" t="s">
        <v>2624</v>
      </c>
      <c r="E97"/>
      <c r="F97"/>
      <c r="G97" t="s">
        <v>2625</v>
      </c>
      <c r="H97" t="s">
        <v>2626</v>
      </c>
      <c r="I97"/>
      <c r="J97" t="s">
        <v>2624</v>
      </c>
      <c r="K97"/>
      <c r="L97" t="s">
        <v>2623</v>
      </c>
      <c r="M97"/>
      <c r="N97" t="s">
        <v>2625</v>
      </c>
      <c r="O97" t="s">
        <v>2626</v>
      </c>
      <c r="P97"/>
      <c r="Q97">
        <v>8653008588</v>
      </c>
      <c r="R97"/>
      <c r="S97" t="s">
        <v>2627</v>
      </c>
      <c r="T97" t="s">
        <v>2628</v>
      </c>
      <c r="U97" t="s">
        <v>873</v>
      </c>
      <c r="V97" t="s">
        <v>2629</v>
      </c>
      <c r="W97" t="s">
        <v>2630</v>
      </c>
      <c r="X97" t="s">
        <v>2627</v>
      </c>
      <c r="Y97" t="s">
        <v>2628</v>
      </c>
      <c r="Z97" t="s">
        <v>873</v>
      </c>
      <c r="AA97" t="s">
        <v>2631</v>
      </c>
      <c r="AB97">
        <v>8653008588</v>
      </c>
      <c r="AC97"/>
      <c r="AD97"/>
      <c r="AE97" t="s">
        <v>2629</v>
      </c>
      <c r="AF97" t="s">
        <v>2624</v>
      </c>
      <c r="AG97"/>
      <c r="AH97" t="s">
        <v>2623</v>
      </c>
      <c r="AI97"/>
      <c r="AJ97" t="s">
        <v>2625</v>
      </c>
      <c r="AK97" t="s">
        <v>2626</v>
      </c>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t="s">
        <v>2368</v>
      </c>
      <c r="CG97" t="s">
        <v>2631</v>
      </c>
      <c r="CH97" t="s">
        <v>141</v>
      </c>
      <c r="CI97"/>
      <c r="CJ97"/>
      <c r="CK97"/>
      <c r="CL97"/>
      <c r="CM97"/>
      <c r="CN97">
        <v>2876</v>
      </c>
      <c r="CO97">
        <v>2436</v>
      </c>
      <c r="CP97"/>
      <c r="CQ97"/>
      <c r="CR97"/>
      <c r="CS97" t="s">
        <v>2397</v>
      </c>
      <c r="CT97">
        <v>12</v>
      </c>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s="569">
        <v>31</v>
      </c>
      <c r="ET97" t="s">
        <v>1832</v>
      </c>
      <c r="EU97" t="s">
        <v>914</v>
      </c>
      <c r="EV97" t="s">
        <v>915</v>
      </c>
      <c r="EW97" t="s">
        <v>54</v>
      </c>
      <c r="EX97" s="599">
        <v>56441</v>
      </c>
      <c r="EY97">
        <v>1538143896</v>
      </c>
    </row>
    <row r="98" spans="1:155" x14ac:dyDescent="0.2">
      <c r="A98" s="598">
        <v>1406</v>
      </c>
      <c r="B98" t="s">
        <v>2632</v>
      </c>
      <c r="C98" t="s">
        <v>2623</v>
      </c>
      <c r="D98" t="s">
        <v>2624</v>
      </c>
      <c r="E98"/>
      <c r="F98"/>
      <c r="G98" t="s">
        <v>2625</v>
      </c>
      <c r="H98" t="s">
        <v>2626</v>
      </c>
      <c r="I98"/>
      <c r="J98" t="s">
        <v>2624</v>
      </c>
      <c r="K98"/>
      <c r="L98" t="s">
        <v>2623</v>
      </c>
      <c r="M98"/>
      <c r="N98" t="s">
        <v>2625</v>
      </c>
      <c r="O98" t="s">
        <v>2626</v>
      </c>
      <c r="P98"/>
      <c r="Q98">
        <v>8653008588</v>
      </c>
      <c r="R98"/>
      <c r="S98" t="s">
        <v>2627</v>
      </c>
      <c r="T98" t="s">
        <v>2628</v>
      </c>
      <c r="U98" t="s">
        <v>873</v>
      </c>
      <c r="V98" t="s">
        <v>2629</v>
      </c>
      <c r="W98" t="s">
        <v>2630</v>
      </c>
      <c r="X98" t="s">
        <v>2627</v>
      </c>
      <c r="Y98" t="s">
        <v>2628</v>
      </c>
      <c r="Z98" t="s">
        <v>873</v>
      </c>
      <c r="AA98" t="s">
        <v>2631</v>
      </c>
      <c r="AB98">
        <v>8653008588</v>
      </c>
      <c r="AC98"/>
      <c r="AD98"/>
      <c r="AE98" t="s">
        <v>2629</v>
      </c>
      <c r="AF98" t="s">
        <v>2624</v>
      </c>
      <c r="AG98"/>
      <c r="AH98" t="s">
        <v>2623</v>
      </c>
      <c r="AI98"/>
      <c r="AJ98" t="s">
        <v>2625</v>
      </c>
      <c r="AK98" t="s">
        <v>2626</v>
      </c>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t="s">
        <v>2368</v>
      </c>
      <c r="CG98" t="s">
        <v>2631</v>
      </c>
      <c r="CH98" t="s">
        <v>141</v>
      </c>
      <c r="CI98"/>
      <c r="CJ98"/>
      <c r="CK98"/>
      <c r="CL98"/>
      <c r="CM98"/>
      <c r="CN98">
        <v>2876</v>
      </c>
      <c r="CO98">
        <v>2436</v>
      </c>
      <c r="CP98"/>
      <c r="CQ98"/>
      <c r="CR98"/>
      <c r="CS98" t="s">
        <v>2397</v>
      </c>
      <c r="CT98">
        <v>12</v>
      </c>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s="569">
        <v>1141</v>
      </c>
      <c r="ET98" t="s">
        <v>1215</v>
      </c>
      <c r="EU98" t="s">
        <v>1216</v>
      </c>
      <c r="EV98" t="s">
        <v>2999</v>
      </c>
      <c r="EW98" t="s">
        <v>1218</v>
      </c>
      <c r="EX98" s="600">
        <v>75284</v>
      </c>
      <c r="EY98"/>
    </row>
    <row r="99" spans="1:155" x14ac:dyDescent="0.2">
      <c r="A99" s="598">
        <v>565</v>
      </c>
      <c r="B99" t="s">
        <v>2147</v>
      </c>
      <c r="C99" t="s">
        <v>1060</v>
      </c>
      <c r="D99" t="s">
        <v>1089</v>
      </c>
      <c r="E99"/>
      <c r="F99" t="s">
        <v>1061</v>
      </c>
      <c r="G99" t="s">
        <v>1062</v>
      </c>
      <c r="H99" t="s">
        <v>2633</v>
      </c>
      <c r="I99"/>
      <c r="J99" t="s">
        <v>1089</v>
      </c>
      <c r="K99"/>
      <c r="L99" t="s">
        <v>1060</v>
      </c>
      <c r="M99" t="s">
        <v>1061</v>
      </c>
      <c r="N99" t="s">
        <v>1062</v>
      </c>
      <c r="O99" t="s">
        <v>2633</v>
      </c>
      <c r="P99"/>
      <c r="Q99">
        <v>7012379073</v>
      </c>
      <c r="R99">
        <v>7012351582</v>
      </c>
      <c r="S99" t="s">
        <v>2148</v>
      </c>
      <c r="T99" t="s">
        <v>2149</v>
      </c>
      <c r="U99" t="s">
        <v>1084</v>
      </c>
      <c r="V99" t="s">
        <v>2150</v>
      </c>
      <c r="W99" t="s">
        <v>2039</v>
      </c>
      <c r="X99" t="s">
        <v>1090</v>
      </c>
      <c r="Y99" t="s">
        <v>1091</v>
      </c>
      <c r="Z99" t="s">
        <v>2634</v>
      </c>
      <c r="AA99" t="s">
        <v>1093</v>
      </c>
      <c r="AB99">
        <v>7012973028</v>
      </c>
      <c r="AC99"/>
      <c r="AD99">
        <v>7012351582</v>
      </c>
      <c r="AE99" t="s">
        <v>2151</v>
      </c>
      <c r="AF99" t="s">
        <v>1089</v>
      </c>
      <c r="AG99"/>
      <c r="AH99" t="s">
        <v>1060</v>
      </c>
      <c r="AI99" t="s">
        <v>1061</v>
      </c>
      <c r="AJ99" t="s">
        <v>1062</v>
      </c>
      <c r="AK99" t="s">
        <v>2633</v>
      </c>
      <c r="AL99"/>
      <c r="AM99"/>
      <c r="AN99"/>
      <c r="AO99"/>
      <c r="AP99"/>
      <c r="AQ99"/>
      <c r="AR99"/>
      <c r="AS99"/>
      <c r="AT99"/>
      <c r="AU99"/>
      <c r="AV99"/>
      <c r="AW99"/>
      <c r="AX99"/>
      <c r="AY99"/>
      <c r="AZ99"/>
      <c r="BA99"/>
      <c r="BB99"/>
      <c r="BC99"/>
      <c r="BD99"/>
      <c r="BE99"/>
      <c r="BF99"/>
      <c r="BG99"/>
      <c r="BH99"/>
      <c r="BI99"/>
      <c r="BJ99"/>
      <c r="BK99"/>
      <c r="BL99"/>
      <c r="BM99"/>
      <c r="BN99"/>
      <c r="BO99"/>
      <c r="BP99"/>
      <c r="BQ99" t="s">
        <v>1094</v>
      </c>
      <c r="BR99" t="s">
        <v>1095</v>
      </c>
      <c r="BS99" t="s">
        <v>1096</v>
      </c>
      <c r="BT99" t="s">
        <v>1093</v>
      </c>
      <c r="BU99">
        <v>7012973046</v>
      </c>
      <c r="BV99"/>
      <c r="BW99">
        <v>7012351582</v>
      </c>
      <c r="BX99" t="s">
        <v>2152</v>
      </c>
      <c r="BY99" t="s">
        <v>1089</v>
      </c>
      <c r="BZ99"/>
      <c r="CA99" t="s">
        <v>1060</v>
      </c>
      <c r="CB99" t="s">
        <v>1061</v>
      </c>
      <c r="CC99" t="s">
        <v>1062</v>
      </c>
      <c r="CD99" t="s">
        <v>2633</v>
      </c>
      <c r="CE99"/>
      <c r="CF99" t="s">
        <v>1097</v>
      </c>
      <c r="CG99" t="s">
        <v>1098</v>
      </c>
      <c r="CH99" t="s">
        <v>141</v>
      </c>
      <c r="CI99"/>
      <c r="CJ99"/>
      <c r="CK99"/>
      <c r="CL99"/>
      <c r="CM99">
        <v>1972553758</v>
      </c>
      <c r="CN99">
        <v>244</v>
      </c>
      <c r="CO99">
        <v>143</v>
      </c>
      <c r="CP99"/>
      <c r="CQ99"/>
      <c r="CR99">
        <v>161</v>
      </c>
      <c r="CS99" t="s">
        <v>2397</v>
      </c>
      <c r="CT99">
        <v>12</v>
      </c>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s="569">
        <v>66</v>
      </c>
      <c r="ET99" t="s">
        <v>1833</v>
      </c>
      <c r="EU99" t="s">
        <v>956</v>
      </c>
      <c r="EV99" t="s">
        <v>957</v>
      </c>
      <c r="EW99" t="s">
        <v>54</v>
      </c>
      <c r="EX99" s="599">
        <v>56232</v>
      </c>
      <c r="EY99">
        <v>1093745051</v>
      </c>
    </row>
    <row r="100" spans="1:155" x14ac:dyDescent="0.2">
      <c r="A100" s="598">
        <v>1136</v>
      </c>
      <c r="B100" t="s">
        <v>2153</v>
      </c>
      <c r="C100" t="s">
        <v>1060</v>
      </c>
      <c r="D100" t="s">
        <v>1089</v>
      </c>
      <c r="E100"/>
      <c r="F100" t="s">
        <v>1061</v>
      </c>
      <c r="G100" t="s">
        <v>1062</v>
      </c>
      <c r="H100" t="s">
        <v>2633</v>
      </c>
      <c r="I100"/>
      <c r="J100" t="s">
        <v>1089</v>
      </c>
      <c r="K100"/>
      <c r="L100" t="s">
        <v>1060</v>
      </c>
      <c r="M100" t="s">
        <v>1061</v>
      </c>
      <c r="N100" t="s">
        <v>1062</v>
      </c>
      <c r="O100" t="s">
        <v>2633</v>
      </c>
      <c r="P100"/>
      <c r="Q100">
        <v>7012379073</v>
      </c>
      <c r="R100">
        <v>7012351582</v>
      </c>
      <c r="S100" t="s">
        <v>2148</v>
      </c>
      <c r="T100" t="s">
        <v>2149</v>
      </c>
      <c r="U100" t="s">
        <v>1084</v>
      </c>
      <c r="V100" t="s">
        <v>2150</v>
      </c>
      <c r="W100" t="s">
        <v>2039</v>
      </c>
      <c r="X100" t="s">
        <v>1090</v>
      </c>
      <c r="Y100" t="s">
        <v>1091</v>
      </c>
      <c r="Z100" t="s">
        <v>2634</v>
      </c>
      <c r="AA100" t="s">
        <v>1093</v>
      </c>
      <c r="AB100">
        <v>7012973028</v>
      </c>
      <c r="AC100"/>
      <c r="AD100">
        <v>7012351582</v>
      </c>
      <c r="AE100" t="s">
        <v>2151</v>
      </c>
      <c r="AF100" t="s">
        <v>1089</v>
      </c>
      <c r="AG100"/>
      <c r="AH100" t="s">
        <v>1060</v>
      </c>
      <c r="AI100" t="s">
        <v>1061</v>
      </c>
      <c r="AJ100" t="s">
        <v>1062</v>
      </c>
      <c r="AK100" t="s">
        <v>2633</v>
      </c>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t="s">
        <v>1094</v>
      </c>
      <c r="BR100" t="s">
        <v>1095</v>
      </c>
      <c r="BS100" t="s">
        <v>1096</v>
      </c>
      <c r="BT100" t="s">
        <v>1093</v>
      </c>
      <c r="BU100">
        <v>7012973046</v>
      </c>
      <c r="BV100"/>
      <c r="BW100">
        <v>7012351582</v>
      </c>
      <c r="BX100" t="s">
        <v>2152</v>
      </c>
      <c r="BY100" t="s">
        <v>1089</v>
      </c>
      <c r="BZ100"/>
      <c r="CA100" t="s">
        <v>1060</v>
      </c>
      <c r="CB100" t="s">
        <v>1061</v>
      </c>
      <c r="CC100" t="s">
        <v>1062</v>
      </c>
      <c r="CD100" t="s">
        <v>2633</v>
      </c>
      <c r="CE100"/>
      <c r="CF100" t="s">
        <v>1097</v>
      </c>
      <c r="CG100" t="s">
        <v>1098</v>
      </c>
      <c r="CH100" t="s">
        <v>141</v>
      </c>
      <c r="CI100"/>
      <c r="CJ100"/>
      <c r="CK100"/>
      <c r="CL100"/>
      <c r="CM100">
        <v>1972553758</v>
      </c>
      <c r="CN100">
        <v>244</v>
      </c>
      <c r="CO100">
        <v>143</v>
      </c>
      <c r="CP100"/>
      <c r="CQ100"/>
      <c r="CR100">
        <v>161</v>
      </c>
      <c r="CS100" t="s">
        <v>2397</v>
      </c>
      <c r="CT100">
        <v>12</v>
      </c>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s="569">
        <v>1120</v>
      </c>
      <c r="ET100" t="s">
        <v>793</v>
      </c>
      <c r="EU100" t="s">
        <v>794</v>
      </c>
      <c r="EV100" t="s">
        <v>3000</v>
      </c>
      <c r="EW100" t="s">
        <v>54</v>
      </c>
      <c r="EX100" s="600">
        <v>56636</v>
      </c>
      <c r="EY100"/>
    </row>
    <row r="101" spans="1:155" x14ac:dyDescent="0.2">
      <c r="A101" s="598">
        <v>1391</v>
      </c>
      <c r="B101" t="s">
        <v>2635</v>
      </c>
      <c r="C101" t="s">
        <v>1060</v>
      </c>
      <c r="D101" t="s">
        <v>1089</v>
      </c>
      <c r="E101"/>
      <c r="F101" t="s">
        <v>1061</v>
      </c>
      <c r="G101" t="s">
        <v>1062</v>
      </c>
      <c r="H101" t="s">
        <v>2633</v>
      </c>
      <c r="I101"/>
      <c r="J101" t="s">
        <v>1089</v>
      </c>
      <c r="K101"/>
      <c r="L101" t="s">
        <v>1060</v>
      </c>
      <c r="M101" t="s">
        <v>1061</v>
      </c>
      <c r="N101" t="s">
        <v>1062</v>
      </c>
      <c r="O101" t="s">
        <v>2633</v>
      </c>
      <c r="P101"/>
      <c r="Q101">
        <v>7012379073</v>
      </c>
      <c r="R101">
        <v>7012351582</v>
      </c>
      <c r="S101" t="s">
        <v>2148</v>
      </c>
      <c r="T101" t="s">
        <v>2149</v>
      </c>
      <c r="U101" t="s">
        <v>1084</v>
      </c>
      <c r="V101" t="s">
        <v>2150</v>
      </c>
      <c r="W101" t="s">
        <v>2039</v>
      </c>
      <c r="X101" t="s">
        <v>1090</v>
      </c>
      <c r="Y101" t="s">
        <v>1091</v>
      </c>
      <c r="Z101" t="s">
        <v>2634</v>
      </c>
      <c r="AA101" t="s">
        <v>1093</v>
      </c>
      <c r="AB101">
        <v>7012973028</v>
      </c>
      <c r="AC101"/>
      <c r="AD101">
        <v>7012351582</v>
      </c>
      <c r="AE101" t="s">
        <v>2151</v>
      </c>
      <c r="AF101" t="s">
        <v>1089</v>
      </c>
      <c r="AG101"/>
      <c r="AH101" t="s">
        <v>1060</v>
      </c>
      <c r="AI101" t="s">
        <v>1061</v>
      </c>
      <c r="AJ101" t="s">
        <v>1062</v>
      </c>
      <c r="AK101" t="s">
        <v>2633</v>
      </c>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t="s">
        <v>1094</v>
      </c>
      <c r="BR101" t="s">
        <v>1095</v>
      </c>
      <c r="BS101" t="s">
        <v>1096</v>
      </c>
      <c r="BT101" t="s">
        <v>1093</v>
      </c>
      <c r="BU101">
        <v>7012973046</v>
      </c>
      <c r="BV101"/>
      <c r="BW101">
        <v>7012351582</v>
      </c>
      <c r="BX101" t="s">
        <v>2152</v>
      </c>
      <c r="BY101" t="s">
        <v>1089</v>
      </c>
      <c r="BZ101"/>
      <c r="CA101" t="s">
        <v>1060</v>
      </c>
      <c r="CB101" t="s">
        <v>1061</v>
      </c>
      <c r="CC101" t="s">
        <v>1062</v>
      </c>
      <c r="CD101" t="s">
        <v>2633</v>
      </c>
      <c r="CE101"/>
      <c r="CF101" t="s">
        <v>1097</v>
      </c>
      <c r="CG101" t="s">
        <v>1098</v>
      </c>
      <c r="CH101" t="s">
        <v>141</v>
      </c>
      <c r="CI101"/>
      <c r="CJ101"/>
      <c r="CK101"/>
      <c r="CL101"/>
      <c r="CM101">
        <v>1972553758</v>
      </c>
      <c r="CN101">
        <v>244</v>
      </c>
      <c r="CO101">
        <v>143</v>
      </c>
      <c r="CP101"/>
      <c r="CQ101"/>
      <c r="CR101">
        <v>161</v>
      </c>
      <c r="CS101" t="s">
        <v>2397</v>
      </c>
      <c r="CT101">
        <v>12</v>
      </c>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s="569">
        <v>837</v>
      </c>
      <c r="ET101" t="s">
        <v>917</v>
      </c>
      <c r="EU101" t="s">
        <v>794</v>
      </c>
      <c r="EV101" t="s">
        <v>3001</v>
      </c>
      <c r="EW101" t="s">
        <v>54</v>
      </c>
      <c r="EX101" s="600">
        <v>56636</v>
      </c>
      <c r="EY101"/>
    </row>
    <row r="102" spans="1:155" x14ac:dyDescent="0.2">
      <c r="A102" s="598">
        <v>1268</v>
      </c>
      <c r="B102" t="s">
        <v>2040</v>
      </c>
      <c r="C102" t="s">
        <v>1060</v>
      </c>
      <c r="D102" t="s">
        <v>1089</v>
      </c>
      <c r="E102"/>
      <c r="F102" t="s">
        <v>1061</v>
      </c>
      <c r="G102" t="s">
        <v>1062</v>
      </c>
      <c r="H102" t="s">
        <v>2633</v>
      </c>
      <c r="I102"/>
      <c r="J102" t="s">
        <v>1089</v>
      </c>
      <c r="K102"/>
      <c r="L102" t="s">
        <v>1060</v>
      </c>
      <c r="M102" t="s">
        <v>1061</v>
      </c>
      <c r="N102" t="s">
        <v>1062</v>
      </c>
      <c r="O102" t="s">
        <v>2633</v>
      </c>
      <c r="P102"/>
      <c r="Q102">
        <v>7012379073</v>
      </c>
      <c r="R102">
        <v>7012351582</v>
      </c>
      <c r="S102" t="s">
        <v>2148</v>
      </c>
      <c r="T102" t="s">
        <v>2149</v>
      </c>
      <c r="U102" t="s">
        <v>1084</v>
      </c>
      <c r="V102" t="s">
        <v>2150</v>
      </c>
      <c r="W102" t="s">
        <v>2039</v>
      </c>
      <c r="X102" t="s">
        <v>1090</v>
      </c>
      <c r="Y102" t="s">
        <v>1091</v>
      </c>
      <c r="Z102" t="s">
        <v>2634</v>
      </c>
      <c r="AA102" t="s">
        <v>1093</v>
      </c>
      <c r="AB102">
        <v>7012973028</v>
      </c>
      <c r="AC102"/>
      <c r="AD102">
        <v>7012351582</v>
      </c>
      <c r="AE102" t="s">
        <v>2151</v>
      </c>
      <c r="AF102" t="s">
        <v>1089</v>
      </c>
      <c r="AG102"/>
      <c r="AH102" t="s">
        <v>1060</v>
      </c>
      <c r="AI102" t="s">
        <v>1061</v>
      </c>
      <c r="AJ102" t="s">
        <v>1062</v>
      </c>
      <c r="AK102" t="s">
        <v>2633</v>
      </c>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t="s">
        <v>1094</v>
      </c>
      <c r="BR102" t="s">
        <v>1095</v>
      </c>
      <c r="BS102" t="s">
        <v>1096</v>
      </c>
      <c r="BT102" t="s">
        <v>1093</v>
      </c>
      <c r="BU102">
        <v>7012973046</v>
      </c>
      <c r="BV102"/>
      <c r="BW102">
        <v>7012351582</v>
      </c>
      <c r="BX102" t="s">
        <v>2152</v>
      </c>
      <c r="BY102" t="s">
        <v>1089</v>
      </c>
      <c r="BZ102"/>
      <c r="CA102" t="s">
        <v>1060</v>
      </c>
      <c r="CB102" t="s">
        <v>1061</v>
      </c>
      <c r="CC102" t="s">
        <v>1062</v>
      </c>
      <c r="CD102" t="s">
        <v>2633</v>
      </c>
      <c r="CE102"/>
      <c r="CF102" t="s">
        <v>1097</v>
      </c>
      <c r="CG102" t="s">
        <v>1098</v>
      </c>
      <c r="CH102" t="s">
        <v>141</v>
      </c>
      <c r="CI102"/>
      <c r="CJ102"/>
      <c r="CK102"/>
      <c r="CL102"/>
      <c r="CM102">
        <v>1972553758</v>
      </c>
      <c r="CN102">
        <v>244</v>
      </c>
      <c r="CO102">
        <v>143</v>
      </c>
      <c r="CP102"/>
      <c r="CQ102"/>
      <c r="CR102">
        <v>161</v>
      </c>
      <c r="CS102" t="s">
        <v>2397</v>
      </c>
      <c r="CT102">
        <v>12</v>
      </c>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s="569">
        <v>25</v>
      </c>
      <c r="ET102" t="s">
        <v>1834</v>
      </c>
      <c r="EU102" t="s">
        <v>794</v>
      </c>
      <c r="EV102" t="s">
        <v>2281</v>
      </c>
      <c r="EW102" t="s">
        <v>54</v>
      </c>
      <c r="EX102" s="599">
        <v>56636</v>
      </c>
      <c r="EY102">
        <v>1225049018</v>
      </c>
    </row>
    <row r="103" spans="1:155" x14ac:dyDescent="0.2">
      <c r="A103" s="598">
        <v>1345</v>
      </c>
      <c r="B103" t="s">
        <v>2154</v>
      </c>
      <c r="C103" t="s">
        <v>1060</v>
      </c>
      <c r="D103" t="s">
        <v>1089</v>
      </c>
      <c r="E103"/>
      <c r="F103" t="s">
        <v>1061</v>
      </c>
      <c r="G103" t="s">
        <v>1062</v>
      </c>
      <c r="H103" t="s">
        <v>2633</v>
      </c>
      <c r="I103"/>
      <c r="J103" t="s">
        <v>1089</v>
      </c>
      <c r="K103"/>
      <c r="L103" t="s">
        <v>1060</v>
      </c>
      <c r="M103" t="s">
        <v>1061</v>
      </c>
      <c r="N103" t="s">
        <v>1062</v>
      </c>
      <c r="O103" t="s">
        <v>2633</v>
      </c>
      <c r="P103"/>
      <c r="Q103">
        <v>7012379073</v>
      </c>
      <c r="R103">
        <v>7012351582</v>
      </c>
      <c r="S103" t="s">
        <v>2148</v>
      </c>
      <c r="T103" t="s">
        <v>2149</v>
      </c>
      <c r="U103" t="s">
        <v>1084</v>
      </c>
      <c r="V103" t="s">
        <v>2150</v>
      </c>
      <c r="W103" t="s">
        <v>2039</v>
      </c>
      <c r="X103" t="s">
        <v>1090</v>
      </c>
      <c r="Y103" t="s">
        <v>1091</v>
      </c>
      <c r="Z103" t="s">
        <v>2634</v>
      </c>
      <c r="AA103" t="s">
        <v>1093</v>
      </c>
      <c r="AB103">
        <v>7012973028</v>
      </c>
      <c r="AC103"/>
      <c r="AD103">
        <v>7012351582</v>
      </c>
      <c r="AE103" t="s">
        <v>2151</v>
      </c>
      <c r="AF103" t="s">
        <v>1089</v>
      </c>
      <c r="AG103"/>
      <c r="AH103" t="s">
        <v>1060</v>
      </c>
      <c r="AI103" t="s">
        <v>1061</v>
      </c>
      <c r="AJ103" t="s">
        <v>1062</v>
      </c>
      <c r="AK103" t="s">
        <v>2633</v>
      </c>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t="s">
        <v>1094</v>
      </c>
      <c r="BR103" t="s">
        <v>1095</v>
      </c>
      <c r="BS103" t="s">
        <v>1096</v>
      </c>
      <c r="BT103" t="s">
        <v>1093</v>
      </c>
      <c r="BU103">
        <v>7012973046</v>
      </c>
      <c r="BV103"/>
      <c r="BW103">
        <v>7012351582</v>
      </c>
      <c r="BX103" t="s">
        <v>2152</v>
      </c>
      <c r="BY103" t="s">
        <v>1089</v>
      </c>
      <c r="BZ103"/>
      <c r="CA103" t="s">
        <v>1060</v>
      </c>
      <c r="CB103" t="s">
        <v>1061</v>
      </c>
      <c r="CC103" t="s">
        <v>1062</v>
      </c>
      <c r="CD103" t="s">
        <v>2633</v>
      </c>
      <c r="CE103"/>
      <c r="CF103" t="s">
        <v>1097</v>
      </c>
      <c r="CG103" t="s">
        <v>1098</v>
      </c>
      <c r="CH103" t="s">
        <v>141</v>
      </c>
      <c r="CI103"/>
      <c r="CJ103"/>
      <c r="CK103"/>
      <c r="CL103"/>
      <c r="CM103">
        <v>1972553758</v>
      </c>
      <c r="CN103">
        <v>244</v>
      </c>
      <c r="CO103">
        <v>143</v>
      </c>
      <c r="CP103"/>
      <c r="CQ103"/>
      <c r="CR103">
        <v>161</v>
      </c>
      <c r="CS103" t="s">
        <v>2397</v>
      </c>
      <c r="CT103">
        <v>12</v>
      </c>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s="569">
        <v>1134</v>
      </c>
      <c r="ET103" t="s">
        <v>927</v>
      </c>
      <c r="EU103" t="s">
        <v>928</v>
      </c>
      <c r="EV103" t="s">
        <v>3002</v>
      </c>
      <c r="EW103" t="s">
        <v>54</v>
      </c>
      <c r="EX103" s="600">
        <v>56501</v>
      </c>
      <c r="EY103"/>
    </row>
    <row r="104" spans="1:155" x14ac:dyDescent="0.2">
      <c r="A104" s="598">
        <v>610</v>
      </c>
      <c r="B104" t="s">
        <v>1099</v>
      </c>
      <c r="C104" t="s">
        <v>1060</v>
      </c>
      <c r="D104" t="s">
        <v>1089</v>
      </c>
      <c r="E104"/>
      <c r="F104" t="s">
        <v>1061</v>
      </c>
      <c r="G104" t="s">
        <v>1062</v>
      </c>
      <c r="H104" t="s">
        <v>2633</v>
      </c>
      <c r="I104"/>
      <c r="J104" t="s">
        <v>1089</v>
      </c>
      <c r="K104"/>
      <c r="L104" t="s">
        <v>1060</v>
      </c>
      <c r="M104" t="s">
        <v>1061</v>
      </c>
      <c r="N104" t="s">
        <v>1062</v>
      </c>
      <c r="O104" t="s">
        <v>2633</v>
      </c>
      <c r="P104"/>
      <c r="Q104">
        <v>7012379073</v>
      </c>
      <c r="R104">
        <v>7012351582</v>
      </c>
      <c r="S104" t="s">
        <v>2148</v>
      </c>
      <c r="T104" t="s">
        <v>2149</v>
      </c>
      <c r="U104" t="s">
        <v>1084</v>
      </c>
      <c r="V104" t="s">
        <v>2150</v>
      </c>
      <c r="W104" t="s">
        <v>2039</v>
      </c>
      <c r="X104" t="s">
        <v>1090</v>
      </c>
      <c r="Y104" t="s">
        <v>1091</v>
      </c>
      <c r="Z104" t="s">
        <v>2634</v>
      </c>
      <c r="AA104" t="s">
        <v>1093</v>
      </c>
      <c r="AB104">
        <v>7012973028</v>
      </c>
      <c r="AC104"/>
      <c r="AD104">
        <v>7012351582</v>
      </c>
      <c r="AE104" t="s">
        <v>2151</v>
      </c>
      <c r="AF104" t="s">
        <v>1089</v>
      </c>
      <c r="AG104"/>
      <c r="AH104" t="s">
        <v>1060</v>
      </c>
      <c r="AI104" t="s">
        <v>1061</v>
      </c>
      <c r="AJ104" t="s">
        <v>1062</v>
      </c>
      <c r="AK104" t="s">
        <v>2633</v>
      </c>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t="s">
        <v>1094</v>
      </c>
      <c r="BR104" t="s">
        <v>1095</v>
      </c>
      <c r="BS104" t="s">
        <v>1096</v>
      </c>
      <c r="BT104" t="s">
        <v>1093</v>
      </c>
      <c r="BU104">
        <v>7012973046</v>
      </c>
      <c r="BV104"/>
      <c r="BW104">
        <v>7012351582</v>
      </c>
      <c r="BX104" t="s">
        <v>2152</v>
      </c>
      <c r="BY104" t="s">
        <v>1089</v>
      </c>
      <c r="BZ104"/>
      <c r="CA104" t="s">
        <v>1060</v>
      </c>
      <c r="CB104" t="s">
        <v>1061</v>
      </c>
      <c r="CC104" t="s">
        <v>1062</v>
      </c>
      <c r="CD104" t="s">
        <v>2633</v>
      </c>
      <c r="CE104"/>
      <c r="CF104" t="s">
        <v>1097</v>
      </c>
      <c r="CG104" t="s">
        <v>1098</v>
      </c>
      <c r="CH104" t="s">
        <v>141</v>
      </c>
      <c r="CI104"/>
      <c r="CJ104"/>
      <c r="CK104"/>
      <c r="CL104"/>
      <c r="CM104">
        <v>1972553758</v>
      </c>
      <c r="CN104">
        <v>244</v>
      </c>
      <c r="CO104">
        <v>143</v>
      </c>
      <c r="CP104"/>
      <c r="CQ104"/>
      <c r="CR104">
        <v>161</v>
      </c>
      <c r="CS104" t="s">
        <v>2397</v>
      </c>
      <c r="CT104">
        <v>12</v>
      </c>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s="569">
        <v>523</v>
      </c>
      <c r="ET104" t="s">
        <v>1050</v>
      </c>
      <c r="EU104" t="s">
        <v>928</v>
      </c>
      <c r="EV104" t="s">
        <v>3003</v>
      </c>
      <c r="EW104" t="s">
        <v>54</v>
      </c>
      <c r="EX104" s="600">
        <v>56501</v>
      </c>
      <c r="EY104">
        <v>1023039278</v>
      </c>
    </row>
    <row r="105" spans="1:155" x14ac:dyDescent="0.2">
      <c r="A105" s="598">
        <v>806</v>
      </c>
      <c r="B105" t="s">
        <v>2041</v>
      </c>
      <c r="C105" t="s">
        <v>1060</v>
      </c>
      <c r="D105" t="s">
        <v>1089</v>
      </c>
      <c r="E105"/>
      <c r="F105" t="s">
        <v>1061</v>
      </c>
      <c r="G105" t="s">
        <v>1062</v>
      </c>
      <c r="H105" t="s">
        <v>2633</v>
      </c>
      <c r="I105"/>
      <c r="J105" t="s">
        <v>1089</v>
      </c>
      <c r="K105"/>
      <c r="L105" t="s">
        <v>1060</v>
      </c>
      <c r="M105" t="s">
        <v>1061</v>
      </c>
      <c r="N105" t="s">
        <v>1062</v>
      </c>
      <c r="O105" t="s">
        <v>2633</v>
      </c>
      <c r="P105"/>
      <c r="Q105">
        <v>7012379073</v>
      </c>
      <c r="R105">
        <v>7012351582</v>
      </c>
      <c r="S105" t="s">
        <v>2148</v>
      </c>
      <c r="T105" t="s">
        <v>2149</v>
      </c>
      <c r="U105" t="s">
        <v>1084</v>
      </c>
      <c r="V105" t="s">
        <v>2150</v>
      </c>
      <c r="W105" t="s">
        <v>2039</v>
      </c>
      <c r="X105" t="s">
        <v>1090</v>
      </c>
      <c r="Y105" t="s">
        <v>1091</v>
      </c>
      <c r="Z105" t="s">
        <v>2634</v>
      </c>
      <c r="AA105" t="s">
        <v>1093</v>
      </c>
      <c r="AB105">
        <v>7012973028</v>
      </c>
      <c r="AC105"/>
      <c r="AD105">
        <v>7012351582</v>
      </c>
      <c r="AE105" t="s">
        <v>2151</v>
      </c>
      <c r="AF105" t="s">
        <v>1089</v>
      </c>
      <c r="AG105"/>
      <c r="AH105" t="s">
        <v>1060</v>
      </c>
      <c r="AI105" t="s">
        <v>1061</v>
      </c>
      <c r="AJ105" t="s">
        <v>1062</v>
      </c>
      <c r="AK105" t="s">
        <v>2633</v>
      </c>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t="s">
        <v>1094</v>
      </c>
      <c r="BR105" t="s">
        <v>1095</v>
      </c>
      <c r="BS105" t="s">
        <v>1096</v>
      </c>
      <c r="BT105" t="s">
        <v>1093</v>
      </c>
      <c r="BU105">
        <v>7012973046</v>
      </c>
      <c r="BV105"/>
      <c r="BW105">
        <v>7012351582</v>
      </c>
      <c r="BX105" t="s">
        <v>2152</v>
      </c>
      <c r="BY105" t="s">
        <v>1089</v>
      </c>
      <c r="BZ105"/>
      <c r="CA105" t="s">
        <v>1060</v>
      </c>
      <c r="CB105" t="s">
        <v>1061</v>
      </c>
      <c r="CC105" t="s">
        <v>1062</v>
      </c>
      <c r="CD105" t="s">
        <v>2633</v>
      </c>
      <c r="CE105"/>
      <c r="CF105" t="s">
        <v>1097</v>
      </c>
      <c r="CG105" t="s">
        <v>1098</v>
      </c>
      <c r="CH105" t="s">
        <v>141</v>
      </c>
      <c r="CI105"/>
      <c r="CJ105"/>
      <c r="CK105"/>
      <c r="CL105"/>
      <c r="CM105">
        <v>1972553758</v>
      </c>
      <c r="CN105">
        <v>244</v>
      </c>
      <c r="CO105">
        <v>143</v>
      </c>
      <c r="CP105"/>
      <c r="CQ105"/>
      <c r="CR105">
        <v>161</v>
      </c>
      <c r="CS105" t="s">
        <v>2397</v>
      </c>
      <c r="CT105">
        <v>12</v>
      </c>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s="569">
        <v>583</v>
      </c>
      <c r="ET105" t="s">
        <v>1548</v>
      </c>
      <c r="EU105" t="s">
        <v>928</v>
      </c>
      <c r="EV105" t="s">
        <v>3004</v>
      </c>
      <c r="EW105" t="s">
        <v>54</v>
      </c>
      <c r="EX105" s="600">
        <v>56501</v>
      </c>
      <c r="EY105">
        <v>1235170747</v>
      </c>
    </row>
    <row r="106" spans="1:155" x14ac:dyDescent="0.2">
      <c r="A106" s="598">
        <v>671</v>
      </c>
      <c r="B106" t="s">
        <v>2042</v>
      </c>
      <c r="C106" t="s">
        <v>1060</v>
      </c>
      <c r="D106" t="s">
        <v>1089</v>
      </c>
      <c r="E106"/>
      <c r="F106" t="s">
        <v>1061</v>
      </c>
      <c r="G106" t="s">
        <v>1062</v>
      </c>
      <c r="H106" t="s">
        <v>2633</v>
      </c>
      <c r="I106"/>
      <c r="J106" t="s">
        <v>1089</v>
      </c>
      <c r="K106"/>
      <c r="L106" t="s">
        <v>1060</v>
      </c>
      <c r="M106" t="s">
        <v>1061</v>
      </c>
      <c r="N106" t="s">
        <v>1062</v>
      </c>
      <c r="O106" t="s">
        <v>2633</v>
      </c>
      <c r="P106"/>
      <c r="Q106">
        <v>7012379073</v>
      </c>
      <c r="R106">
        <v>7012351582</v>
      </c>
      <c r="S106" t="s">
        <v>2148</v>
      </c>
      <c r="T106" t="s">
        <v>2149</v>
      </c>
      <c r="U106" t="s">
        <v>1084</v>
      </c>
      <c r="V106" t="s">
        <v>2150</v>
      </c>
      <c r="W106" t="s">
        <v>2039</v>
      </c>
      <c r="X106" t="s">
        <v>1090</v>
      </c>
      <c r="Y106" t="s">
        <v>1091</v>
      </c>
      <c r="Z106" t="s">
        <v>2634</v>
      </c>
      <c r="AA106" t="s">
        <v>1093</v>
      </c>
      <c r="AB106">
        <v>7012973028</v>
      </c>
      <c r="AC106"/>
      <c r="AD106">
        <v>7012351582</v>
      </c>
      <c r="AE106" t="s">
        <v>2151</v>
      </c>
      <c r="AF106" t="s">
        <v>1089</v>
      </c>
      <c r="AG106"/>
      <c r="AH106" t="s">
        <v>1060</v>
      </c>
      <c r="AI106" t="s">
        <v>1061</v>
      </c>
      <c r="AJ106" t="s">
        <v>1062</v>
      </c>
      <c r="AK106" t="s">
        <v>2633</v>
      </c>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t="s">
        <v>1094</v>
      </c>
      <c r="BR106" t="s">
        <v>1095</v>
      </c>
      <c r="BS106" t="s">
        <v>1096</v>
      </c>
      <c r="BT106" t="s">
        <v>1093</v>
      </c>
      <c r="BU106">
        <v>7012973046</v>
      </c>
      <c r="BV106"/>
      <c r="BW106">
        <v>7012351582</v>
      </c>
      <c r="BX106" t="s">
        <v>2152</v>
      </c>
      <c r="BY106" t="s">
        <v>1089</v>
      </c>
      <c r="BZ106"/>
      <c r="CA106" t="s">
        <v>1060</v>
      </c>
      <c r="CB106" t="s">
        <v>1061</v>
      </c>
      <c r="CC106" t="s">
        <v>1062</v>
      </c>
      <c r="CD106" t="s">
        <v>2633</v>
      </c>
      <c r="CE106"/>
      <c r="CF106" t="s">
        <v>1097</v>
      </c>
      <c r="CG106" t="s">
        <v>1098</v>
      </c>
      <c r="CH106" t="s">
        <v>141</v>
      </c>
      <c r="CI106"/>
      <c r="CJ106"/>
      <c r="CK106"/>
      <c r="CL106"/>
      <c r="CM106">
        <v>1972553758</v>
      </c>
      <c r="CN106">
        <v>244</v>
      </c>
      <c r="CO106">
        <v>143</v>
      </c>
      <c r="CP106"/>
      <c r="CQ106"/>
      <c r="CR106">
        <v>161</v>
      </c>
      <c r="CS106" t="s">
        <v>2397</v>
      </c>
      <c r="CT106">
        <v>12</v>
      </c>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s="569">
        <v>147</v>
      </c>
      <c r="ET106" t="s">
        <v>2282</v>
      </c>
      <c r="EU106" t="s">
        <v>928</v>
      </c>
      <c r="EV106" t="s">
        <v>929</v>
      </c>
      <c r="EW106" t="s">
        <v>54</v>
      </c>
      <c r="EX106" s="599">
        <v>56501</v>
      </c>
      <c r="EY106">
        <v>1679561088</v>
      </c>
    </row>
    <row r="107" spans="1:155" x14ac:dyDescent="0.2">
      <c r="A107" s="598">
        <v>647</v>
      </c>
      <c r="B107" t="s">
        <v>1100</v>
      </c>
      <c r="C107" t="s">
        <v>1060</v>
      </c>
      <c r="D107" t="s">
        <v>1089</v>
      </c>
      <c r="E107"/>
      <c r="F107" t="s">
        <v>1061</v>
      </c>
      <c r="G107" t="s">
        <v>1062</v>
      </c>
      <c r="H107" t="s">
        <v>2633</v>
      </c>
      <c r="I107"/>
      <c r="J107" t="s">
        <v>1089</v>
      </c>
      <c r="K107"/>
      <c r="L107" t="s">
        <v>1060</v>
      </c>
      <c r="M107" t="s">
        <v>1061</v>
      </c>
      <c r="N107" t="s">
        <v>1062</v>
      </c>
      <c r="O107" t="s">
        <v>2633</v>
      </c>
      <c r="P107"/>
      <c r="Q107">
        <v>7012379073</v>
      </c>
      <c r="R107">
        <v>7012351582</v>
      </c>
      <c r="S107" t="s">
        <v>2148</v>
      </c>
      <c r="T107" t="s">
        <v>2149</v>
      </c>
      <c r="U107" t="s">
        <v>1084</v>
      </c>
      <c r="V107" t="s">
        <v>2150</v>
      </c>
      <c r="W107" t="s">
        <v>2039</v>
      </c>
      <c r="X107" t="s">
        <v>1090</v>
      </c>
      <c r="Y107" t="s">
        <v>1091</v>
      </c>
      <c r="Z107" t="s">
        <v>2634</v>
      </c>
      <c r="AA107" t="s">
        <v>1093</v>
      </c>
      <c r="AB107">
        <v>7012973028</v>
      </c>
      <c r="AC107"/>
      <c r="AD107">
        <v>7012351582</v>
      </c>
      <c r="AE107" t="s">
        <v>2151</v>
      </c>
      <c r="AF107" t="s">
        <v>1089</v>
      </c>
      <c r="AG107"/>
      <c r="AH107" t="s">
        <v>1060</v>
      </c>
      <c r="AI107" t="s">
        <v>1061</v>
      </c>
      <c r="AJ107" t="s">
        <v>1062</v>
      </c>
      <c r="AK107" t="s">
        <v>2633</v>
      </c>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t="s">
        <v>1094</v>
      </c>
      <c r="BR107" t="s">
        <v>1095</v>
      </c>
      <c r="BS107" t="s">
        <v>1096</v>
      </c>
      <c r="BT107" t="s">
        <v>1093</v>
      </c>
      <c r="BU107">
        <v>7012973046</v>
      </c>
      <c r="BV107"/>
      <c r="BW107">
        <v>7012351582</v>
      </c>
      <c r="BX107" t="s">
        <v>2152</v>
      </c>
      <c r="BY107" t="s">
        <v>1089</v>
      </c>
      <c r="BZ107"/>
      <c r="CA107" t="s">
        <v>1060</v>
      </c>
      <c r="CB107" t="s">
        <v>1061</v>
      </c>
      <c r="CC107" t="s">
        <v>1062</v>
      </c>
      <c r="CD107" t="s">
        <v>2633</v>
      </c>
      <c r="CE107"/>
      <c r="CF107" t="s">
        <v>1097</v>
      </c>
      <c r="CG107" t="s">
        <v>1098</v>
      </c>
      <c r="CH107" t="s">
        <v>141</v>
      </c>
      <c r="CI107"/>
      <c r="CJ107"/>
      <c r="CK107"/>
      <c r="CL107"/>
      <c r="CM107">
        <v>1972553758</v>
      </c>
      <c r="CN107">
        <v>244</v>
      </c>
      <c r="CO107">
        <v>143</v>
      </c>
      <c r="CP107"/>
      <c r="CQ107"/>
      <c r="CR107">
        <v>161</v>
      </c>
      <c r="CS107" t="s">
        <v>2397</v>
      </c>
      <c r="CT107">
        <v>12</v>
      </c>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s="569">
        <v>1340</v>
      </c>
      <c r="ET107" t="s">
        <v>2136</v>
      </c>
      <c r="EU107" t="s">
        <v>1119</v>
      </c>
      <c r="EV107" t="s">
        <v>3005</v>
      </c>
      <c r="EW107" t="s">
        <v>54</v>
      </c>
      <c r="EX107" s="600">
        <v>55805</v>
      </c>
      <c r="EY107"/>
    </row>
    <row r="108" spans="1:155" x14ac:dyDescent="0.2">
      <c r="A108" s="598">
        <v>911</v>
      </c>
      <c r="B108" t="s">
        <v>1101</v>
      </c>
      <c r="C108" t="s">
        <v>1060</v>
      </c>
      <c r="D108" t="s">
        <v>1089</v>
      </c>
      <c r="E108"/>
      <c r="F108" t="s">
        <v>1061</v>
      </c>
      <c r="G108" t="s">
        <v>1062</v>
      </c>
      <c r="H108" t="s">
        <v>2633</v>
      </c>
      <c r="I108"/>
      <c r="J108" t="s">
        <v>1089</v>
      </c>
      <c r="K108"/>
      <c r="L108" t="s">
        <v>1060</v>
      </c>
      <c r="M108" t="s">
        <v>1061</v>
      </c>
      <c r="N108" t="s">
        <v>1062</v>
      </c>
      <c r="O108" t="s">
        <v>2633</v>
      </c>
      <c r="P108"/>
      <c r="Q108">
        <v>7012379073</v>
      </c>
      <c r="R108">
        <v>7012351582</v>
      </c>
      <c r="S108" t="s">
        <v>2148</v>
      </c>
      <c r="T108" t="s">
        <v>2149</v>
      </c>
      <c r="U108" t="s">
        <v>1084</v>
      </c>
      <c r="V108" t="s">
        <v>2150</v>
      </c>
      <c r="W108" t="s">
        <v>2039</v>
      </c>
      <c r="X108" t="s">
        <v>1090</v>
      </c>
      <c r="Y108" t="s">
        <v>1091</v>
      </c>
      <c r="Z108" t="s">
        <v>2634</v>
      </c>
      <c r="AA108" t="s">
        <v>1093</v>
      </c>
      <c r="AB108">
        <v>7012973028</v>
      </c>
      <c r="AC108"/>
      <c r="AD108">
        <v>7012351582</v>
      </c>
      <c r="AE108" t="s">
        <v>2151</v>
      </c>
      <c r="AF108" t="s">
        <v>1089</v>
      </c>
      <c r="AG108"/>
      <c r="AH108" t="s">
        <v>1060</v>
      </c>
      <c r="AI108" t="s">
        <v>1061</v>
      </c>
      <c r="AJ108" t="s">
        <v>1062</v>
      </c>
      <c r="AK108" t="s">
        <v>2633</v>
      </c>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t="s">
        <v>1094</v>
      </c>
      <c r="BR108" t="s">
        <v>1095</v>
      </c>
      <c r="BS108" t="s">
        <v>1096</v>
      </c>
      <c r="BT108" t="s">
        <v>1093</v>
      </c>
      <c r="BU108">
        <v>7012973046</v>
      </c>
      <c r="BV108"/>
      <c r="BW108">
        <v>7012351582</v>
      </c>
      <c r="BX108" t="s">
        <v>2152</v>
      </c>
      <c r="BY108" t="s">
        <v>1089</v>
      </c>
      <c r="BZ108"/>
      <c r="CA108" t="s">
        <v>1060</v>
      </c>
      <c r="CB108" t="s">
        <v>1061</v>
      </c>
      <c r="CC108" t="s">
        <v>1062</v>
      </c>
      <c r="CD108" t="s">
        <v>2633</v>
      </c>
      <c r="CE108"/>
      <c r="CF108" t="s">
        <v>1097</v>
      </c>
      <c r="CG108" t="s">
        <v>1098</v>
      </c>
      <c r="CH108" t="s">
        <v>141</v>
      </c>
      <c r="CI108"/>
      <c r="CJ108"/>
      <c r="CK108"/>
      <c r="CL108"/>
      <c r="CM108">
        <v>1972553758</v>
      </c>
      <c r="CN108">
        <v>244</v>
      </c>
      <c r="CO108">
        <v>143</v>
      </c>
      <c r="CP108"/>
      <c r="CQ108"/>
      <c r="CR108">
        <v>161</v>
      </c>
      <c r="CS108" t="s">
        <v>2397</v>
      </c>
      <c r="CT108">
        <v>12</v>
      </c>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s="569">
        <v>90</v>
      </c>
      <c r="ET108" t="s">
        <v>1835</v>
      </c>
      <c r="EU108" t="s">
        <v>1119</v>
      </c>
      <c r="EV108" t="s">
        <v>3006</v>
      </c>
      <c r="EW108" t="s">
        <v>54</v>
      </c>
      <c r="EX108" s="599">
        <v>55805</v>
      </c>
      <c r="EY108">
        <v>1033153895</v>
      </c>
    </row>
    <row r="109" spans="1:155" x14ac:dyDescent="0.2">
      <c r="A109" s="598">
        <v>663</v>
      </c>
      <c r="B109" t="s">
        <v>1102</v>
      </c>
      <c r="C109" t="s">
        <v>1060</v>
      </c>
      <c r="D109" t="s">
        <v>1089</v>
      </c>
      <c r="E109"/>
      <c r="F109" t="s">
        <v>1061</v>
      </c>
      <c r="G109" t="s">
        <v>1062</v>
      </c>
      <c r="H109" t="s">
        <v>2633</v>
      </c>
      <c r="I109"/>
      <c r="J109" t="s">
        <v>1089</v>
      </c>
      <c r="K109"/>
      <c r="L109" t="s">
        <v>1060</v>
      </c>
      <c r="M109" t="s">
        <v>1061</v>
      </c>
      <c r="N109" t="s">
        <v>1062</v>
      </c>
      <c r="O109" t="s">
        <v>2633</v>
      </c>
      <c r="P109"/>
      <c r="Q109">
        <v>7012379073</v>
      </c>
      <c r="R109">
        <v>7012351582</v>
      </c>
      <c r="S109" t="s">
        <v>2148</v>
      </c>
      <c r="T109" t="s">
        <v>2149</v>
      </c>
      <c r="U109" t="s">
        <v>1084</v>
      </c>
      <c r="V109" t="s">
        <v>2150</v>
      </c>
      <c r="W109" t="s">
        <v>2039</v>
      </c>
      <c r="X109" t="s">
        <v>1090</v>
      </c>
      <c r="Y109" t="s">
        <v>1091</v>
      </c>
      <c r="Z109" t="s">
        <v>2634</v>
      </c>
      <c r="AA109" t="s">
        <v>1093</v>
      </c>
      <c r="AB109">
        <v>7012973028</v>
      </c>
      <c r="AC109"/>
      <c r="AD109">
        <v>7012351582</v>
      </c>
      <c r="AE109" t="s">
        <v>2151</v>
      </c>
      <c r="AF109" t="s">
        <v>1089</v>
      </c>
      <c r="AG109"/>
      <c r="AH109" t="s">
        <v>1060</v>
      </c>
      <c r="AI109" t="s">
        <v>1061</v>
      </c>
      <c r="AJ109" t="s">
        <v>1062</v>
      </c>
      <c r="AK109" t="s">
        <v>2633</v>
      </c>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t="s">
        <v>1094</v>
      </c>
      <c r="BR109" t="s">
        <v>1095</v>
      </c>
      <c r="BS109" t="s">
        <v>1096</v>
      </c>
      <c r="BT109" t="s">
        <v>1093</v>
      </c>
      <c r="BU109">
        <v>7012973046</v>
      </c>
      <c r="BV109"/>
      <c r="BW109">
        <v>7012351582</v>
      </c>
      <c r="BX109" t="s">
        <v>2152</v>
      </c>
      <c r="BY109" t="s">
        <v>1089</v>
      </c>
      <c r="BZ109"/>
      <c r="CA109" t="s">
        <v>1060</v>
      </c>
      <c r="CB109" t="s">
        <v>1061</v>
      </c>
      <c r="CC109" t="s">
        <v>1062</v>
      </c>
      <c r="CD109" t="s">
        <v>2633</v>
      </c>
      <c r="CE109"/>
      <c r="CF109" t="s">
        <v>1097</v>
      </c>
      <c r="CG109" t="s">
        <v>1098</v>
      </c>
      <c r="CH109" t="s">
        <v>141</v>
      </c>
      <c r="CI109"/>
      <c r="CJ109"/>
      <c r="CK109"/>
      <c r="CL109"/>
      <c r="CM109">
        <v>1972553758</v>
      </c>
      <c r="CN109">
        <v>244</v>
      </c>
      <c r="CO109">
        <v>143</v>
      </c>
      <c r="CP109"/>
      <c r="CQ109"/>
      <c r="CR109">
        <v>161</v>
      </c>
      <c r="CS109" t="s">
        <v>2397</v>
      </c>
      <c r="CT109">
        <v>12</v>
      </c>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s="569">
        <v>737</v>
      </c>
      <c r="ET109" t="s">
        <v>1483</v>
      </c>
      <c r="EU109" t="s">
        <v>1119</v>
      </c>
      <c r="EV109" t="s">
        <v>3007</v>
      </c>
      <c r="EW109" t="s">
        <v>54</v>
      </c>
      <c r="EX109" s="600">
        <v>55805</v>
      </c>
      <c r="EY109">
        <v>1225033715</v>
      </c>
    </row>
    <row r="110" spans="1:155" x14ac:dyDescent="0.2">
      <c r="A110" s="598">
        <v>811</v>
      </c>
      <c r="B110" t="s">
        <v>2043</v>
      </c>
      <c r="C110" t="s">
        <v>1060</v>
      </c>
      <c r="D110" t="s">
        <v>1089</v>
      </c>
      <c r="E110"/>
      <c r="F110" t="s">
        <v>1061</v>
      </c>
      <c r="G110" t="s">
        <v>1062</v>
      </c>
      <c r="H110" t="s">
        <v>2633</v>
      </c>
      <c r="I110"/>
      <c r="J110" t="s">
        <v>1089</v>
      </c>
      <c r="K110"/>
      <c r="L110" t="s">
        <v>1060</v>
      </c>
      <c r="M110" t="s">
        <v>1061</v>
      </c>
      <c r="N110" t="s">
        <v>1062</v>
      </c>
      <c r="O110" t="s">
        <v>2633</v>
      </c>
      <c r="P110"/>
      <c r="Q110">
        <v>7012379073</v>
      </c>
      <c r="R110">
        <v>7012351582</v>
      </c>
      <c r="S110" t="s">
        <v>2148</v>
      </c>
      <c r="T110" t="s">
        <v>2149</v>
      </c>
      <c r="U110" t="s">
        <v>1084</v>
      </c>
      <c r="V110" t="s">
        <v>2150</v>
      </c>
      <c r="W110" t="s">
        <v>2039</v>
      </c>
      <c r="X110" t="s">
        <v>1090</v>
      </c>
      <c r="Y110" t="s">
        <v>1091</v>
      </c>
      <c r="Z110" t="s">
        <v>2634</v>
      </c>
      <c r="AA110" t="s">
        <v>1093</v>
      </c>
      <c r="AB110">
        <v>7012973028</v>
      </c>
      <c r="AC110"/>
      <c r="AD110">
        <v>7012351582</v>
      </c>
      <c r="AE110" t="s">
        <v>2151</v>
      </c>
      <c r="AF110" t="s">
        <v>1089</v>
      </c>
      <c r="AG110"/>
      <c r="AH110" t="s">
        <v>1060</v>
      </c>
      <c r="AI110" t="s">
        <v>1061</v>
      </c>
      <c r="AJ110" t="s">
        <v>1062</v>
      </c>
      <c r="AK110" t="s">
        <v>2633</v>
      </c>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t="s">
        <v>1094</v>
      </c>
      <c r="BR110" t="s">
        <v>1095</v>
      </c>
      <c r="BS110" t="s">
        <v>1096</v>
      </c>
      <c r="BT110" t="s">
        <v>1093</v>
      </c>
      <c r="BU110">
        <v>7012973046</v>
      </c>
      <c r="BV110"/>
      <c r="BW110">
        <v>7012351582</v>
      </c>
      <c r="BX110" t="s">
        <v>2152</v>
      </c>
      <c r="BY110" t="s">
        <v>1089</v>
      </c>
      <c r="BZ110"/>
      <c r="CA110" t="s">
        <v>1060</v>
      </c>
      <c r="CB110" t="s">
        <v>1061</v>
      </c>
      <c r="CC110" t="s">
        <v>1062</v>
      </c>
      <c r="CD110" t="s">
        <v>2633</v>
      </c>
      <c r="CE110"/>
      <c r="CF110" t="s">
        <v>1097</v>
      </c>
      <c r="CG110" t="s">
        <v>1098</v>
      </c>
      <c r="CH110" t="s">
        <v>141</v>
      </c>
      <c r="CI110"/>
      <c r="CJ110"/>
      <c r="CK110"/>
      <c r="CL110"/>
      <c r="CM110">
        <v>1972553758</v>
      </c>
      <c r="CN110">
        <v>244</v>
      </c>
      <c r="CO110">
        <v>143</v>
      </c>
      <c r="CP110"/>
      <c r="CQ110"/>
      <c r="CR110">
        <v>161</v>
      </c>
      <c r="CS110" t="s">
        <v>2397</v>
      </c>
      <c r="CT110">
        <v>12</v>
      </c>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s="569">
        <v>143</v>
      </c>
      <c r="ET110" t="s">
        <v>1663</v>
      </c>
      <c r="EU110" t="s">
        <v>1119</v>
      </c>
      <c r="EV110" t="s">
        <v>2283</v>
      </c>
      <c r="EW110" t="s">
        <v>54</v>
      </c>
      <c r="EX110" s="599">
        <v>55805</v>
      </c>
      <c r="EY110">
        <v>1801835970</v>
      </c>
    </row>
    <row r="111" spans="1:155" x14ac:dyDescent="0.2">
      <c r="A111" s="598">
        <v>969</v>
      </c>
      <c r="B111" t="s">
        <v>2044</v>
      </c>
      <c r="C111" t="s">
        <v>1060</v>
      </c>
      <c r="D111" t="s">
        <v>1089</v>
      </c>
      <c r="E111"/>
      <c r="F111" t="s">
        <v>1061</v>
      </c>
      <c r="G111" t="s">
        <v>1062</v>
      </c>
      <c r="H111" t="s">
        <v>2633</v>
      </c>
      <c r="I111"/>
      <c r="J111" t="s">
        <v>1089</v>
      </c>
      <c r="K111"/>
      <c r="L111" t="s">
        <v>1060</v>
      </c>
      <c r="M111" t="s">
        <v>1061</v>
      </c>
      <c r="N111" t="s">
        <v>1062</v>
      </c>
      <c r="O111" t="s">
        <v>2633</v>
      </c>
      <c r="P111"/>
      <c r="Q111">
        <v>7012379073</v>
      </c>
      <c r="R111">
        <v>7012351582</v>
      </c>
      <c r="S111" t="s">
        <v>2148</v>
      </c>
      <c r="T111" t="s">
        <v>2149</v>
      </c>
      <c r="U111" t="s">
        <v>1084</v>
      </c>
      <c r="V111" t="s">
        <v>2150</v>
      </c>
      <c r="W111" t="s">
        <v>2039</v>
      </c>
      <c r="X111" t="s">
        <v>1090</v>
      </c>
      <c r="Y111" t="s">
        <v>1091</v>
      </c>
      <c r="Z111" t="s">
        <v>2634</v>
      </c>
      <c r="AA111" t="s">
        <v>1093</v>
      </c>
      <c r="AB111">
        <v>7012973028</v>
      </c>
      <c r="AC111"/>
      <c r="AD111">
        <v>7012351582</v>
      </c>
      <c r="AE111" t="s">
        <v>2151</v>
      </c>
      <c r="AF111" t="s">
        <v>1089</v>
      </c>
      <c r="AG111"/>
      <c r="AH111" t="s">
        <v>1060</v>
      </c>
      <c r="AI111" t="s">
        <v>1061</v>
      </c>
      <c r="AJ111" t="s">
        <v>1062</v>
      </c>
      <c r="AK111" t="s">
        <v>2633</v>
      </c>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t="s">
        <v>1094</v>
      </c>
      <c r="BR111" t="s">
        <v>1095</v>
      </c>
      <c r="BS111" t="s">
        <v>1096</v>
      </c>
      <c r="BT111" t="s">
        <v>1093</v>
      </c>
      <c r="BU111">
        <v>7012973046</v>
      </c>
      <c r="BV111"/>
      <c r="BW111">
        <v>7012351582</v>
      </c>
      <c r="BX111" t="s">
        <v>2152</v>
      </c>
      <c r="BY111" t="s">
        <v>1089</v>
      </c>
      <c r="BZ111"/>
      <c r="CA111" t="s">
        <v>1060</v>
      </c>
      <c r="CB111" t="s">
        <v>1061</v>
      </c>
      <c r="CC111" t="s">
        <v>1062</v>
      </c>
      <c r="CD111" t="s">
        <v>2633</v>
      </c>
      <c r="CE111"/>
      <c r="CF111" t="s">
        <v>1097</v>
      </c>
      <c r="CG111" t="s">
        <v>1098</v>
      </c>
      <c r="CH111" t="s">
        <v>141</v>
      </c>
      <c r="CI111"/>
      <c r="CJ111"/>
      <c r="CK111"/>
      <c r="CL111"/>
      <c r="CM111">
        <v>1972553758</v>
      </c>
      <c r="CN111">
        <v>244</v>
      </c>
      <c r="CO111">
        <v>143</v>
      </c>
      <c r="CP111"/>
      <c r="CQ111"/>
      <c r="CR111">
        <v>161</v>
      </c>
      <c r="CS111" t="s">
        <v>2397</v>
      </c>
      <c r="CT111">
        <v>12</v>
      </c>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s="569">
        <v>148</v>
      </c>
      <c r="ET111" t="s">
        <v>1836</v>
      </c>
      <c r="EU111" t="s">
        <v>1119</v>
      </c>
      <c r="EV111" t="s">
        <v>2284</v>
      </c>
      <c r="EW111" t="s">
        <v>54</v>
      </c>
      <c r="EX111" s="599">
        <v>55805</v>
      </c>
      <c r="EY111">
        <v>1457393035</v>
      </c>
    </row>
    <row r="112" spans="1:155" x14ac:dyDescent="0.2">
      <c r="A112" s="598">
        <v>985</v>
      </c>
      <c r="B112" t="s">
        <v>2636</v>
      </c>
      <c r="C112" t="s">
        <v>1060</v>
      </c>
      <c r="D112" t="s">
        <v>1089</v>
      </c>
      <c r="E112"/>
      <c r="F112" t="s">
        <v>1061</v>
      </c>
      <c r="G112" t="s">
        <v>1062</v>
      </c>
      <c r="H112" t="s">
        <v>2633</v>
      </c>
      <c r="I112"/>
      <c r="J112" t="s">
        <v>1089</v>
      </c>
      <c r="K112"/>
      <c r="L112" t="s">
        <v>1060</v>
      </c>
      <c r="M112" t="s">
        <v>1061</v>
      </c>
      <c r="N112" t="s">
        <v>1062</v>
      </c>
      <c r="O112" t="s">
        <v>2633</v>
      </c>
      <c r="P112"/>
      <c r="Q112">
        <v>7012379073</v>
      </c>
      <c r="R112">
        <v>7012351582</v>
      </c>
      <c r="S112" t="s">
        <v>2148</v>
      </c>
      <c r="T112" t="s">
        <v>2149</v>
      </c>
      <c r="U112" t="s">
        <v>1084</v>
      </c>
      <c r="V112" t="s">
        <v>2150</v>
      </c>
      <c r="W112" t="s">
        <v>2039</v>
      </c>
      <c r="X112" t="s">
        <v>1090</v>
      </c>
      <c r="Y112" t="s">
        <v>1091</v>
      </c>
      <c r="Z112" t="s">
        <v>2634</v>
      </c>
      <c r="AA112" t="s">
        <v>1093</v>
      </c>
      <c r="AB112">
        <v>7012973028</v>
      </c>
      <c r="AC112"/>
      <c r="AD112">
        <v>7012351582</v>
      </c>
      <c r="AE112" t="s">
        <v>2151</v>
      </c>
      <c r="AF112" t="s">
        <v>1089</v>
      </c>
      <c r="AG112"/>
      <c r="AH112" t="s">
        <v>1060</v>
      </c>
      <c r="AI112" t="s">
        <v>1061</v>
      </c>
      <c r="AJ112" t="s">
        <v>1062</v>
      </c>
      <c r="AK112" t="s">
        <v>2633</v>
      </c>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t="s">
        <v>1094</v>
      </c>
      <c r="BR112" t="s">
        <v>1095</v>
      </c>
      <c r="BS112" t="s">
        <v>1096</v>
      </c>
      <c r="BT112" t="s">
        <v>1093</v>
      </c>
      <c r="BU112">
        <v>7012973046</v>
      </c>
      <c r="BV112"/>
      <c r="BW112">
        <v>7012351582</v>
      </c>
      <c r="BX112" t="s">
        <v>2152</v>
      </c>
      <c r="BY112" t="s">
        <v>1089</v>
      </c>
      <c r="BZ112"/>
      <c r="CA112" t="s">
        <v>1060</v>
      </c>
      <c r="CB112" t="s">
        <v>1061</v>
      </c>
      <c r="CC112" t="s">
        <v>1062</v>
      </c>
      <c r="CD112" t="s">
        <v>2633</v>
      </c>
      <c r="CE112"/>
      <c r="CF112" t="s">
        <v>1097</v>
      </c>
      <c r="CG112" t="s">
        <v>1098</v>
      </c>
      <c r="CH112" t="s">
        <v>141</v>
      </c>
      <c r="CI112"/>
      <c r="CJ112"/>
      <c r="CK112"/>
      <c r="CL112"/>
      <c r="CM112">
        <v>1972553758</v>
      </c>
      <c r="CN112">
        <v>244</v>
      </c>
      <c r="CO112">
        <v>143</v>
      </c>
      <c r="CP112"/>
      <c r="CQ112"/>
      <c r="CR112">
        <v>161</v>
      </c>
      <c r="CS112" t="s">
        <v>2397</v>
      </c>
      <c r="CT112">
        <v>12</v>
      </c>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s="569">
        <v>1374</v>
      </c>
      <c r="ET112" t="s">
        <v>2138</v>
      </c>
      <c r="EU112" t="s">
        <v>1123</v>
      </c>
      <c r="EV112" t="s">
        <v>3008</v>
      </c>
      <c r="EW112" t="s">
        <v>54</v>
      </c>
      <c r="EX112" s="600">
        <v>55121</v>
      </c>
      <c r="EY112">
        <v>1659348092</v>
      </c>
    </row>
    <row r="113" spans="1:155" x14ac:dyDescent="0.2">
      <c r="A113" s="598">
        <v>875</v>
      </c>
      <c r="B113" t="s">
        <v>1103</v>
      </c>
      <c r="C113" t="s">
        <v>1060</v>
      </c>
      <c r="D113" t="s">
        <v>1089</v>
      </c>
      <c r="E113"/>
      <c r="F113" t="s">
        <v>1061</v>
      </c>
      <c r="G113" t="s">
        <v>1062</v>
      </c>
      <c r="H113" t="s">
        <v>2633</v>
      </c>
      <c r="I113"/>
      <c r="J113" t="s">
        <v>1089</v>
      </c>
      <c r="K113"/>
      <c r="L113" t="s">
        <v>1060</v>
      </c>
      <c r="M113" t="s">
        <v>1061</v>
      </c>
      <c r="N113" t="s">
        <v>1062</v>
      </c>
      <c r="O113" t="s">
        <v>2633</v>
      </c>
      <c r="P113"/>
      <c r="Q113">
        <v>7012379073</v>
      </c>
      <c r="R113">
        <v>7012351582</v>
      </c>
      <c r="S113" t="s">
        <v>2148</v>
      </c>
      <c r="T113" t="s">
        <v>2149</v>
      </c>
      <c r="U113" t="s">
        <v>1084</v>
      </c>
      <c r="V113" t="s">
        <v>2150</v>
      </c>
      <c r="W113" t="s">
        <v>2039</v>
      </c>
      <c r="X113" t="s">
        <v>1090</v>
      </c>
      <c r="Y113" t="s">
        <v>1091</v>
      </c>
      <c r="Z113" t="s">
        <v>2634</v>
      </c>
      <c r="AA113" t="s">
        <v>1093</v>
      </c>
      <c r="AB113">
        <v>7012973028</v>
      </c>
      <c r="AC113"/>
      <c r="AD113">
        <v>7012351582</v>
      </c>
      <c r="AE113" t="s">
        <v>2151</v>
      </c>
      <c r="AF113" t="s">
        <v>1089</v>
      </c>
      <c r="AG113"/>
      <c r="AH113" t="s">
        <v>1060</v>
      </c>
      <c r="AI113" t="s">
        <v>1061</v>
      </c>
      <c r="AJ113" t="s">
        <v>1062</v>
      </c>
      <c r="AK113" t="s">
        <v>2633</v>
      </c>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t="s">
        <v>1094</v>
      </c>
      <c r="BR113" t="s">
        <v>1095</v>
      </c>
      <c r="BS113" t="s">
        <v>1096</v>
      </c>
      <c r="BT113" t="s">
        <v>1093</v>
      </c>
      <c r="BU113">
        <v>7012973046</v>
      </c>
      <c r="BV113"/>
      <c r="BW113">
        <v>7012351582</v>
      </c>
      <c r="BX113" t="s">
        <v>2152</v>
      </c>
      <c r="BY113" t="s">
        <v>1089</v>
      </c>
      <c r="BZ113"/>
      <c r="CA113" t="s">
        <v>1060</v>
      </c>
      <c r="CB113" t="s">
        <v>1061</v>
      </c>
      <c r="CC113" t="s">
        <v>1062</v>
      </c>
      <c r="CD113" t="s">
        <v>2633</v>
      </c>
      <c r="CE113"/>
      <c r="CF113" t="s">
        <v>1097</v>
      </c>
      <c r="CG113" t="s">
        <v>1098</v>
      </c>
      <c r="CH113" t="s">
        <v>141</v>
      </c>
      <c r="CI113"/>
      <c r="CJ113"/>
      <c r="CK113"/>
      <c r="CL113"/>
      <c r="CM113">
        <v>1972553758</v>
      </c>
      <c r="CN113">
        <v>244</v>
      </c>
      <c r="CO113">
        <v>143</v>
      </c>
      <c r="CP113"/>
      <c r="CQ113"/>
      <c r="CR113">
        <v>161</v>
      </c>
      <c r="CS113" t="s">
        <v>2397</v>
      </c>
      <c r="CT113">
        <v>12</v>
      </c>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s="569">
        <v>777</v>
      </c>
      <c r="ET113" t="s">
        <v>1122</v>
      </c>
      <c r="EU113" t="s">
        <v>1123</v>
      </c>
      <c r="EV113" t="s">
        <v>3009</v>
      </c>
      <c r="EW113" t="s">
        <v>54</v>
      </c>
      <c r="EX113" s="600">
        <v>55121</v>
      </c>
      <c r="EY113">
        <v>1306899463</v>
      </c>
    </row>
    <row r="114" spans="1:155" x14ac:dyDescent="0.2">
      <c r="A114" s="598">
        <v>1269</v>
      </c>
      <c r="B114" t="s">
        <v>2045</v>
      </c>
      <c r="C114" t="s">
        <v>1060</v>
      </c>
      <c r="D114" t="s">
        <v>1089</v>
      </c>
      <c r="E114"/>
      <c r="F114" t="s">
        <v>1061</v>
      </c>
      <c r="G114" t="s">
        <v>1062</v>
      </c>
      <c r="H114" t="s">
        <v>2633</v>
      </c>
      <c r="I114"/>
      <c r="J114" t="s">
        <v>1089</v>
      </c>
      <c r="K114"/>
      <c r="L114" t="s">
        <v>1060</v>
      </c>
      <c r="M114" t="s">
        <v>1061</v>
      </c>
      <c r="N114" t="s">
        <v>1062</v>
      </c>
      <c r="O114" t="s">
        <v>2633</v>
      </c>
      <c r="P114"/>
      <c r="Q114">
        <v>7012379073</v>
      </c>
      <c r="R114">
        <v>7012351582</v>
      </c>
      <c r="S114" t="s">
        <v>2148</v>
      </c>
      <c r="T114" t="s">
        <v>2149</v>
      </c>
      <c r="U114" t="s">
        <v>1084</v>
      </c>
      <c r="V114" t="s">
        <v>2150</v>
      </c>
      <c r="W114" t="s">
        <v>2039</v>
      </c>
      <c r="X114" t="s">
        <v>1090</v>
      </c>
      <c r="Y114" t="s">
        <v>1091</v>
      </c>
      <c r="Z114" t="s">
        <v>2634</v>
      </c>
      <c r="AA114" t="s">
        <v>1093</v>
      </c>
      <c r="AB114">
        <v>7012973028</v>
      </c>
      <c r="AC114"/>
      <c r="AD114">
        <v>7012351582</v>
      </c>
      <c r="AE114" t="s">
        <v>2151</v>
      </c>
      <c r="AF114" t="s">
        <v>1089</v>
      </c>
      <c r="AG114"/>
      <c r="AH114" t="s">
        <v>1060</v>
      </c>
      <c r="AI114" t="s">
        <v>1061</v>
      </c>
      <c r="AJ114" t="s">
        <v>1062</v>
      </c>
      <c r="AK114" t="s">
        <v>2633</v>
      </c>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t="s">
        <v>1094</v>
      </c>
      <c r="BR114" t="s">
        <v>1095</v>
      </c>
      <c r="BS114" t="s">
        <v>1096</v>
      </c>
      <c r="BT114" t="s">
        <v>1093</v>
      </c>
      <c r="BU114">
        <v>7012973046</v>
      </c>
      <c r="BV114"/>
      <c r="BW114">
        <v>7012351582</v>
      </c>
      <c r="BX114" t="s">
        <v>2152</v>
      </c>
      <c r="BY114" t="s">
        <v>1089</v>
      </c>
      <c r="BZ114"/>
      <c r="CA114" t="s">
        <v>1060</v>
      </c>
      <c r="CB114" t="s">
        <v>1061</v>
      </c>
      <c r="CC114" t="s">
        <v>1062</v>
      </c>
      <c r="CD114" t="s">
        <v>2633</v>
      </c>
      <c r="CE114"/>
      <c r="CF114" t="s">
        <v>1097</v>
      </c>
      <c r="CG114" t="s">
        <v>1098</v>
      </c>
      <c r="CH114" t="s">
        <v>141</v>
      </c>
      <c r="CI114"/>
      <c r="CJ114"/>
      <c r="CK114"/>
      <c r="CL114"/>
      <c r="CM114">
        <v>1972553758</v>
      </c>
      <c r="CN114">
        <v>244</v>
      </c>
      <c r="CO114">
        <v>143</v>
      </c>
      <c r="CP114"/>
      <c r="CQ114"/>
      <c r="CR114">
        <v>161</v>
      </c>
      <c r="CS114" t="s">
        <v>2397</v>
      </c>
      <c r="CT114">
        <v>12</v>
      </c>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s="569">
        <v>1321</v>
      </c>
      <c r="ET114" t="s">
        <v>2798</v>
      </c>
      <c r="EU114" t="s">
        <v>1123</v>
      </c>
      <c r="EV114" t="s">
        <v>3010</v>
      </c>
      <c r="EW114" t="s">
        <v>54</v>
      </c>
      <c r="EX114" s="600">
        <v>55123</v>
      </c>
      <c r="EY114">
        <v>1821195959</v>
      </c>
    </row>
    <row r="115" spans="1:155" x14ac:dyDescent="0.2">
      <c r="A115" s="598">
        <v>945</v>
      </c>
      <c r="B115" t="s">
        <v>1104</v>
      </c>
      <c r="C115" t="s">
        <v>1060</v>
      </c>
      <c r="D115" t="s">
        <v>1089</v>
      </c>
      <c r="E115"/>
      <c r="F115" t="s">
        <v>1061</v>
      </c>
      <c r="G115" t="s">
        <v>1062</v>
      </c>
      <c r="H115" t="s">
        <v>2633</v>
      </c>
      <c r="I115"/>
      <c r="J115" t="s">
        <v>1089</v>
      </c>
      <c r="K115"/>
      <c r="L115" t="s">
        <v>1060</v>
      </c>
      <c r="M115" t="s">
        <v>1061</v>
      </c>
      <c r="N115" t="s">
        <v>1062</v>
      </c>
      <c r="O115" t="s">
        <v>2633</v>
      </c>
      <c r="P115"/>
      <c r="Q115">
        <v>7012379073</v>
      </c>
      <c r="R115">
        <v>7012351582</v>
      </c>
      <c r="S115" t="s">
        <v>2148</v>
      </c>
      <c r="T115" t="s">
        <v>2149</v>
      </c>
      <c r="U115" t="s">
        <v>1084</v>
      </c>
      <c r="V115" t="s">
        <v>2150</v>
      </c>
      <c r="W115" t="s">
        <v>2039</v>
      </c>
      <c r="X115" t="s">
        <v>1090</v>
      </c>
      <c r="Y115" t="s">
        <v>1091</v>
      </c>
      <c r="Z115" t="s">
        <v>2634</v>
      </c>
      <c r="AA115" t="s">
        <v>1093</v>
      </c>
      <c r="AB115">
        <v>7012973028</v>
      </c>
      <c r="AC115"/>
      <c r="AD115">
        <v>7012351582</v>
      </c>
      <c r="AE115" t="s">
        <v>2151</v>
      </c>
      <c r="AF115" t="s">
        <v>1089</v>
      </c>
      <c r="AG115"/>
      <c r="AH115" t="s">
        <v>1060</v>
      </c>
      <c r="AI115" t="s">
        <v>1061</v>
      </c>
      <c r="AJ115" t="s">
        <v>1062</v>
      </c>
      <c r="AK115" t="s">
        <v>2633</v>
      </c>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t="s">
        <v>1094</v>
      </c>
      <c r="BR115" t="s">
        <v>1095</v>
      </c>
      <c r="BS115" t="s">
        <v>1096</v>
      </c>
      <c r="BT115" t="s">
        <v>1093</v>
      </c>
      <c r="BU115">
        <v>7012973046</v>
      </c>
      <c r="BV115"/>
      <c r="BW115">
        <v>7012351582</v>
      </c>
      <c r="BX115" t="s">
        <v>2152</v>
      </c>
      <c r="BY115" t="s">
        <v>1089</v>
      </c>
      <c r="BZ115"/>
      <c r="CA115" t="s">
        <v>1060</v>
      </c>
      <c r="CB115" t="s">
        <v>1061</v>
      </c>
      <c r="CC115" t="s">
        <v>1062</v>
      </c>
      <c r="CD115" t="s">
        <v>2633</v>
      </c>
      <c r="CE115"/>
      <c r="CF115" t="s">
        <v>1097</v>
      </c>
      <c r="CG115" t="s">
        <v>1098</v>
      </c>
      <c r="CH115" t="s">
        <v>141</v>
      </c>
      <c r="CI115"/>
      <c r="CJ115"/>
      <c r="CK115"/>
      <c r="CL115"/>
      <c r="CM115">
        <v>1972553758</v>
      </c>
      <c r="CN115">
        <v>244</v>
      </c>
      <c r="CO115">
        <v>143</v>
      </c>
      <c r="CP115"/>
      <c r="CQ115"/>
      <c r="CR115">
        <v>161</v>
      </c>
      <c r="CS115" t="s">
        <v>2397</v>
      </c>
      <c r="CT115">
        <v>12</v>
      </c>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s="569">
        <v>529</v>
      </c>
      <c r="ET115" t="s">
        <v>1683</v>
      </c>
      <c r="EU115" t="s">
        <v>1123</v>
      </c>
      <c r="EV115" t="s">
        <v>3011</v>
      </c>
      <c r="EW115" t="s">
        <v>54</v>
      </c>
      <c r="EX115" s="600">
        <v>55123</v>
      </c>
      <c r="EY115">
        <v>1720059264</v>
      </c>
    </row>
    <row r="116" spans="1:155" x14ac:dyDescent="0.2">
      <c r="A116" s="598">
        <v>950</v>
      </c>
      <c r="B116" t="s">
        <v>1105</v>
      </c>
      <c r="C116" t="s">
        <v>1060</v>
      </c>
      <c r="D116" t="s">
        <v>1089</v>
      </c>
      <c r="E116"/>
      <c r="F116" t="s">
        <v>1061</v>
      </c>
      <c r="G116" t="s">
        <v>1062</v>
      </c>
      <c r="H116" t="s">
        <v>2633</v>
      </c>
      <c r="I116"/>
      <c r="J116" t="s">
        <v>1089</v>
      </c>
      <c r="K116"/>
      <c r="L116" t="s">
        <v>1060</v>
      </c>
      <c r="M116" t="s">
        <v>1061</v>
      </c>
      <c r="N116" t="s">
        <v>1062</v>
      </c>
      <c r="O116" t="s">
        <v>2633</v>
      </c>
      <c r="P116"/>
      <c r="Q116">
        <v>7012379073</v>
      </c>
      <c r="R116">
        <v>7012351582</v>
      </c>
      <c r="S116" t="s">
        <v>2148</v>
      </c>
      <c r="T116" t="s">
        <v>2149</v>
      </c>
      <c r="U116" t="s">
        <v>1084</v>
      </c>
      <c r="V116" t="s">
        <v>2150</v>
      </c>
      <c r="W116" t="s">
        <v>2039</v>
      </c>
      <c r="X116" t="s">
        <v>1090</v>
      </c>
      <c r="Y116" t="s">
        <v>1091</v>
      </c>
      <c r="Z116" t="s">
        <v>2634</v>
      </c>
      <c r="AA116" t="s">
        <v>1093</v>
      </c>
      <c r="AB116">
        <v>7012973028</v>
      </c>
      <c r="AC116"/>
      <c r="AD116">
        <v>7012351582</v>
      </c>
      <c r="AE116" t="s">
        <v>2151</v>
      </c>
      <c r="AF116" t="s">
        <v>1089</v>
      </c>
      <c r="AG116"/>
      <c r="AH116" t="s">
        <v>1060</v>
      </c>
      <c r="AI116" t="s">
        <v>1061</v>
      </c>
      <c r="AJ116" t="s">
        <v>1062</v>
      </c>
      <c r="AK116" t="s">
        <v>2633</v>
      </c>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t="s">
        <v>1094</v>
      </c>
      <c r="BR116" t="s">
        <v>1095</v>
      </c>
      <c r="BS116" t="s">
        <v>1096</v>
      </c>
      <c r="BT116" t="s">
        <v>1093</v>
      </c>
      <c r="BU116">
        <v>7012973046</v>
      </c>
      <c r="BV116"/>
      <c r="BW116">
        <v>7012351582</v>
      </c>
      <c r="BX116" t="s">
        <v>2152</v>
      </c>
      <c r="BY116" t="s">
        <v>1089</v>
      </c>
      <c r="BZ116"/>
      <c r="CA116" t="s">
        <v>1060</v>
      </c>
      <c r="CB116" t="s">
        <v>1061</v>
      </c>
      <c r="CC116" t="s">
        <v>1062</v>
      </c>
      <c r="CD116" t="s">
        <v>2633</v>
      </c>
      <c r="CE116"/>
      <c r="CF116" t="s">
        <v>1097</v>
      </c>
      <c r="CG116" t="s">
        <v>1098</v>
      </c>
      <c r="CH116" t="s">
        <v>141</v>
      </c>
      <c r="CI116"/>
      <c r="CJ116"/>
      <c r="CK116"/>
      <c r="CL116"/>
      <c r="CM116">
        <v>1972553758</v>
      </c>
      <c r="CN116">
        <v>244</v>
      </c>
      <c r="CO116">
        <v>143</v>
      </c>
      <c r="CP116"/>
      <c r="CQ116"/>
      <c r="CR116">
        <v>161</v>
      </c>
      <c r="CS116" t="s">
        <v>2397</v>
      </c>
      <c r="CT116">
        <v>12</v>
      </c>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s="569">
        <v>731</v>
      </c>
      <c r="ET116" t="s">
        <v>1686</v>
      </c>
      <c r="EU116" t="s">
        <v>1123</v>
      </c>
      <c r="EV116" t="s">
        <v>3012</v>
      </c>
      <c r="EW116" t="s">
        <v>54</v>
      </c>
      <c r="EX116" s="600">
        <v>55121</v>
      </c>
      <c r="EY116">
        <v>1053344788</v>
      </c>
    </row>
    <row r="117" spans="1:155" x14ac:dyDescent="0.2">
      <c r="A117" s="598">
        <v>951</v>
      </c>
      <c r="B117" t="s">
        <v>1106</v>
      </c>
      <c r="C117" t="s">
        <v>1060</v>
      </c>
      <c r="D117" t="s">
        <v>1089</v>
      </c>
      <c r="E117"/>
      <c r="F117" t="s">
        <v>1061</v>
      </c>
      <c r="G117" t="s">
        <v>1062</v>
      </c>
      <c r="H117" t="s">
        <v>2633</v>
      </c>
      <c r="I117"/>
      <c r="J117" t="s">
        <v>1089</v>
      </c>
      <c r="K117"/>
      <c r="L117" t="s">
        <v>1060</v>
      </c>
      <c r="M117" t="s">
        <v>1061</v>
      </c>
      <c r="N117" t="s">
        <v>1062</v>
      </c>
      <c r="O117" t="s">
        <v>2633</v>
      </c>
      <c r="P117"/>
      <c r="Q117">
        <v>7012379073</v>
      </c>
      <c r="R117">
        <v>7012351582</v>
      </c>
      <c r="S117" t="s">
        <v>2148</v>
      </c>
      <c r="T117" t="s">
        <v>2149</v>
      </c>
      <c r="U117" t="s">
        <v>1084</v>
      </c>
      <c r="V117" t="s">
        <v>2150</v>
      </c>
      <c r="W117" t="s">
        <v>2039</v>
      </c>
      <c r="X117" t="s">
        <v>1090</v>
      </c>
      <c r="Y117" t="s">
        <v>1091</v>
      </c>
      <c r="Z117" t="s">
        <v>2634</v>
      </c>
      <c r="AA117" t="s">
        <v>1093</v>
      </c>
      <c r="AB117">
        <v>7012973028</v>
      </c>
      <c r="AC117"/>
      <c r="AD117">
        <v>7012351582</v>
      </c>
      <c r="AE117" t="s">
        <v>2151</v>
      </c>
      <c r="AF117" t="s">
        <v>1089</v>
      </c>
      <c r="AG117"/>
      <c r="AH117" t="s">
        <v>1060</v>
      </c>
      <c r="AI117" t="s">
        <v>1061</v>
      </c>
      <c r="AJ117" t="s">
        <v>1062</v>
      </c>
      <c r="AK117" t="s">
        <v>2633</v>
      </c>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t="s">
        <v>1094</v>
      </c>
      <c r="BR117" t="s">
        <v>1095</v>
      </c>
      <c r="BS117" t="s">
        <v>1096</v>
      </c>
      <c r="BT117" t="s">
        <v>1093</v>
      </c>
      <c r="BU117">
        <v>7012973046</v>
      </c>
      <c r="BV117"/>
      <c r="BW117">
        <v>7012351582</v>
      </c>
      <c r="BX117" t="s">
        <v>2152</v>
      </c>
      <c r="BY117" t="s">
        <v>1089</v>
      </c>
      <c r="BZ117"/>
      <c r="CA117" t="s">
        <v>1060</v>
      </c>
      <c r="CB117" t="s">
        <v>1061</v>
      </c>
      <c r="CC117" t="s">
        <v>1062</v>
      </c>
      <c r="CD117" t="s">
        <v>2633</v>
      </c>
      <c r="CE117"/>
      <c r="CF117" t="s">
        <v>1097</v>
      </c>
      <c r="CG117" t="s">
        <v>1098</v>
      </c>
      <c r="CH117" t="s">
        <v>141</v>
      </c>
      <c r="CI117"/>
      <c r="CJ117"/>
      <c r="CK117"/>
      <c r="CL117"/>
      <c r="CM117">
        <v>1972553758</v>
      </c>
      <c r="CN117">
        <v>244</v>
      </c>
      <c r="CO117">
        <v>143</v>
      </c>
      <c r="CP117"/>
      <c r="CQ117"/>
      <c r="CR117">
        <v>161</v>
      </c>
      <c r="CS117" t="s">
        <v>2397</v>
      </c>
      <c r="CT117">
        <v>12</v>
      </c>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s="569">
        <v>1376</v>
      </c>
      <c r="ET117" t="s">
        <v>2191</v>
      </c>
      <c r="EU117" t="s">
        <v>1123</v>
      </c>
      <c r="EV117" t="s">
        <v>3013</v>
      </c>
      <c r="EW117" t="s">
        <v>54</v>
      </c>
      <c r="EX117" s="600">
        <v>55121</v>
      </c>
      <c r="EY117">
        <v>1164474250</v>
      </c>
    </row>
    <row r="118" spans="1:155" x14ac:dyDescent="0.2">
      <c r="A118" s="598">
        <v>952</v>
      </c>
      <c r="B118" t="s">
        <v>1107</v>
      </c>
      <c r="C118" t="s">
        <v>1060</v>
      </c>
      <c r="D118" t="s">
        <v>1089</v>
      </c>
      <c r="E118"/>
      <c r="F118" t="s">
        <v>1061</v>
      </c>
      <c r="G118" t="s">
        <v>1062</v>
      </c>
      <c r="H118" t="s">
        <v>2633</v>
      </c>
      <c r="I118"/>
      <c r="J118" t="s">
        <v>1089</v>
      </c>
      <c r="K118"/>
      <c r="L118" t="s">
        <v>1060</v>
      </c>
      <c r="M118" t="s">
        <v>1061</v>
      </c>
      <c r="N118" t="s">
        <v>1062</v>
      </c>
      <c r="O118" t="s">
        <v>2633</v>
      </c>
      <c r="P118"/>
      <c r="Q118">
        <v>7012379073</v>
      </c>
      <c r="R118">
        <v>7012351582</v>
      </c>
      <c r="S118" t="s">
        <v>2148</v>
      </c>
      <c r="T118" t="s">
        <v>2149</v>
      </c>
      <c r="U118" t="s">
        <v>1084</v>
      </c>
      <c r="V118" t="s">
        <v>2150</v>
      </c>
      <c r="W118" t="s">
        <v>2039</v>
      </c>
      <c r="X118" t="s">
        <v>1090</v>
      </c>
      <c r="Y118" t="s">
        <v>1091</v>
      </c>
      <c r="Z118" t="s">
        <v>2634</v>
      </c>
      <c r="AA118" t="s">
        <v>1093</v>
      </c>
      <c r="AB118">
        <v>7012973028</v>
      </c>
      <c r="AC118"/>
      <c r="AD118">
        <v>7012351582</v>
      </c>
      <c r="AE118" t="s">
        <v>2151</v>
      </c>
      <c r="AF118" t="s">
        <v>1089</v>
      </c>
      <c r="AG118"/>
      <c r="AH118" t="s">
        <v>1060</v>
      </c>
      <c r="AI118" t="s">
        <v>1061</v>
      </c>
      <c r="AJ118" t="s">
        <v>1062</v>
      </c>
      <c r="AK118" t="s">
        <v>2633</v>
      </c>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t="s">
        <v>1094</v>
      </c>
      <c r="BR118" t="s">
        <v>1095</v>
      </c>
      <c r="BS118" t="s">
        <v>1096</v>
      </c>
      <c r="BT118" t="s">
        <v>1093</v>
      </c>
      <c r="BU118">
        <v>7012973046</v>
      </c>
      <c r="BV118"/>
      <c r="BW118">
        <v>7012351582</v>
      </c>
      <c r="BX118" t="s">
        <v>2152</v>
      </c>
      <c r="BY118" t="s">
        <v>1089</v>
      </c>
      <c r="BZ118"/>
      <c r="CA118" t="s">
        <v>1060</v>
      </c>
      <c r="CB118" t="s">
        <v>1061</v>
      </c>
      <c r="CC118" t="s">
        <v>1062</v>
      </c>
      <c r="CD118" t="s">
        <v>2633</v>
      </c>
      <c r="CE118"/>
      <c r="CF118" t="s">
        <v>1097</v>
      </c>
      <c r="CG118" t="s">
        <v>1098</v>
      </c>
      <c r="CH118" t="s">
        <v>141</v>
      </c>
      <c r="CI118"/>
      <c r="CJ118"/>
      <c r="CK118"/>
      <c r="CL118"/>
      <c r="CM118">
        <v>1972553758</v>
      </c>
      <c r="CN118">
        <v>244</v>
      </c>
      <c r="CO118">
        <v>143</v>
      </c>
      <c r="CP118"/>
      <c r="CQ118"/>
      <c r="CR118">
        <v>161</v>
      </c>
      <c r="CS118" t="s">
        <v>2397</v>
      </c>
      <c r="CT118">
        <v>12</v>
      </c>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s="569">
        <v>601</v>
      </c>
      <c r="ET118" t="s">
        <v>1767</v>
      </c>
      <c r="EU118" t="s">
        <v>1123</v>
      </c>
      <c r="EV118" t="s">
        <v>3014</v>
      </c>
      <c r="EW118" t="s">
        <v>54</v>
      </c>
      <c r="EX118" s="600">
        <v>55121</v>
      </c>
      <c r="EY118">
        <v>1407102882</v>
      </c>
    </row>
    <row r="119" spans="1:155" x14ac:dyDescent="0.2">
      <c r="A119" s="598">
        <v>1270</v>
      </c>
      <c r="B119" t="s">
        <v>2046</v>
      </c>
      <c r="C119" t="s">
        <v>1060</v>
      </c>
      <c r="D119" t="s">
        <v>1089</v>
      </c>
      <c r="E119"/>
      <c r="F119" t="s">
        <v>1061</v>
      </c>
      <c r="G119" t="s">
        <v>1062</v>
      </c>
      <c r="H119" t="s">
        <v>2633</v>
      </c>
      <c r="I119"/>
      <c r="J119" t="s">
        <v>1089</v>
      </c>
      <c r="K119"/>
      <c r="L119" t="s">
        <v>1060</v>
      </c>
      <c r="M119" t="s">
        <v>1061</v>
      </c>
      <c r="N119" t="s">
        <v>1062</v>
      </c>
      <c r="O119" t="s">
        <v>2633</v>
      </c>
      <c r="P119"/>
      <c r="Q119">
        <v>7012379073</v>
      </c>
      <c r="R119">
        <v>7012351582</v>
      </c>
      <c r="S119" t="s">
        <v>2148</v>
      </c>
      <c r="T119" t="s">
        <v>2149</v>
      </c>
      <c r="U119" t="s">
        <v>1084</v>
      </c>
      <c r="V119" t="s">
        <v>2150</v>
      </c>
      <c r="W119" t="s">
        <v>2039</v>
      </c>
      <c r="X119" t="s">
        <v>1090</v>
      </c>
      <c r="Y119" t="s">
        <v>1091</v>
      </c>
      <c r="Z119" t="s">
        <v>2634</v>
      </c>
      <c r="AA119" t="s">
        <v>1093</v>
      </c>
      <c r="AB119">
        <v>7012973028</v>
      </c>
      <c r="AC119"/>
      <c r="AD119">
        <v>7012351582</v>
      </c>
      <c r="AE119" t="s">
        <v>2151</v>
      </c>
      <c r="AF119" t="s">
        <v>1089</v>
      </c>
      <c r="AG119"/>
      <c r="AH119" t="s">
        <v>1060</v>
      </c>
      <c r="AI119" t="s">
        <v>1061</v>
      </c>
      <c r="AJ119" t="s">
        <v>1062</v>
      </c>
      <c r="AK119" t="s">
        <v>2633</v>
      </c>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t="s">
        <v>1094</v>
      </c>
      <c r="BR119" t="s">
        <v>1095</v>
      </c>
      <c r="BS119" t="s">
        <v>1096</v>
      </c>
      <c r="BT119" t="s">
        <v>1093</v>
      </c>
      <c r="BU119">
        <v>7012973046</v>
      </c>
      <c r="BV119"/>
      <c r="BW119">
        <v>7012351582</v>
      </c>
      <c r="BX119" t="s">
        <v>2152</v>
      </c>
      <c r="BY119" t="s">
        <v>1089</v>
      </c>
      <c r="BZ119"/>
      <c r="CA119" t="s">
        <v>1060</v>
      </c>
      <c r="CB119" t="s">
        <v>1061</v>
      </c>
      <c r="CC119" t="s">
        <v>1062</v>
      </c>
      <c r="CD119" t="s">
        <v>2633</v>
      </c>
      <c r="CE119"/>
      <c r="CF119" t="s">
        <v>1097</v>
      </c>
      <c r="CG119" t="s">
        <v>1098</v>
      </c>
      <c r="CH119" t="s">
        <v>141</v>
      </c>
      <c r="CI119"/>
      <c r="CJ119"/>
      <c r="CK119"/>
      <c r="CL119"/>
      <c r="CM119">
        <v>1972553758</v>
      </c>
      <c r="CN119">
        <v>244</v>
      </c>
      <c r="CO119">
        <v>143</v>
      </c>
      <c r="CP119"/>
      <c r="CQ119"/>
      <c r="CR119">
        <v>161</v>
      </c>
      <c r="CS119" t="s">
        <v>2397</v>
      </c>
      <c r="CT119">
        <v>12</v>
      </c>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s="569">
        <v>679</v>
      </c>
      <c r="ET119" t="s">
        <v>1557</v>
      </c>
      <c r="EU119" t="s">
        <v>1558</v>
      </c>
      <c r="EV119" t="s">
        <v>3015</v>
      </c>
      <c r="EW119" t="s">
        <v>54</v>
      </c>
      <c r="EX119" s="600">
        <v>56721</v>
      </c>
      <c r="EY119">
        <v>1437355393</v>
      </c>
    </row>
    <row r="120" spans="1:155" x14ac:dyDescent="0.2">
      <c r="A120" s="598">
        <v>603</v>
      </c>
      <c r="B120" t="s">
        <v>2637</v>
      </c>
      <c r="C120" t="s">
        <v>1060</v>
      </c>
      <c r="D120" t="s">
        <v>1089</v>
      </c>
      <c r="E120"/>
      <c r="F120" t="s">
        <v>1061</v>
      </c>
      <c r="G120" t="s">
        <v>1062</v>
      </c>
      <c r="H120" t="s">
        <v>2633</v>
      </c>
      <c r="I120"/>
      <c r="J120" t="s">
        <v>1089</v>
      </c>
      <c r="K120"/>
      <c r="L120" t="s">
        <v>1060</v>
      </c>
      <c r="M120" t="s">
        <v>1061</v>
      </c>
      <c r="N120" t="s">
        <v>1062</v>
      </c>
      <c r="O120" t="s">
        <v>2633</v>
      </c>
      <c r="P120"/>
      <c r="Q120">
        <v>7012379073</v>
      </c>
      <c r="R120">
        <v>7012973077</v>
      </c>
      <c r="S120" t="s">
        <v>2148</v>
      </c>
      <c r="T120" t="s">
        <v>2149</v>
      </c>
      <c r="U120" t="s">
        <v>1084</v>
      </c>
      <c r="V120" t="s">
        <v>2150</v>
      </c>
      <c r="W120" t="s">
        <v>2039</v>
      </c>
      <c r="X120" t="s">
        <v>1090</v>
      </c>
      <c r="Y120" t="s">
        <v>1091</v>
      </c>
      <c r="Z120" t="s">
        <v>2634</v>
      </c>
      <c r="AA120" t="s">
        <v>1093</v>
      </c>
      <c r="AB120">
        <v>7012973028</v>
      </c>
      <c r="AC120"/>
      <c r="AD120">
        <v>7012351582</v>
      </c>
      <c r="AE120" t="s">
        <v>2151</v>
      </c>
      <c r="AF120" t="s">
        <v>1089</v>
      </c>
      <c r="AG120"/>
      <c r="AH120" t="s">
        <v>1060</v>
      </c>
      <c r="AI120" t="s">
        <v>1061</v>
      </c>
      <c r="AJ120" t="s">
        <v>1062</v>
      </c>
      <c r="AK120" t="s">
        <v>2633</v>
      </c>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t="s">
        <v>1094</v>
      </c>
      <c r="BR120" t="s">
        <v>1095</v>
      </c>
      <c r="BS120" t="s">
        <v>1096</v>
      </c>
      <c r="BT120" t="s">
        <v>1093</v>
      </c>
      <c r="BU120">
        <v>7012973046</v>
      </c>
      <c r="BV120"/>
      <c r="BW120">
        <v>7012351582</v>
      </c>
      <c r="BX120" t="s">
        <v>2152</v>
      </c>
      <c r="BY120" t="s">
        <v>1089</v>
      </c>
      <c r="BZ120"/>
      <c r="CA120" t="s">
        <v>1060</v>
      </c>
      <c r="CB120" t="s">
        <v>1061</v>
      </c>
      <c r="CC120" t="s">
        <v>1062</v>
      </c>
      <c r="CD120" t="s">
        <v>2633</v>
      </c>
      <c r="CE120"/>
      <c r="CF120" t="s">
        <v>1097</v>
      </c>
      <c r="CG120" t="s">
        <v>1098</v>
      </c>
      <c r="CH120" t="s">
        <v>141</v>
      </c>
      <c r="CI120"/>
      <c r="CJ120"/>
      <c r="CK120"/>
      <c r="CL120"/>
      <c r="CM120">
        <v>1972553758</v>
      </c>
      <c r="CN120">
        <v>244</v>
      </c>
      <c r="CO120">
        <v>143</v>
      </c>
      <c r="CP120"/>
      <c r="CQ120"/>
      <c r="CR120">
        <v>161</v>
      </c>
      <c r="CS120" t="s">
        <v>2397</v>
      </c>
      <c r="CT120">
        <v>12</v>
      </c>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s="569">
        <v>742</v>
      </c>
      <c r="ET120" t="s">
        <v>825</v>
      </c>
      <c r="EU120" t="s">
        <v>826</v>
      </c>
      <c r="EV120" t="s">
        <v>3016</v>
      </c>
      <c r="EW120" t="s">
        <v>54</v>
      </c>
      <c r="EX120" s="600">
        <v>55344</v>
      </c>
      <c r="EY120">
        <v>1699706176</v>
      </c>
    </row>
    <row r="121" spans="1:155" x14ac:dyDescent="0.2">
      <c r="A121" s="598">
        <v>978</v>
      </c>
      <c r="B121" t="s">
        <v>2047</v>
      </c>
      <c r="C121" t="s">
        <v>1060</v>
      </c>
      <c r="D121" t="s">
        <v>1089</v>
      </c>
      <c r="E121"/>
      <c r="F121" t="s">
        <v>1061</v>
      </c>
      <c r="G121" t="s">
        <v>1062</v>
      </c>
      <c r="H121" t="s">
        <v>2633</v>
      </c>
      <c r="I121"/>
      <c r="J121" t="s">
        <v>1089</v>
      </c>
      <c r="K121"/>
      <c r="L121" t="s">
        <v>1060</v>
      </c>
      <c r="M121" t="s">
        <v>1061</v>
      </c>
      <c r="N121" t="s">
        <v>1062</v>
      </c>
      <c r="O121" t="s">
        <v>2633</v>
      </c>
      <c r="P121"/>
      <c r="Q121">
        <v>7012379073</v>
      </c>
      <c r="R121">
        <v>7012351582</v>
      </c>
      <c r="S121" t="s">
        <v>2148</v>
      </c>
      <c r="T121" t="s">
        <v>2149</v>
      </c>
      <c r="U121" t="s">
        <v>1084</v>
      </c>
      <c r="V121" t="s">
        <v>2150</v>
      </c>
      <c r="W121" t="s">
        <v>2039</v>
      </c>
      <c r="X121" t="s">
        <v>1090</v>
      </c>
      <c r="Y121" t="s">
        <v>1091</v>
      </c>
      <c r="Z121" t="s">
        <v>2634</v>
      </c>
      <c r="AA121" t="s">
        <v>1093</v>
      </c>
      <c r="AB121">
        <v>7012973028</v>
      </c>
      <c r="AC121"/>
      <c r="AD121">
        <v>7012351582</v>
      </c>
      <c r="AE121" t="s">
        <v>2151</v>
      </c>
      <c r="AF121" t="s">
        <v>1089</v>
      </c>
      <c r="AG121"/>
      <c r="AH121" t="s">
        <v>1060</v>
      </c>
      <c r="AI121" t="s">
        <v>1061</v>
      </c>
      <c r="AJ121" t="s">
        <v>1062</v>
      </c>
      <c r="AK121" t="s">
        <v>2633</v>
      </c>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t="s">
        <v>1094</v>
      </c>
      <c r="BR121" t="s">
        <v>1095</v>
      </c>
      <c r="BS121" t="s">
        <v>1096</v>
      </c>
      <c r="BT121" t="s">
        <v>1093</v>
      </c>
      <c r="BU121">
        <v>7012973046</v>
      </c>
      <c r="BV121"/>
      <c r="BW121">
        <v>7012351582</v>
      </c>
      <c r="BX121" t="s">
        <v>2152</v>
      </c>
      <c r="BY121" t="s">
        <v>1089</v>
      </c>
      <c r="BZ121"/>
      <c r="CA121" t="s">
        <v>1060</v>
      </c>
      <c r="CB121" t="s">
        <v>1061</v>
      </c>
      <c r="CC121" t="s">
        <v>1062</v>
      </c>
      <c r="CD121" t="s">
        <v>2633</v>
      </c>
      <c r="CE121"/>
      <c r="CF121" t="s">
        <v>1097</v>
      </c>
      <c r="CG121" t="s">
        <v>1098</v>
      </c>
      <c r="CH121" t="s">
        <v>141</v>
      </c>
      <c r="CI121"/>
      <c r="CJ121"/>
      <c r="CK121"/>
      <c r="CL121"/>
      <c r="CM121">
        <v>1972553758</v>
      </c>
      <c r="CN121">
        <v>244</v>
      </c>
      <c r="CO121">
        <v>143</v>
      </c>
      <c r="CP121"/>
      <c r="CQ121"/>
      <c r="CR121">
        <v>161</v>
      </c>
      <c r="CS121" t="s">
        <v>2397</v>
      </c>
      <c r="CT121">
        <v>12</v>
      </c>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s="569">
        <v>1327</v>
      </c>
      <c r="ET121" t="s">
        <v>2179</v>
      </c>
      <c r="EU121" t="s">
        <v>826</v>
      </c>
      <c r="EV121" t="s">
        <v>3017</v>
      </c>
      <c r="EW121" t="s">
        <v>54</v>
      </c>
      <c r="EX121" s="600">
        <v>55344</v>
      </c>
      <c r="EY121">
        <v>1417494196</v>
      </c>
    </row>
    <row r="122" spans="1:155" x14ac:dyDescent="0.2">
      <c r="A122" s="598">
        <v>1047</v>
      </c>
      <c r="B122" t="s">
        <v>1108</v>
      </c>
      <c r="C122" t="s">
        <v>1060</v>
      </c>
      <c r="D122" t="s">
        <v>1089</v>
      </c>
      <c r="E122"/>
      <c r="F122" t="s">
        <v>1061</v>
      </c>
      <c r="G122" t="s">
        <v>1062</v>
      </c>
      <c r="H122" t="s">
        <v>2633</v>
      </c>
      <c r="I122"/>
      <c r="J122" t="s">
        <v>1089</v>
      </c>
      <c r="K122"/>
      <c r="L122" t="s">
        <v>1060</v>
      </c>
      <c r="M122" t="s">
        <v>1061</v>
      </c>
      <c r="N122" t="s">
        <v>1062</v>
      </c>
      <c r="O122" t="s">
        <v>2633</v>
      </c>
      <c r="P122"/>
      <c r="Q122">
        <v>7012379073</v>
      </c>
      <c r="R122">
        <v>7012351582</v>
      </c>
      <c r="S122" t="s">
        <v>2148</v>
      </c>
      <c r="T122" t="s">
        <v>2149</v>
      </c>
      <c r="U122" t="s">
        <v>1084</v>
      </c>
      <c r="V122" t="s">
        <v>2150</v>
      </c>
      <c r="W122" t="s">
        <v>2039</v>
      </c>
      <c r="X122" t="s">
        <v>1090</v>
      </c>
      <c r="Y122" t="s">
        <v>1091</v>
      </c>
      <c r="Z122" t="s">
        <v>2634</v>
      </c>
      <c r="AA122" t="s">
        <v>1093</v>
      </c>
      <c r="AB122">
        <v>7012973028</v>
      </c>
      <c r="AC122"/>
      <c r="AD122">
        <v>7012351582</v>
      </c>
      <c r="AE122" t="s">
        <v>2151</v>
      </c>
      <c r="AF122" t="s">
        <v>1089</v>
      </c>
      <c r="AG122"/>
      <c r="AH122" t="s">
        <v>1060</v>
      </c>
      <c r="AI122" t="s">
        <v>1061</v>
      </c>
      <c r="AJ122" t="s">
        <v>1062</v>
      </c>
      <c r="AK122" t="s">
        <v>2633</v>
      </c>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t="s">
        <v>1094</v>
      </c>
      <c r="BR122" t="s">
        <v>1095</v>
      </c>
      <c r="BS122" t="s">
        <v>1096</v>
      </c>
      <c r="BT122" t="s">
        <v>1093</v>
      </c>
      <c r="BU122">
        <v>7012973046</v>
      </c>
      <c r="BV122"/>
      <c r="BW122">
        <v>7012351582</v>
      </c>
      <c r="BX122" t="s">
        <v>2152</v>
      </c>
      <c r="BY122" t="s">
        <v>1089</v>
      </c>
      <c r="BZ122"/>
      <c r="CA122" t="s">
        <v>1060</v>
      </c>
      <c r="CB122" t="s">
        <v>1061</v>
      </c>
      <c r="CC122" t="s">
        <v>1062</v>
      </c>
      <c r="CD122" t="s">
        <v>2633</v>
      </c>
      <c r="CE122"/>
      <c r="CF122" t="s">
        <v>1097</v>
      </c>
      <c r="CG122" t="s">
        <v>1098</v>
      </c>
      <c r="CH122" t="s">
        <v>141</v>
      </c>
      <c r="CI122"/>
      <c r="CJ122"/>
      <c r="CK122"/>
      <c r="CL122"/>
      <c r="CM122">
        <v>1972553758</v>
      </c>
      <c r="CN122">
        <v>244</v>
      </c>
      <c r="CO122">
        <v>143</v>
      </c>
      <c r="CP122"/>
      <c r="CQ122"/>
      <c r="CR122">
        <v>161</v>
      </c>
      <c r="CS122" t="s">
        <v>2397</v>
      </c>
      <c r="CT122">
        <v>12</v>
      </c>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s="569">
        <v>1405</v>
      </c>
      <c r="ET122" t="s">
        <v>2432</v>
      </c>
      <c r="EU122" t="s">
        <v>1049</v>
      </c>
      <c r="EV122" t="s">
        <v>3018</v>
      </c>
      <c r="EW122" t="s">
        <v>54</v>
      </c>
      <c r="EX122" s="600">
        <v>55435</v>
      </c>
      <c r="EY122">
        <v>1871006700</v>
      </c>
    </row>
    <row r="123" spans="1:155" x14ac:dyDescent="0.2">
      <c r="A123" s="598">
        <v>1048</v>
      </c>
      <c r="B123" t="s">
        <v>1109</v>
      </c>
      <c r="C123" t="s">
        <v>1060</v>
      </c>
      <c r="D123" t="s">
        <v>1089</v>
      </c>
      <c r="E123"/>
      <c r="F123" t="s">
        <v>1061</v>
      </c>
      <c r="G123" t="s">
        <v>1062</v>
      </c>
      <c r="H123" t="s">
        <v>2633</v>
      </c>
      <c r="I123"/>
      <c r="J123" t="s">
        <v>1089</v>
      </c>
      <c r="K123"/>
      <c r="L123" t="s">
        <v>1060</v>
      </c>
      <c r="M123" t="s">
        <v>1061</v>
      </c>
      <c r="N123" t="s">
        <v>1062</v>
      </c>
      <c r="O123" t="s">
        <v>2633</v>
      </c>
      <c r="P123"/>
      <c r="Q123">
        <v>7012379073</v>
      </c>
      <c r="R123">
        <v>7012351582</v>
      </c>
      <c r="S123" t="s">
        <v>2148</v>
      </c>
      <c r="T123" t="s">
        <v>2149</v>
      </c>
      <c r="U123" t="s">
        <v>1084</v>
      </c>
      <c r="V123" t="s">
        <v>2150</v>
      </c>
      <c r="W123" t="s">
        <v>2039</v>
      </c>
      <c r="X123" t="s">
        <v>1090</v>
      </c>
      <c r="Y123" t="s">
        <v>1091</v>
      </c>
      <c r="Z123" t="s">
        <v>2634</v>
      </c>
      <c r="AA123" t="s">
        <v>1093</v>
      </c>
      <c r="AB123">
        <v>7012973028</v>
      </c>
      <c r="AC123"/>
      <c r="AD123">
        <v>7012351582</v>
      </c>
      <c r="AE123" t="s">
        <v>2151</v>
      </c>
      <c r="AF123" t="s">
        <v>1089</v>
      </c>
      <c r="AG123"/>
      <c r="AH123" t="s">
        <v>1060</v>
      </c>
      <c r="AI123" t="s">
        <v>1061</v>
      </c>
      <c r="AJ123" t="s">
        <v>1062</v>
      </c>
      <c r="AK123" t="s">
        <v>2633</v>
      </c>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t="s">
        <v>1094</v>
      </c>
      <c r="BR123" t="s">
        <v>1095</v>
      </c>
      <c r="BS123" t="s">
        <v>1096</v>
      </c>
      <c r="BT123" t="s">
        <v>1093</v>
      </c>
      <c r="BU123">
        <v>7012973046</v>
      </c>
      <c r="BV123"/>
      <c r="BW123">
        <v>7012351582</v>
      </c>
      <c r="BX123" t="s">
        <v>2152</v>
      </c>
      <c r="BY123" t="s">
        <v>1089</v>
      </c>
      <c r="BZ123"/>
      <c r="CA123" t="s">
        <v>1060</v>
      </c>
      <c r="CB123" t="s">
        <v>1061</v>
      </c>
      <c r="CC123" t="s">
        <v>1062</v>
      </c>
      <c r="CD123" t="s">
        <v>2633</v>
      </c>
      <c r="CE123"/>
      <c r="CF123" t="s">
        <v>1097</v>
      </c>
      <c r="CG123" t="s">
        <v>1098</v>
      </c>
      <c r="CH123" t="s">
        <v>141</v>
      </c>
      <c r="CI123"/>
      <c r="CJ123"/>
      <c r="CK123"/>
      <c r="CL123"/>
      <c r="CM123">
        <v>1972553758</v>
      </c>
      <c r="CN123">
        <v>244</v>
      </c>
      <c r="CO123">
        <v>143</v>
      </c>
      <c r="CP123"/>
      <c r="CQ123"/>
      <c r="CR123">
        <v>161</v>
      </c>
      <c r="CS123" t="s">
        <v>2397</v>
      </c>
      <c r="CT123">
        <v>12</v>
      </c>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s="569">
        <v>44</v>
      </c>
      <c r="ET123" t="s">
        <v>1837</v>
      </c>
      <c r="EU123" t="s">
        <v>1049</v>
      </c>
      <c r="EV123" t="s">
        <v>2285</v>
      </c>
      <c r="EW123" t="s">
        <v>54</v>
      </c>
      <c r="EX123" s="599">
        <v>55435</v>
      </c>
      <c r="EY123">
        <v>1699752915</v>
      </c>
    </row>
    <row r="124" spans="1:155" x14ac:dyDescent="0.2">
      <c r="A124" s="598">
        <v>1137</v>
      </c>
      <c r="B124" t="s">
        <v>1110</v>
      </c>
      <c r="C124" t="s">
        <v>1060</v>
      </c>
      <c r="D124" t="s">
        <v>1089</v>
      </c>
      <c r="E124"/>
      <c r="F124" t="s">
        <v>1061</v>
      </c>
      <c r="G124" t="s">
        <v>1062</v>
      </c>
      <c r="H124" t="s">
        <v>2633</v>
      </c>
      <c r="I124"/>
      <c r="J124" t="s">
        <v>1089</v>
      </c>
      <c r="K124"/>
      <c r="L124" t="s">
        <v>1060</v>
      </c>
      <c r="M124" t="s">
        <v>1061</v>
      </c>
      <c r="N124" t="s">
        <v>1062</v>
      </c>
      <c r="O124" t="s">
        <v>2633</v>
      </c>
      <c r="P124"/>
      <c r="Q124">
        <v>7012379073</v>
      </c>
      <c r="R124">
        <v>7012351582</v>
      </c>
      <c r="S124" t="s">
        <v>2148</v>
      </c>
      <c r="T124" t="s">
        <v>2149</v>
      </c>
      <c r="U124" t="s">
        <v>1084</v>
      </c>
      <c r="V124" t="s">
        <v>2150</v>
      </c>
      <c r="W124" t="s">
        <v>2039</v>
      </c>
      <c r="X124" t="s">
        <v>1090</v>
      </c>
      <c r="Y124" t="s">
        <v>1091</v>
      </c>
      <c r="Z124" t="s">
        <v>2634</v>
      </c>
      <c r="AA124" t="s">
        <v>1093</v>
      </c>
      <c r="AB124">
        <v>7012973028</v>
      </c>
      <c r="AC124"/>
      <c r="AD124">
        <v>7012351582</v>
      </c>
      <c r="AE124" t="s">
        <v>2151</v>
      </c>
      <c r="AF124" t="s">
        <v>1089</v>
      </c>
      <c r="AG124"/>
      <c r="AH124" t="s">
        <v>1060</v>
      </c>
      <c r="AI124" t="s">
        <v>1061</v>
      </c>
      <c r="AJ124" t="s">
        <v>1062</v>
      </c>
      <c r="AK124" t="s">
        <v>2633</v>
      </c>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t="s">
        <v>1094</v>
      </c>
      <c r="BR124" t="s">
        <v>1095</v>
      </c>
      <c r="BS124" t="s">
        <v>1096</v>
      </c>
      <c r="BT124" t="s">
        <v>1093</v>
      </c>
      <c r="BU124">
        <v>7012973046</v>
      </c>
      <c r="BV124"/>
      <c r="BW124">
        <v>7012351582</v>
      </c>
      <c r="BX124" t="s">
        <v>2152</v>
      </c>
      <c r="BY124" t="s">
        <v>1089</v>
      </c>
      <c r="BZ124"/>
      <c r="CA124" t="s">
        <v>1060</v>
      </c>
      <c r="CB124" t="s">
        <v>1061</v>
      </c>
      <c r="CC124" t="s">
        <v>1062</v>
      </c>
      <c r="CD124" t="s">
        <v>2633</v>
      </c>
      <c r="CE124"/>
      <c r="CF124" t="s">
        <v>1097</v>
      </c>
      <c r="CG124" t="s">
        <v>1098</v>
      </c>
      <c r="CH124" t="s">
        <v>141</v>
      </c>
      <c r="CI124"/>
      <c r="CJ124"/>
      <c r="CK124"/>
      <c r="CL124"/>
      <c r="CM124">
        <v>1972553758</v>
      </c>
      <c r="CN124">
        <v>244</v>
      </c>
      <c r="CO124">
        <v>143</v>
      </c>
      <c r="CP124"/>
      <c r="CQ124"/>
      <c r="CR124">
        <v>161</v>
      </c>
      <c r="CS124" t="s">
        <v>2397</v>
      </c>
      <c r="CT124">
        <v>12</v>
      </c>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s="569">
        <v>890</v>
      </c>
      <c r="ET124" t="s">
        <v>1170</v>
      </c>
      <c r="EU124" t="s">
        <v>1049</v>
      </c>
      <c r="EV124" t="s">
        <v>3019</v>
      </c>
      <c r="EW124" t="s">
        <v>54</v>
      </c>
      <c r="EX124" s="600">
        <v>55435</v>
      </c>
      <c r="EY124">
        <v>1245360155</v>
      </c>
    </row>
    <row r="125" spans="1:155" x14ac:dyDescent="0.2">
      <c r="A125" s="598">
        <v>1392</v>
      </c>
      <c r="B125" t="s">
        <v>2638</v>
      </c>
      <c r="C125" t="s">
        <v>1060</v>
      </c>
      <c r="D125" t="s">
        <v>1089</v>
      </c>
      <c r="E125"/>
      <c r="F125" t="s">
        <v>1061</v>
      </c>
      <c r="G125" t="s">
        <v>1062</v>
      </c>
      <c r="H125" t="s">
        <v>2633</v>
      </c>
      <c r="I125"/>
      <c r="J125" t="s">
        <v>1089</v>
      </c>
      <c r="K125"/>
      <c r="L125" t="s">
        <v>1060</v>
      </c>
      <c r="M125" t="s">
        <v>1061</v>
      </c>
      <c r="N125" t="s">
        <v>1062</v>
      </c>
      <c r="O125" t="s">
        <v>2633</v>
      </c>
      <c r="P125"/>
      <c r="Q125">
        <v>7012379073</v>
      </c>
      <c r="R125">
        <v>7012351582</v>
      </c>
      <c r="S125" t="s">
        <v>2148</v>
      </c>
      <c r="T125" t="s">
        <v>2149</v>
      </c>
      <c r="U125" t="s">
        <v>1084</v>
      </c>
      <c r="V125" t="s">
        <v>2150</v>
      </c>
      <c r="W125" t="s">
        <v>2039</v>
      </c>
      <c r="X125" t="s">
        <v>1090</v>
      </c>
      <c r="Y125" t="s">
        <v>1091</v>
      </c>
      <c r="Z125" t="s">
        <v>2634</v>
      </c>
      <c r="AA125" t="s">
        <v>1093</v>
      </c>
      <c r="AB125">
        <v>7012973028</v>
      </c>
      <c r="AC125"/>
      <c r="AD125">
        <v>7012351582</v>
      </c>
      <c r="AE125" t="s">
        <v>2151</v>
      </c>
      <c r="AF125" t="s">
        <v>1089</v>
      </c>
      <c r="AG125"/>
      <c r="AH125" t="s">
        <v>1060</v>
      </c>
      <c r="AI125" t="s">
        <v>1061</v>
      </c>
      <c r="AJ125" t="s">
        <v>1062</v>
      </c>
      <c r="AK125" t="s">
        <v>2633</v>
      </c>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t="s">
        <v>1094</v>
      </c>
      <c r="BR125" t="s">
        <v>1095</v>
      </c>
      <c r="BS125" t="s">
        <v>1096</v>
      </c>
      <c r="BT125" t="s">
        <v>1093</v>
      </c>
      <c r="BU125">
        <v>7012973046</v>
      </c>
      <c r="BV125"/>
      <c r="BW125">
        <v>7012351582</v>
      </c>
      <c r="BX125" t="s">
        <v>2152</v>
      </c>
      <c r="BY125" t="s">
        <v>1089</v>
      </c>
      <c r="BZ125"/>
      <c r="CA125" t="s">
        <v>1060</v>
      </c>
      <c r="CB125" t="s">
        <v>1061</v>
      </c>
      <c r="CC125" t="s">
        <v>1062</v>
      </c>
      <c r="CD125" t="s">
        <v>2633</v>
      </c>
      <c r="CE125"/>
      <c r="CF125" t="s">
        <v>1097</v>
      </c>
      <c r="CG125" t="s">
        <v>1098</v>
      </c>
      <c r="CH125" t="s">
        <v>141</v>
      </c>
      <c r="CI125"/>
      <c r="CJ125"/>
      <c r="CK125"/>
      <c r="CL125"/>
      <c r="CM125">
        <v>1972553758</v>
      </c>
      <c r="CN125">
        <v>244</v>
      </c>
      <c r="CO125">
        <v>143</v>
      </c>
      <c r="CP125"/>
      <c r="CQ125"/>
      <c r="CR125">
        <v>161</v>
      </c>
      <c r="CS125" t="s">
        <v>2397</v>
      </c>
      <c r="CT125">
        <v>12</v>
      </c>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s="569">
        <v>536</v>
      </c>
      <c r="ET125" t="s">
        <v>1269</v>
      </c>
      <c r="EU125" t="s">
        <v>1049</v>
      </c>
      <c r="EV125" t="s">
        <v>3020</v>
      </c>
      <c r="EW125" t="s">
        <v>54</v>
      </c>
      <c r="EX125" s="600">
        <v>55435</v>
      </c>
      <c r="EY125">
        <v>1396748307</v>
      </c>
    </row>
    <row r="126" spans="1:155" x14ac:dyDescent="0.2">
      <c r="A126" s="598">
        <v>1317</v>
      </c>
      <c r="B126" t="s">
        <v>2048</v>
      </c>
      <c r="C126" t="s">
        <v>1060</v>
      </c>
      <c r="D126" t="s">
        <v>1089</v>
      </c>
      <c r="E126"/>
      <c r="F126" t="s">
        <v>1061</v>
      </c>
      <c r="G126" t="s">
        <v>1062</v>
      </c>
      <c r="H126" t="s">
        <v>2633</v>
      </c>
      <c r="I126"/>
      <c r="J126" t="s">
        <v>1089</v>
      </c>
      <c r="K126"/>
      <c r="L126" t="s">
        <v>1060</v>
      </c>
      <c r="M126" t="s">
        <v>1061</v>
      </c>
      <c r="N126" t="s">
        <v>1062</v>
      </c>
      <c r="O126" t="s">
        <v>2633</v>
      </c>
      <c r="P126"/>
      <c r="Q126">
        <v>7012379073</v>
      </c>
      <c r="R126">
        <v>7012351582</v>
      </c>
      <c r="S126" t="s">
        <v>2148</v>
      </c>
      <c r="T126" t="s">
        <v>2149</v>
      </c>
      <c r="U126" t="s">
        <v>1084</v>
      </c>
      <c r="V126" t="s">
        <v>2150</v>
      </c>
      <c r="W126" t="s">
        <v>2039</v>
      </c>
      <c r="X126" t="s">
        <v>1090</v>
      </c>
      <c r="Y126" t="s">
        <v>1091</v>
      </c>
      <c r="Z126" t="s">
        <v>2634</v>
      </c>
      <c r="AA126" t="s">
        <v>1093</v>
      </c>
      <c r="AB126">
        <v>7012973028</v>
      </c>
      <c r="AC126"/>
      <c r="AD126">
        <v>7012351582</v>
      </c>
      <c r="AE126" t="s">
        <v>2151</v>
      </c>
      <c r="AF126" t="s">
        <v>1089</v>
      </c>
      <c r="AG126"/>
      <c r="AH126" t="s">
        <v>1060</v>
      </c>
      <c r="AI126" t="s">
        <v>1061</v>
      </c>
      <c r="AJ126" t="s">
        <v>1062</v>
      </c>
      <c r="AK126" t="s">
        <v>2633</v>
      </c>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t="s">
        <v>1094</v>
      </c>
      <c r="BR126" t="s">
        <v>1095</v>
      </c>
      <c r="BS126" t="s">
        <v>1096</v>
      </c>
      <c r="BT126" t="s">
        <v>1093</v>
      </c>
      <c r="BU126">
        <v>7012973046</v>
      </c>
      <c r="BV126"/>
      <c r="BW126">
        <v>7012351582</v>
      </c>
      <c r="BX126" t="s">
        <v>2152</v>
      </c>
      <c r="BY126" t="s">
        <v>1089</v>
      </c>
      <c r="BZ126"/>
      <c r="CA126" t="s">
        <v>1060</v>
      </c>
      <c r="CB126" t="s">
        <v>1061</v>
      </c>
      <c r="CC126" t="s">
        <v>1062</v>
      </c>
      <c r="CD126" t="s">
        <v>2633</v>
      </c>
      <c r="CE126"/>
      <c r="CF126" t="s">
        <v>1097</v>
      </c>
      <c r="CG126" t="s">
        <v>1098</v>
      </c>
      <c r="CH126" t="s">
        <v>141</v>
      </c>
      <c r="CI126"/>
      <c r="CJ126"/>
      <c r="CK126"/>
      <c r="CL126"/>
      <c r="CM126">
        <v>1972553758</v>
      </c>
      <c r="CN126">
        <v>244</v>
      </c>
      <c r="CO126">
        <v>143</v>
      </c>
      <c r="CP126"/>
      <c r="CQ126"/>
      <c r="CR126">
        <v>161</v>
      </c>
      <c r="CS126" t="s">
        <v>2397</v>
      </c>
      <c r="CT126">
        <v>12</v>
      </c>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s="569">
        <v>707</v>
      </c>
      <c r="ET126" t="s">
        <v>2752</v>
      </c>
      <c r="EU126" t="s">
        <v>1049</v>
      </c>
      <c r="EV126" t="s">
        <v>3021</v>
      </c>
      <c r="EW126" t="s">
        <v>54</v>
      </c>
      <c r="EX126" s="600">
        <v>55435</v>
      </c>
      <c r="EY126">
        <v>1962598920</v>
      </c>
    </row>
    <row r="127" spans="1:155" x14ac:dyDescent="0.2">
      <c r="A127" s="598">
        <v>650</v>
      </c>
      <c r="B127" t="s">
        <v>1111</v>
      </c>
      <c r="C127" t="s">
        <v>1060</v>
      </c>
      <c r="D127" t="s">
        <v>1089</v>
      </c>
      <c r="E127"/>
      <c r="F127" t="s">
        <v>1061</v>
      </c>
      <c r="G127" t="s">
        <v>1062</v>
      </c>
      <c r="H127" t="s">
        <v>2633</v>
      </c>
      <c r="I127"/>
      <c r="J127" t="s">
        <v>1089</v>
      </c>
      <c r="K127"/>
      <c r="L127" t="s">
        <v>1060</v>
      </c>
      <c r="M127" t="s">
        <v>1061</v>
      </c>
      <c r="N127" t="s">
        <v>1062</v>
      </c>
      <c r="O127" t="s">
        <v>2633</v>
      </c>
      <c r="P127"/>
      <c r="Q127">
        <v>7012379073</v>
      </c>
      <c r="R127">
        <v>7012351582</v>
      </c>
      <c r="S127" t="s">
        <v>2148</v>
      </c>
      <c r="T127" t="s">
        <v>2149</v>
      </c>
      <c r="U127" t="s">
        <v>1084</v>
      </c>
      <c r="V127" t="s">
        <v>2150</v>
      </c>
      <c r="W127" t="s">
        <v>2039</v>
      </c>
      <c r="X127" t="s">
        <v>1090</v>
      </c>
      <c r="Y127" t="s">
        <v>1091</v>
      </c>
      <c r="Z127" t="s">
        <v>2634</v>
      </c>
      <c r="AA127" t="s">
        <v>1093</v>
      </c>
      <c r="AB127">
        <v>7012973028</v>
      </c>
      <c r="AC127"/>
      <c r="AD127">
        <v>7012351582</v>
      </c>
      <c r="AE127" t="s">
        <v>2151</v>
      </c>
      <c r="AF127" t="s">
        <v>1089</v>
      </c>
      <c r="AG127"/>
      <c r="AH127" t="s">
        <v>1060</v>
      </c>
      <c r="AI127" t="s">
        <v>1061</v>
      </c>
      <c r="AJ127" t="s">
        <v>1062</v>
      </c>
      <c r="AK127" t="s">
        <v>2633</v>
      </c>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t="s">
        <v>1094</v>
      </c>
      <c r="BR127" t="s">
        <v>1095</v>
      </c>
      <c r="BS127" t="s">
        <v>1096</v>
      </c>
      <c r="BT127" t="s">
        <v>1093</v>
      </c>
      <c r="BU127">
        <v>7012973046</v>
      </c>
      <c r="BV127"/>
      <c r="BW127">
        <v>7012351582</v>
      </c>
      <c r="BX127" t="s">
        <v>2152</v>
      </c>
      <c r="BY127" t="s">
        <v>1089</v>
      </c>
      <c r="BZ127"/>
      <c r="CA127" t="s">
        <v>1060</v>
      </c>
      <c r="CB127" t="s">
        <v>1061</v>
      </c>
      <c r="CC127" t="s">
        <v>1062</v>
      </c>
      <c r="CD127" t="s">
        <v>2633</v>
      </c>
      <c r="CE127"/>
      <c r="CF127" t="s">
        <v>1097</v>
      </c>
      <c r="CG127" t="s">
        <v>1098</v>
      </c>
      <c r="CH127" t="s">
        <v>141</v>
      </c>
      <c r="CI127"/>
      <c r="CJ127"/>
      <c r="CK127"/>
      <c r="CL127"/>
      <c r="CM127">
        <v>1972553758</v>
      </c>
      <c r="CN127">
        <v>244</v>
      </c>
      <c r="CO127">
        <v>143</v>
      </c>
      <c r="CP127"/>
      <c r="CQ127"/>
      <c r="CR127">
        <v>161</v>
      </c>
      <c r="CS127" t="s">
        <v>2397</v>
      </c>
      <c r="CT127">
        <v>12</v>
      </c>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s="569">
        <v>923</v>
      </c>
      <c r="ET127" t="s">
        <v>1717</v>
      </c>
      <c r="EU127" t="s">
        <v>1049</v>
      </c>
      <c r="EV127" t="s">
        <v>3022</v>
      </c>
      <c r="EW127" t="s">
        <v>54</v>
      </c>
      <c r="EX127" s="600">
        <v>55435</v>
      </c>
      <c r="EY127">
        <v>1629027594</v>
      </c>
    </row>
    <row r="128" spans="1:155" x14ac:dyDescent="0.2">
      <c r="A128" s="598">
        <v>979</v>
      </c>
      <c r="B128" t="s">
        <v>1112</v>
      </c>
      <c r="C128" t="s">
        <v>1060</v>
      </c>
      <c r="D128" t="s">
        <v>1089</v>
      </c>
      <c r="E128"/>
      <c r="F128" t="s">
        <v>1061</v>
      </c>
      <c r="G128" t="s">
        <v>1062</v>
      </c>
      <c r="H128" t="s">
        <v>2633</v>
      </c>
      <c r="I128"/>
      <c r="J128" t="s">
        <v>1089</v>
      </c>
      <c r="K128"/>
      <c r="L128" t="s">
        <v>1060</v>
      </c>
      <c r="M128" t="s">
        <v>1061</v>
      </c>
      <c r="N128" t="s">
        <v>1062</v>
      </c>
      <c r="O128" t="s">
        <v>2633</v>
      </c>
      <c r="P128"/>
      <c r="Q128">
        <v>7012379073</v>
      </c>
      <c r="R128">
        <v>7012351582</v>
      </c>
      <c r="S128" t="s">
        <v>2148</v>
      </c>
      <c r="T128" t="s">
        <v>2149</v>
      </c>
      <c r="U128" t="s">
        <v>1084</v>
      </c>
      <c r="V128" t="s">
        <v>2150</v>
      </c>
      <c r="W128" t="s">
        <v>2039</v>
      </c>
      <c r="X128" t="s">
        <v>1090</v>
      </c>
      <c r="Y128" t="s">
        <v>1091</v>
      </c>
      <c r="Z128" t="s">
        <v>2634</v>
      </c>
      <c r="AA128" t="s">
        <v>1093</v>
      </c>
      <c r="AB128">
        <v>7012973028</v>
      </c>
      <c r="AC128"/>
      <c r="AD128">
        <v>7012351582</v>
      </c>
      <c r="AE128" t="s">
        <v>2151</v>
      </c>
      <c r="AF128" t="s">
        <v>1089</v>
      </c>
      <c r="AG128"/>
      <c r="AH128" t="s">
        <v>1060</v>
      </c>
      <c r="AI128" t="s">
        <v>1061</v>
      </c>
      <c r="AJ128" t="s">
        <v>1062</v>
      </c>
      <c r="AK128" t="s">
        <v>2633</v>
      </c>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t="s">
        <v>1094</v>
      </c>
      <c r="BR128" t="s">
        <v>1095</v>
      </c>
      <c r="BS128" t="s">
        <v>1096</v>
      </c>
      <c r="BT128" t="s">
        <v>1093</v>
      </c>
      <c r="BU128">
        <v>7012973046</v>
      </c>
      <c r="BV128"/>
      <c r="BW128">
        <v>7012351582</v>
      </c>
      <c r="BX128" t="s">
        <v>2152</v>
      </c>
      <c r="BY128" t="s">
        <v>1089</v>
      </c>
      <c r="BZ128"/>
      <c r="CA128" t="s">
        <v>1060</v>
      </c>
      <c r="CB128" t="s">
        <v>1061</v>
      </c>
      <c r="CC128" t="s">
        <v>1062</v>
      </c>
      <c r="CD128" t="s">
        <v>2633</v>
      </c>
      <c r="CE128"/>
      <c r="CF128" t="s">
        <v>1097</v>
      </c>
      <c r="CG128" t="s">
        <v>1098</v>
      </c>
      <c r="CH128" t="s">
        <v>141</v>
      </c>
      <c r="CI128"/>
      <c r="CJ128"/>
      <c r="CK128"/>
      <c r="CL128"/>
      <c r="CM128">
        <v>1972553758</v>
      </c>
      <c r="CN128">
        <v>244</v>
      </c>
      <c r="CO128">
        <v>143</v>
      </c>
      <c r="CP128"/>
      <c r="CQ128"/>
      <c r="CR128">
        <v>161</v>
      </c>
      <c r="CS128" t="s">
        <v>2397</v>
      </c>
      <c r="CT128">
        <v>12</v>
      </c>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s="569">
        <v>545</v>
      </c>
      <c r="ET128" t="s">
        <v>1760</v>
      </c>
      <c r="EU128" t="s">
        <v>1049</v>
      </c>
      <c r="EV128" t="s">
        <v>3023</v>
      </c>
      <c r="EW128" t="s">
        <v>54</v>
      </c>
      <c r="EX128" s="600">
        <v>55435</v>
      </c>
      <c r="EY128">
        <v>1164474250</v>
      </c>
    </row>
    <row r="129" spans="1:155" x14ac:dyDescent="0.2">
      <c r="A129" s="598">
        <v>770</v>
      </c>
      <c r="B129" t="s">
        <v>1113</v>
      </c>
      <c r="C129" t="s">
        <v>1060</v>
      </c>
      <c r="D129" t="s">
        <v>1089</v>
      </c>
      <c r="E129"/>
      <c r="F129" t="s">
        <v>1061</v>
      </c>
      <c r="G129" t="s">
        <v>1062</v>
      </c>
      <c r="H129" t="s">
        <v>2633</v>
      </c>
      <c r="I129"/>
      <c r="J129" t="s">
        <v>1089</v>
      </c>
      <c r="K129"/>
      <c r="L129" t="s">
        <v>1060</v>
      </c>
      <c r="M129" t="s">
        <v>1061</v>
      </c>
      <c r="N129" t="s">
        <v>1062</v>
      </c>
      <c r="O129" t="s">
        <v>2633</v>
      </c>
      <c r="P129"/>
      <c r="Q129">
        <v>7012379073</v>
      </c>
      <c r="R129">
        <v>7012351582</v>
      </c>
      <c r="S129" t="s">
        <v>2148</v>
      </c>
      <c r="T129" t="s">
        <v>2149</v>
      </c>
      <c r="U129" t="s">
        <v>1084</v>
      </c>
      <c r="V129" t="s">
        <v>2150</v>
      </c>
      <c r="W129" t="s">
        <v>2039</v>
      </c>
      <c r="X129" t="s">
        <v>1090</v>
      </c>
      <c r="Y129" t="s">
        <v>1091</v>
      </c>
      <c r="Z129" t="s">
        <v>2634</v>
      </c>
      <c r="AA129" t="s">
        <v>1093</v>
      </c>
      <c r="AB129">
        <v>7012973028</v>
      </c>
      <c r="AC129"/>
      <c r="AD129">
        <v>7012351582</v>
      </c>
      <c r="AE129" t="s">
        <v>2151</v>
      </c>
      <c r="AF129" t="s">
        <v>1089</v>
      </c>
      <c r="AG129"/>
      <c r="AH129" t="s">
        <v>1060</v>
      </c>
      <c r="AI129" t="s">
        <v>1061</v>
      </c>
      <c r="AJ129" t="s">
        <v>1062</v>
      </c>
      <c r="AK129" t="s">
        <v>2633</v>
      </c>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t="s">
        <v>1094</v>
      </c>
      <c r="BR129" t="s">
        <v>1095</v>
      </c>
      <c r="BS129" t="s">
        <v>1096</v>
      </c>
      <c r="BT129" t="s">
        <v>1093</v>
      </c>
      <c r="BU129">
        <v>7012973046</v>
      </c>
      <c r="BV129"/>
      <c r="BW129">
        <v>7012351582</v>
      </c>
      <c r="BX129" t="s">
        <v>2152</v>
      </c>
      <c r="BY129" t="s">
        <v>1089</v>
      </c>
      <c r="BZ129"/>
      <c r="CA129" t="s">
        <v>1060</v>
      </c>
      <c r="CB129" t="s">
        <v>1061</v>
      </c>
      <c r="CC129" t="s">
        <v>1062</v>
      </c>
      <c r="CD129" t="s">
        <v>2633</v>
      </c>
      <c r="CE129"/>
      <c r="CF129" t="s">
        <v>1097</v>
      </c>
      <c r="CG129" t="s">
        <v>1098</v>
      </c>
      <c r="CH129" t="s">
        <v>141</v>
      </c>
      <c r="CI129"/>
      <c r="CJ129"/>
      <c r="CK129"/>
      <c r="CL129"/>
      <c r="CM129">
        <v>1972553758</v>
      </c>
      <c r="CN129">
        <v>244</v>
      </c>
      <c r="CO129">
        <v>143</v>
      </c>
      <c r="CP129"/>
      <c r="CQ129"/>
      <c r="CR129">
        <v>161</v>
      </c>
      <c r="CS129" t="s">
        <v>2397</v>
      </c>
      <c r="CT129">
        <v>12</v>
      </c>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s="569">
        <v>54</v>
      </c>
      <c r="ET129" t="s">
        <v>1838</v>
      </c>
      <c r="EU129" t="s">
        <v>1839</v>
      </c>
      <c r="EV129" t="s">
        <v>2286</v>
      </c>
      <c r="EW129" t="s">
        <v>54</v>
      </c>
      <c r="EX129" s="599">
        <v>56531</v>
      </c>
      <c r="EY129">
        <v>1407838329</v>
      </c>
    </row>
    <row r="130" spans="1:155" x14ac:dyDescent="0.2">
      <c r="A130" s="598">
        <v>1140</v>
      </c>
      <c r="B130" t="s">
        <v>2155</v>
      </c>
      <c r="C130" t="s">
        <v>1060</v>
      </c>
      <c r="D130" t="s">
        <v>1089</v>
      </c>
      <c r="E130"/>
      <c r="F130" t="s">
        <v>1061</v>
      </c>
      <c r="G130" t="s">
        <v>1062</v>
      </c>
      <c r="H130" t="s">
        <v>2633</v>
      </c>
      <c r="I130"/>
      <c r="J130" t="s">
        <v>1089</v>
      </c>
      <c r="K130"/>
      <c r="L130" t="s">
        <v>1060</v>
      </c>
      <c r="M130" t="s">
        <v>1061</v>
      </c>
      <c r="N130" t="s">
        <v>1062</v>
      </c>
      <c r="O130" t="s">
        <v>2633</v>
      </c>
      <c r="P130"/>
      <c r="Q130">
        <v>7012379073</v>
      </c>
      <c r="R130">
        <v>7012351582</v>
      </c>
      <c r="S130" t="s">
        <v>2148</v>
      </c>
      <c r="T130" t="s">
        <v>2149</v>
      </c>
      <c r="U130" t="s">
        <v>1084</v>
      </c>
      <c r="V130" t="s">
        <v>2150</v>
      </c>
      <c r="W130" t="s">
        <v>2039</v>
      </c>
      <c r="X130" t="s">
        <v>1090</v>
      </c>
      <c r="Y130" t="s">
        <v>1091</v>
      </c>
      <c r="Z130" t="s">
        <v>2634</v>
      </c>
      <c r="AA130" t="s">
        <v>1093</v>
      </c>
      <c r="AB130">
        <v>7012973028</v>
      </c>
      <c r="AC130"/>
      <c r="AD130">
        <v>7012351582</v>
      </c>
      <c r="AE130" t="s">
        <v>2151</v>
      </c>
      <c r="AF130" t="s">
        <v>1089</v>
      </c>
      <c r="AG130"/>
      <c r="AH130" t="s">
        <v>1060</v>
      </c>
      <c r="AI130" t="s">
        <v>1061</v>
      </c>
      <c r="AJ130" t="s">
        <v>1062</v>
      </c>
      <c r="AK130" t="s">
        <v>2633</v>
      </c>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t="s">
        <v>1094</v>
      </c>
      <c r="BR130" t="s">
        <v>1095</v>
      </c>
      <c r="BS130" t="s">
        <v>1096</v>
      </c>
      <c r="BT130" t="s">
        <v>1093</v>
      </c>
      <c r="BU130">
        <v>7012973046</v>
      </c>
      <c r="BV130"/>
      <c r="BW130">
        <v>7012351582</v>
      </c>
      <c r="BX130" t="s">
        <v>2152</v>
      </c>
      <c r="BY130" t="s">
        <v>1089</v>
      </c>
      <c r="BZ130"/>
      <c r="CA130" t="s">
        <v>1060</v>
      </c>
      <c r="CB130" t="s">
        <v>1061</v>
      </c>
      <c r="CC130" t="s">
        <v>1062</v>
      </c>
      <c r="CD130" t="s">
        <v>2633</v>
      </c>
      <c r="CE130"/>
      <c r="CF130" t="s">
        <v>1097</v>
      </c>
      <c r="CG130" t="s">
        <v>1098</v>
      </c>
      <c r="CH130" t="s">
        <v>141</v>
      </c>
      <c r="CI130"/>
      <c r="CJ130"/>
      <c r="CK130"/>
      <c r="CL130"/>
      <c r="CM130"/>
      <c r="CN130">
        <v>244</v>
      </c>
      <c r="CO130">
        <v>143</v>
      </c>
      <c r="CP130"/>
      <c r="CQ130"/>
      <c r="CR130">
        <v>161</v>
      </c>
      <c r="CS130" t="s">
        <v>2397</v>
      </c>
      <c r="CT130">
        <v>12</v>
      </c>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s="569">
        <v>838</v>
      </c>
      <c r="ET130" t="s">
        <v>919</v>
      </c>
      <c r="EU130" t="s">
        <v>920</v>
      </c>
      <c r="EV130" t="s">
        <v>3024</v>
      </c>
      <c r="EW130" t="s">
        <v>54</v>
      </c>
      <c r="EX130" s="600">
        <v>55731</v>
      </c>
      <c r="EY130"/>
    </row>
    <row r="131" spans="1:155" x14ac:dyDescent="0.2">
      <c r="A131" s="598">
        <v>1395</v>
      </c>
      <c r="B131" t="s">
        <v>2639</v>
      </c>
      <c r="C131" t="s">
        <v>1060</v>
      </c>
      <c r="D131" t="s">
        <v>1089</v>
      </c>
      <c r="E131"/>
      <c r="F131" t="s">
        <v>1061</v>
      </c>
      <c r="G131" t="s">
        <v>1062</v>
      </c>
      <c r="H131" t="s">
        <v>2633</v>
      </c>
      <c r="I131"/>
      <c r="J131" t="s">
        <v>1089</v>
      </c>
      <c r="K131"/>
      <c r="L131" t="s">
        <v>1060</v>
      </c>
      <c r="M131" t="s">
        <v>1061</v>
      </c>
      <c r="N131" t="s">
        <v>1062</v>
      </c>
      <c r="O131" t="s">
        <v>2633</v>
      </c>
      <c r="P131"/>
      <c r="Q131">
        <v>7012379073</v>
      </c>
      <c r="R131">
        <v>7012351582</v>
      </c>
      <c r="S131" t="s">
        <v>2148</v>
      </c>
      <c r="T131" t="s">
        <v>2149</v>
      </c>
      <c r="U131" t="s">
        <v>1084</v>
      </c>
      <c r="V131" t="s">
        <v>2150</v>
      </c>
      <c r="W131" t="s">
        <v>2039</v>
      </c>
      <c r="X131" t="s">
        <v>1090</v>
      </c>
      <c r="Y131" t="s">
        <v>1091</v>
      </c>
      <c r="Z131" t="s">
        <v>2634</v>
      </c>
      <c r="AA131" t="s">
        <v>1093</v>
      </c>
      <c r="AB131">
        <v>7012973028</v>
      </c>
      <c r="AC131"/>
      <c r="AD131">
        <v>7012351582</v>
      </c>
      <c r="AE131" t="s">
        <v>2151</v>
      </c>
      <c r="AF131" t="s">
        <v>1089</v>
      </c>
      <c r="AG131"/>
      <c r="AH131" t="s">
        <v>1060</v>
      </c>
      <c r="AI131" t="s">
        <v>1061</v>
      </c>
      <c r="AJ131" t="s">
        <v>1062</v>
      </c>
      <c r="AK131" t="s">
        <v>2633</v>
      </c>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t="s">
        <v>1094</v>
      </c>
      <c r="BR131" t="s">
        <v>1095</v>
      </c>
      <c r="BS131" t="s">
        <v>1096</v>
      </c>
      <c r="BT131" t="s">
        <v>1093</v>
      </c>
      <c r="BU131">
        <v>7012973046</v>
      </c>
      <c r="BV131"/>
      <c r="BW131">
        <v>7012351582</v>
      </c>
      <c r="BX131" t="s">
        <v>2152</v>
      </c>
      <c r="BY131" t="s">
        <v>1089</v>
      </c>
      <c r="BZ131"/>
      <c r="CA131" t="s">
        <v>1060</v>
      </c>
      <c r="CB131" t="s">
        <v>1061</v>
      </c>
      <c r="CC131" t="s">
        <v>1062</v>
      </c>
      <c r="CD131" t="s">
        <v>2633</v>
      </c>
      <c r="CE131"/>
      <c r="CF131" t="s">
        <v>1097</v>
      </c>
      <c r="CG131" t="s">
        <v>1098</v>
      </c>
      <c r="CH131" t="s">
        <v>2368</v>
      </c>
      <c r="CI131"/>
      <c r="CJ131"/>
      <c r="CK131"/>
      <c r="CL131"/>
      <c r="CM131"/>
      <c r="CN131">
        <v>244</v>
      </c>
      <c r="CO131">
        <v>143</v>
      </c>
      <c r="CP131"/>
      <c r="CQ131"/>
      <c r="CR131">
        <v>161</v>
      </c>
      <c r="CS131" t="s">
        <v>2397</v>
      </c>
      <c r="CT131">
        <v>12</v>
      </c>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s="569">
        <v>37</v>
      </c>
      <c r="ET131" t="s">
        <v>1840</v>
      </c>
      <c r="EU131" t="s">
        <v>920</v>
      </c>
      <c r="EV131" t="s">
        <v>921</v>
      </c>
      <c r="EW131" t="s">
        <v>54</v>
      </c>
      <c r="EX131" s="599">
        <v>55731</v>
      </c>
      <c r="EY131">
        <v>1770542904</v>
      </c>
    </row>
    <row r="132" spans="1:155" x14ac:dyDescent="0.2">
      <c r="A132" s="598">
        <v>1393</v>
      </c>
      <c r="B132" t="s">
        <v>2640</v>
      </c>
      <c r="C132" t="s">
        <v>1060</v>
      </c>
      <c r="D132" t="s">
        <v>1089</v>
      </c>
      <c r="E132"/>
      <c r="F132" t="s">
        <v>1061</v>
      </c>
      <c r="G132" t="s">
        <v>1062</v>
      </c>
      <c r="H132" t="s">
        <v>2633</v>
      </c>
      <c r="I132"/>
      <c r="J132" t="s">
        <v>1089</v>
      </c>
      <c r="K132"/>
      <c r="L132" t="s">
        <v>1060</v>
      </c>
      <c r="M132" t="s">
        <v>1061</v>
      </c>
      <c r="N132" t="s">
        <v>1062</v>
      </c>
      <c r="O132" t="s">
        <v>2633</v>
      </c>
      <c r="P132"/>
      <c r="Q132">
        <v>7012379073</v>
      </c>
      <c r="R132">
        <v>7012351582</v>
      </c>
      <c r="S132" t="s">
        <v>2148</v>
      </c>
      <c r="T132" t="s">
        <v>2149</v>
      </c>
      <c r="U132" t="s">
        <v>1084</v>
      </c>
      <c r="V132" t="s">
        <v>2150</v>
      </c>
      <c r="W132" t="s">
        <v>2039</v>
      </c>
      <c r="X132" t="s">
        <v>1090</v>
      </c>
      <c r="Y132" t="s">
        <v>1091</v>
      </c>
      <c r="Z132" t="s">
        <v>2634</v>
      </c>
      <c r="AA132" t="s">
        <v>1093</v>
      </c>
      <c r="AB132">
        <v>7012973028</v>
      </c>
      <c r="AC132"/>
      <c r="AD132">
        <v>7012351582</v>
      </c>
      <c r="AE132" t="s">
        <v>2151</v>
      </c>
      <c r="AF132" t="s">
        <v>1089</v>
      </c>
      <c r="AG132"/>
      <c r="AH132" t="s">
        <v>1060</v>
      </c>
      <c r="AI132" t="s">
        <v>1061</v>
      </c>
      <c r="AJ132" t="s">
        <v>1062</v>
      </c>
      <c r="AK132" t="s">
        <v>2633</v>
      </c>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t="s">
        <v>1094</v>
      </c>
      <c r="BR132" t="s">
        <v>1095</v>
      </c>
      <c r="BS132" t="s">
        <v>1096</v>
      </c>
      <c r="BT132" t="s">
        <v>1093</v>
      </c>
      <c r="BU132">
        <v>7012973046</v>
      </c>
      <c r="BV132"/>
      <c r="BW132">
        <v>7012351582</v>
      </c>
      <c r="BX132" t="s">
        <v>2152</v>
      </c>
      <c r="BY132" t="s">
        <v>1089</v>
      </c>
      <c r="BZ132"/>
      <c r="CA132" t="s">
        <v>1060</v>
      </c>
      <c r="CB132" t="s">
        <v>1061</v>
      </c>
      <c r="CC132" t="s">
        <v>1062</v>
      </c>
      <c r="CD132" t="s">
        <v>2633</v>
      </c>
      <c r="CE132"/>
      <c r="CF132" t="s">
        <v>1097</v>
      </c>
      <c r="CG132" t="s">
        <v>1098</v>
      </c>
      <c r="CH132" t="s">
        <v>2368</v>
      </c>
      <c r="CI132"/>
      <c r="CJ132"/>
      <c r="CK132"/>
      <c r="CL132"/>
      <c r="CM132"/>
      <c r="CN132">
        <v>244</v>
      </c>
      <c r="CO132">
        <v>143</v>
      </c>
      <c r="CP132"/>
      <c r="CQ132"/>
      <c r="CR132">
        <v>161</v>
      </c>
      <c r="CS132" t="s">
        <v>2397</v>
      </c>
      <c r="CT132">
        <v>12</v>
      </c>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s="569">
        <v>519</v>
      </c>
      <c r="ET132" t="s">
        <v>860</v>
      </c>
      <c r="EU132" t="s">
        <v>861</v>
      </c>
      <c r="EV132" t="s">
        <v>3025</v>
      </c>
      <c r="EW132" t="s">
        <v>54</v>
      </c>
      <c r="EX132" s="600">
        <v>56031</v>
      </c>
      <c r="EY132">
        <v>1134173644</v>
      </c>
    </row>
    <row r="133" spans="1:155" x14ac:dyDescent="0.2">
      <c r="A133" s="598">
        <v>1397</v>
      </c>
      <c r="B133" t="s">
        <v>2641</v>
      </c>
      <c r="C133" t="s">
        <v>1060</v>
      </c>
      <c r="D133" t="s">
        <v>1089</v>
      </c>
      <c r="E133"/>
      <c r="F133" t="s">
        <v>1061</v>
      </c>
      <c r="G133" t="s">
        <v>1062</v>
      </c>
      <c r="H133" t="s">
        <v>2633</v>
      </c>
      <c r="I133"/>
      <c r="J133" t="s">
        <v>1089</v>
      </c>
      <c r="K133"/>
      <c r="L133" t="s">
        <v>1060</v>
      </c>
      <c r="M133" t="s">
        <v>1061</v>
      </c>
      <c r="N133" t="s">
        <v>1062</v>
      </c>
      <c r="O133" t="s">
        <v>2633</v>
      </c>
      <c r="P133"/>
      <c r="Q133">
        <v>7012379073</v>
      </c>
      <c r="R133">
        <v>7012351582</v>
      </c>
      <c r="S133" t="s">
        <v>2148</v>
      </c>
      <c r="T133" t="s">
        <v>2149</v>
      </c>
      <c r="U133" t="s">
        <v>1084</v>
      </c>
      <c r="V133" t="s">
        <v>2150</v>
      </c>
      <c r="W133" t="s">
        <v>2039</v>
      </c>
      <c r="X133" t="s">
        <v>1090</v>
      </c>
      <c r="Y133" t="s">
        <v>1091</v>
      </c>
      <c r="Z133" t="s">
        <v>2634</v>
      </c>
      <c r="AA133" t="s">
        <v>1093</v>
      </c>
      <c r="AB133">
        <v>7012973028</v>
      </c>
      <c r="AC133"/>
      <c r="AD133">
        <v>7012351582</v>
      </c>
      <c r="AE133" t="s">
        <v>2151</v>
      </c>
      <c r="AF133" t="s">
        <v>1089</v>
      </c>
      <c r="AG133"/>
      <c r="AH133" t="s">
        <v>1060</v>
      </c>
      <c r="AI133" t="s">
        <v>1061</v>
      </c>
      <c r="AJ133" t="s">
        <v>1062</v>
      </c>
      <c r="AK133" t="s">
        <v>2633</v>
      </c>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t="s">
        <v>1094</v>
      </c>
      <c r="BR133" t="s">
        <v>1095</v>
      </c>
      <c r="BS133" t="s">
        <v>1096</v>
      </c>
      <c r="BT133" t="s">
        <v>1093</v>
      </c>
      <c r="BU133">
        <v>7012973046</v>
      </c>
      <c r="BV133"/>
      <c r="BW133">
        <v>7012351582</v>
      </c>
      <c r="BX133" t="s">
        <v>2152</v>
      </c>
      <c r="BY133" t="s">
        <v>1089</v>
      </c>
      <c r="BZ133"/>
      <c r="CA133" t="s">
        <v>1060</v>
      </c>
      <c r="CB133" t="s">
        <v>1061</v>
      </c>
      <c r="CC133" t="s">
        <v>1062</v>
      </c>
      <c r="CD133" t="s">
        <v>2633</v>
      </c>
      <c r="CE133"/>
      <c r="CF133" t="s">
        <v>1097</v>
      </c>
      <c r="CG133" t="s">
        <v>1098</v>
      </c>
      <c r="CH133"/>
      <c r="CI133"/>
      <c r="CJ133"/>
      <c r="CK133"/>
      <c r="CL133"/>
      <c r="CM133"/>
      <c r="CN133">
        <v>244</v>
      </c>
      <c r="CO133">
        <v>143</v>
      </c>
      <c r="CP133"/>
      <c r="CQ133"/>
      <c r="CR133">
        <v>161</v>
      </c>
      <c r="CS133" t="s">
        <v>2397</v>
      </c>
      <c r="CT133">
        <v>12</v>
      </c>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s="569">
        <v>39</v>
      </c>
      <c r="ET133" t="s">
        <v>1841</v>
      </c>
      <c r="EU133" t="s">
        <v>861</v>
      </c>
      <c r="EV133" t="s">
        <v>2287</v>
      </c>
      <c r="EW133" t="s">
        <v>54</v>
      </c>
      <c r="EX133" s="599">
        <v>56031</v>
      </c>
      <c r="EY133">
        <v>1821066499</v>
      </c>
    </row>
    <row r="134" spans="1:155" x14ac:dyDescent="0.2">
      <c r="A134" s="598">
        <v>1401</v>
      </c>
      <c r="B134" t="s">
        <v>2642</v>
      </c>
      <c r="C134" t="s">
        <v>1060</v>
      </c>
      <c r="D134" t="s">
        <v>1089</v>
      </c>
      <c r="E134"/>
      <c r="F134" t="s">
        <v>1061</v>
      </c>
      <c r="G134" t="s">
        <v>1062</v>
      </c>
      <c r="H134" t="s">
        <v>2633</v>
      </c>
      <c r="I134"/>
      <c r="J134" t="s">
        <v>1089</v>
      </c>
      <c r="K134"/>
      <c r="L134" t="s">
        <v>1060</v>
      </c>
      <c r="M134" t="s">
        <v>1061</v>
      </c>
      <c r="N134" t="s">
        <v>1062</v>
      </c>
      <c r="O134" t="s">
        <v>2633</v>
      </c>
      <c r="P134"/>
      <c r="Q134">
        <v>7012379073</v>
      </c>
      <c r="R134">
        <v>7012351582</v>
      </c>
      <c r="S134" t="s">
        <v>2148</v>
      </c>
      <c r="T134" t="s">
        <v>2149</v>
      </c>
      <c r="U134" t="s">
        <v>1084</v>
      </c>
      <c r="V134" t="s">
        <v>2150</v>
      </c>
      <c r="W134" t="s">
        <v>2039</v>
      </c>
      <c r="X134" t="s">
        <v>1090</v>
      </c>
      <c r="Y134" t="s">
        <v>1091</v>
      </c>
      <c r="Z134" t="s">
        <v>2634</v>
      </c>
      <c r="AA134" t="s">
        <v>1093</v>
      </c>
      <c r="AB134">
        <v>7012973028</v>
      </c>
      <c r="AC134"/>
      <c r="AD134">
        <v>7012351582</v>
      </c>
      <c r="AE134" t="s">
        <v>2151</v>
      </c>
      <c r="AF134" t="s">
        <v>1089</v>
      </c>
      <c r="AG134"/>
      <c r="AH134" t="s">
        <v>1060</v>
      </c>
      <c r="AI134" t="s">
        <v>1061</v>
      </c>
      <c r="AJ134" t="s">
        <v>1062</v>
      </c>
      <c r="AK134" t="s">
        <v>2633</v>
      </c>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t="s">
        <v>1094</v>
      </c>
      <c r="BR134" t="s">
        <v>1095</v>
      </c>
      <c r="BS134" t="s">
        <v>1096</v>
      </c>
      <c r="BT134" t="s">
        <v>1093</v>
      </c>
      <c r="BU134">
        <v>7012973046</v>
      </c>
      <c r="BV134"/>
      <c r="BW134">
        <v>7012351582</v>
      </c>
      <c r="BX134" t="s">
        <v>2152</v>
      </c>
      <c r="BY134" t="s">
        <v>1089</v>
      </c>
      <c r="BZ134"/>
      <c r="CA134" t="s">
        <v>1060</v>
      </c>
      <c r="CB134" t="s">
        <v>1061</v>
      </c>
      <c r="CC134" t="s">
        <v>1062</v>
      </c>
      <c r="CD134" t="s">
        <v>2633</v>
      </c>
      <c r="CE134"/>
      <c r="CF134" t="s">
        <v>1097</v>
      </c>
      <c r="CG134" t="s">
        <v>1098</v>
      </c>
      <c r="CH134"/>
      <c r="CI134"/>
      <c r="CJ134"/>
      <c r="CK134"/>
      <c r="CL134"/>
      <c r="CM134"/>
      <c r="CN134">
        <v>244</v>
      </c>
      <c r="CO134">
        <v>143</v>
      </c>
      <c r="CP134"/>
      <c r="CQ134"/>
      <c r="CR134">
        <v>161</v>
      </c>
      <c r="CS134" t="s">
        <v>2397</v>
      </c>
      <c r="CT134">
        <v>12</v>
      </c>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s="569">
        <v>565</v>
      </c>
      <c r="ET134" t="s">
        <v>2147</v>
      </c>
      <c r="EU134" t="s">
        <v>1060</v>
      </c>
      <c r="EV134" t="s">
        <v>3026</v>
      </c>
      <c r="EW134" t="s">
        <v>1062</v>
      </c>
      <c r="EX134" s="600">
        <v>58102</v>
      </c>
      <c r="EY134">
        <v>1972553758</v>
      </c>
    </row>
    <row r="135" spans="1:155" x14ac:dyDescent="0.2">
      <c r="A135" s="598">
        <v>1340</v>
      </c>
      <c r="B135" t="s">
        <v>2136</v>
      </c>
      <c r="C135" t="s">
        <v>1119</v>
      </c>
      <c r="D135" t="s">
        <v>2137</v>
      </c>
      <c r="E135"/>
      <c r="F135" t="s">
        <v>912</v>
      </c>
      <c r="G135" t="s">
        <v>54</v>
      </c>
      <c r="H135" t="s">
        <v>2643</v>
      </c>
      <c r="I135"/>
      <c r="J135" t="s">
        <v>734</v>
      </c>
      <c r="K135" t="s">
        <v>735</v>
      </c>
      <c r="L135" t="s">
        <v>736</v>
      </c>
      <c r="M135" t="s">
        <v>737</v>
      </c>
      <c r="N135" t="s">
        <v>54</v>
      </c>
      <c r="O135" t="s">
        <v>2396</v>
      </c>
      <c r="P135"/>
      <c r="Q135">
        <v>2187225390</v>
      </c>
      <c r="R135">
        <v>2187227501</v>
      </c>
      <c r="S135" t="s">
        <v>1262</v>
      </c>
      <c r="T135" t="s">
        <v>816</v>
      </c>
      <c r="U135" t="s">
        <v>2135</v>
      </c>
      <c r="V135" t="s">
        <v>817</v>
      </c>
      <c r="W135" t="s">
        <v>2029</v>
      </c>
      <c r="X135" t="s">
        <v>738</v>
      </c>
      <c r="Y135" t="s">
        <v>739</v>
      </c>
      <c r="Z135" t="s">
        <v>1992</v>
      </c>
      <c r="AA135" t="s">
        <v>740</v>
      </c>
      <c r="AB135">
        <v>9525136831</v>
      </c>
      <c r="AC135"/>
      <c r="AD135">
        <v>9525136880</v>
      </c>
      <c r="AE135" t="s">
        <v>741</v>
      </c>
      <c r="AF135" t="s">
        <v>734</v>
      </c>
      <c r="AG135" t="s">
        <v>742</v>
      </c>
      <c r="AH135" t="s">
        <v>736</v>
      </c>
      <c r="AI135" t="s">
        <v>737</v>
      </c>
      <c r="AJ135" t="s">
        <v>54</v>
      </c>
      <c r="AK135" t="s">
        <v>2396</v>
      </c>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t="s">
        <v>743</v>
      </c>
      <c r="BR135" t="s">
        <v>744</v>
      </c>
      <c r="BS135" t="s">
        <v>745</v>
      </c>
      <c r="BT135" t="s">
        <v>746</v>
      </c>
      <c r="BU135">
        <v>9527384716</v>
      </c>
      <c r="BV135"/>
      <c r="BW135">
        <v>9525415443</v>
      </c>
      <c r="BX135" t="s">
        <v>747</v>
      </c>
      <c r="BY135" t="s">
        <v>734</v>
      </c>
      <c r="BZ135" t="s">
        <v>742</v>
      </c>
      <c r="CA135" t="s">
        <v>736</v>
      </c>
      <c r="CB135" t="s">
        <v>737</v>
      </c>
      <c r="CC135" t="s">
        <v>54</v>
      </c>
      <c r="CD135" t="s">
        <v>2396</v>
      </c>
      <c r="CE135"/>
      <c r="CF135" t="s">
        <v>748</v>
      </c>
      <c r="CG135" t="s">
        <v>740</v>
      </c>
      <c r="CH135" t="s">
        <v>141</v>
      </c>
      <c r="CI135" t="s">
        <v>1482</v>
      </c>
      <c r="CJ135" t="s">
        <v>141</v>
      </c>
      <c r="CK135"/>
      <c r="CL135"/>
      <c r="CM135"/>
      <c r="CN135">
        <v>395</v>
      </c>
      <c r="CO135">
        <v>142</v>
      </c>
      <c r="CP135"/>
      <c r="CQ135"/>
      <c r="CR135">
        <v>389</v>
      </c>
      <c r="CS135" t="s">
        <v>2397</v>
      </c>
      <c r="CT135">
        <v>12</v>
      </c>
      <c r="CU135"/>
      <c r="CV135"/>
      <c r="CW135"/>
      <c r="CX135"/>
      <c r="CY135"/>
      <c r="CZ135"/>
      <c r="DA135"/>
      <c r="DB135"/>
      <c r="DC135"/>
      <c r="DD135">
        <v>128</v>
      </c>
      <c r="DE135" t="s">
        <v>2644</v>
      </c>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s="569">
        <v>1136</v>
      </c>
      <c r="ET135" t="s">
        <v>2153</v>
      </c>
      <c r="EU135" t="s">
        <v>1060</v>
      </c>
      <c r="EV135" t="s">
        <v>3026</v>
      </c>
      <c r="EW135" t="s">
        <v>1062</v>
      </c>
      <c r="EX135" s="600">
        <v>58102</v>
      </c>
      <c r="EY135">
        <v>1972553758</v>
      </c>
    </row>
    <row r="136" spans="1:155" x14ac:dyDescent="0.2">
      <c r="A136" s="598">
        <v>777</v>
      </c>
      <c r="B136" t="s">
        <v>1122</v>
      </c>
      <c r="C136" t="s">
        <v>1123</v>
      </c>
      <c r="D136" t="s">
        <v>2186</v>
      </c>
      <c r="E136"/>
      <c r="F136" t="s">
        <v>784</v>
      </c>
      <c r="G136" t="s">
        <v>54</v>
      </c>
      <c r="H136" t="s">
        <v>2503</v>
      </c>
      <c r="I136"/>
      <c r="J136" t="s">
        <v>1125</v>
      </c>
      <c r="K136" t="s">
        <v>1126</v>
      </c>
      <c r="L136" t="s">
        <v>778</v>
      </c>
      <c r="M136" t="s">
        <v>772</v>
      </c>
      <c r="N136" t="s">
        <v>54</v>
      </c>
      <c r="O136" t="s">
        <v>2428</v>
      </c>
      <c r="P136"/>
      <c r="Q136">
        <v>6519685216</v>
      </c>
      <c r="R136">
        <v>6517303501</v>
      </c>
      <c r="S136" t="s">
        <v>1083</v>
      </c>
      <c r="T136" t="s">
        <v>2187</v>
      </c>
      <c r="U136" t="s">
        <v>731</v>
      </c>
      <c r="V136" t="s">
        <v>2188</v>
      </c>
      <c r="W136" t="s">
        <v>2189</v>
      </c>
      <c r="X136" t="s">
        <v>2645</v>
      </c>
      <c r="Y136" t="s">
        <v>2646</v>
      </c>
      <c r="Z136" t="s">
        <v>2647</v>
      </c>
      <c r="AA136" t="s">
        <v>2648</v>
      </c>
      <c r="AB136">
        <v>6519685654</v>
      </c>
      <c r="AC136"/>
      <c r="AD136">
        <v>6517303527</v>
      </c>
      <c r="AE136" t="s">
        <v>2649</v>
      </c>
      <c r="AF136" t="s">
        <v>1125</v>
      </c>
      <c r="AG136" t="s">
        <v>1126</v>
      </c>
      <c r="AH136" t="s">
        <v>778</v>
      </c>
      <c r="AI136" t="s">
        <v>772</v>
      </c>
      <c r="AJ136" t="s">
        <v>54</v>
      </c>
      <c r="AK136" t="s">
        <v>2428</v>
      </c>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t="s">
        <v>2645</v>
      </c>
      <c r="BR136" t="s">
        <v>2646</v>
      </c>
      <c r="BS136" t="s">
        <v>2647</v>
      </c>
      <c r="BT136" t="s">
        <v>2648</v>
      </c>
      <c r="BU136">
        <v>6519685654</v>
      </c>
      <c r="BV136"/>
      <c r="BW136">
        <v>6517303527</v>
      </c>
      <c r="BX136" t="s">
        <v>2649</v>
      </c>
      <c r="BY136" t="s">
        <v>1125</v>
      </c>
      <c r="BZ136" t="s">
        <v>1126</v>
      </c>
      <c r="CA136" t="s">
        <v>778</v>
      </c>
      <c r="CB136" t="s">
        <v>772</v>
      </c>
      <c r="CC136" t="s">
        <v>54</v>
      </c>
      <c r="CD136" t="s">
        <v>2428</v>
      </c>
      <c r="CE136"/>
      <c r="CF136" t="s">
        <v>1127</v>
      </c>
      <c r="CG136" t="s">
        <v>2648</v>
      </c>
      <c r="CH136" t="s">
        <v>141</v>
      </c>
      <c r="CI136"/>
      <c r="CJ136"/>
      <c r="CK136"/>
      <c r="CL136"/>
      <c r="CM136">
        <v>1306899463</v>
      </c>
      <c r="CN136">
        <v>194</v>
      </c>
      <c r="CO136">
        <v>2945</v>
      </c>
      <c r="CP136"/>
      <c r="CQ136"/>
      <c r="CR136">
        <v>2945</v>
      </c>
      <c r="CS136" t="s">
        <v>2397</v>
      </c>
      <c r="CT136">
        <v>12</v>
      </c>
      <c r="CU136"/>
      <c r="CV136"/>
      <c r="CW136"/>
      <c r="CX136"/>
      <c r="CY136"/>
      <c r="CZ136"/>
      <c r="DA136"/>
      <c r="DB136"/>
      <c r="DC136"/>
      <c r="DD136">
        <v>128</v>
      </c>
      <c r="DE136" t="s">
        <v>2650</v>
      </c>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s="569">
        <v>1391</v>
      </c>
      <c r="ET136" t="s">
        <v>2635</v>
      </c>
      <c r="EU136" t="s">
        <v>1060</v>
      </c>
      <c r="EV136" t="s">
        <v>3026</v>
      </c>
      <c r="EW136" t="s">
        <v>1062</v>
      </c>
      <c r="EX136" s="600">
        <v>58102</v>
      </c>
      <c r="EY136">
        <v>1972553758</v>
      </c>
    </row>
    <row r="137" spans="1:155" x14ac:dyDescent="0.2">
      <c r="A137" s="598">
        <v>700</v>
      </c>
      <c r="B137" t="s">
        <v>2651</v>
      </c>
      <c r="C137" t="s">
        <v>764</v>
      </c>
      <c r="D137" t="s">
        <v>1129</v>
      </c>
      <c r="E137"/>
      <c r="F137" t="s">
        <v>737</v>
      </c>
      <c r="G137" t="s">
        <v>54</v>
      </c>
      <c r="H137" t="s">
        <v>2652</v>
      </c>
      <c r="I137" t="s">
        <v>2653</v>
      </c>
      <c r="J137" t="s">
        <v>1129</v>
      </c>
      <c r="K137"/>
      <c r="L137" t="s">
        <v>764</v>
      </c>
      <c r="M137" t="s">
        <v>737</v>
      </c>
      <c r="N137" t="s">
        <v>54</v>
      </c>
      <c r="O137" t="s">
        <v>2652</v>
      </c>
      <c r="P137" t="s">
        <v>2653</v>
      </c>
      <c r="Q137">
        <v>6128711144</v>
      </c>
      <c r="R137">
        <v>6128712012</v>
      </c>
      <c r="S137" t="s">
        <v>1499</v>
      </c>
      <c r="T137" t="s">
        <v>2156</v>
      </c>
      <c r="U137" t="s">
        <v>1150</v>
      </c>
      <c r="V137" t="s">
        <v>2157</v>
      </c>
      <c r="W137" t="s">
        <v>2654</v>
      </c>
      <c r="X137" t="s">
        <v>1499</v>
      </c>
      <c r="Y137" t="s">
        <v>2156</v>
      </c>
      <c r="Z137" t="s">
        <v>1150</v>
      </c>
      <c r="AA137" t="s">
        <v>2655</v>
      </c>
      <c r="AB137">
        <v>6128133869</v>
      </c>
      <c r="AC137"/>
      <c r="AD137">
        <v>6128133869</v>
      </c>
      <c r="AE137" t="s">
        <v>2157</v>
      </c>
      <c r="AF137" t="s">
        <v>1129</v>
      </c>
      <c r="AG137"/>
      <c r="AH137" t="s">
        <v>764</v>
      </c>
      <c r="AI137" t="s">
        <v>737</v>
      </c>
      <c r="AJ137" t="s">
        <v>54</v>
      </c>
      <c r="AK137" t="s">
        <v>2652</v>
      </c>
      <c r="AL137" t="s">
        <v>2653</v>
      </c>
      <c r="AM137" t="s">
        <v>2049</v>
      </c>
      <c r="AN137" t="s">
        <v>2050</v>
      </c>
      <c r="AO137" t="s">
        <v>2052</v>
      </c>
      <c r="AP137" t="s">
        <v>1128</v>
      </c>
      <c r="AQ137">
        <v>6128133863</v>
      </c>
      <c r="AR137"/>
      <c r="AS137">
        <v>6128133886</v>
      </c>
      <c r="AT137" t="s">
        <v>2051</v>
      </c>
      <c r="AU137" t="s">
        <v>1129</v>
      </c>
      <c r="AV137"/>
      <c r="AW137" t="s">
        <v>764</v>
      </c>
      <c r="AX137" t="s">
        <v>737</v>
      </c>
      <c r="AY137" t="s">
        <v>54</v>
      </c>
      <c r="AZ137" t="s">
        <v>2652</v>
      </c>
      <c r="BA137" t="s">
        <v>2653</v>
      </c>
      <c r="BB137" t="s">
        <v>2656</v>
      </c>
      <c r="BC137" t="s">
        <v>2657</v>
      </c>
      <c r="BD137" t="s">
        <v>2658</v>
      </c>
      <c r="BE137" t="s">
        <v>2655</v>
      </c>
      <c r="BF137">
        <v>6128133859</v>
      </c>
      <c r="BG137"/>
      <c r="BH137">
        <v>6128133886</v>
      </c>
      <c r="BI137" t="s">
        <v>2659</v>
      </c>
      <c r="BJ137" t="s">
        <v>1129</v>
      </c>
      <c r="BK137"/>
      <c r="BL137" t="s">
        <v>764</v>
      </c>
      <c r="BM137" t="s">
        <v>737</v>
      </c>
      <c r="BN137" t="s">
        <v>54</v>
      </c>
      <c r="BO137" t="s">
        <v>2652</v>
      </c>
      <c r="BP137" t="s">
        <v>2653</v>
      </c>
      <c r="BQ137" t="s">
        <v>1499</v>
      </c>
      <c r="BR137" t="s">
        <v>2156</v>
      </c>
      <c r="BS137" t="s">
        <v>1150</v>
      </c>
      <c r="BT137" t="s">
        <v>2655</v>
      </c>
      <c r="BU137">
        <v>6128133869</v>
      </c>
      <c r="BV137"/>
      <c r="BW137">
        <v>6128133869</v>
      </c>
      <c r="BX137" t="s">
        <v>2157</v>
      </c>
      <c r="BY137" t="s">
        <v>1129</v>
      </c>
      <c r="BZ137"/>
      <c r="CA137" t="s">
        <v>764</v>
      </c>
      <c r="CB137" t="s">
        <v>737</v>
      </c>
      <c r="CC137" t="s">
        <v>54</v>
      </c>
      <c r="CD137" t="s">
        <v>2652</v>
      </c>
      <c r="CE137" t="s">
        <v>2653</v>
      </c>
      <c r="CF137" t="s">
        <v>1131</v>
      </c>
      <c r="CG137" t="s">
        <v>1132</v>
      </c>
      <c r="CH137" t="s">
        <v>141</v>
      </c>
      <c r="CI137"/>
      <c r="CJ137"/>
      <c r="CK137"/>
      <c r="CL137"/>
      <c r="CM137">
        <v>1336175744</v>
      </c>
      <c r="CN137">
        <v>375</v>
      </c>
      <c r="CO137">
        <v>199</v>
      </c>
      <c r="CP137">
        <v>197</v>
      </c>
      <c r="CQ137">
        <v>254</v>
      </c>
      <c r="CR137">
        <v>199</v>
      </c>
      <c r="CS137" t="s">
        <v>2397</v>
      </c>
      <c r="CT137">
        <v>12</v>
      </c>
      <c r="CU137"/>
      <c r="CV137"/>
      <c r="CW137"/>
      <c r="CX137"/>
      <c r="CY137"/>
      <c r="CZ137"/>
      <c r="DA137"/>
      <c r="DB137"/>
      <c r="DC137"/>
      <c r="DD137"/>
      <c r="DE137"/>
      <c r="DF137"/>
      <c r="DG137"/>
      <c r="DH137"/>
      <c r="DI137"/>
      <c r="DJ137"/>
      <c r="DK137"/>
      <c r="DL137"/>
      <c r="DM137"/>
      <c r="DN137">
        <v>133</v>
      </c>
      <c r="DO137" t="s">
        <v>2392</v>
      </c>
      <c r="DP137"/>
      <c r="DQ137"/>
      <c r="DR137"/>
      <c r="DS137"/>
      <c r="DT137"/>
      <c r="DU137"/>
      <c r="DV137"/>
      <c r="DW137"/>
      <c r="DX137"/>
      <c r="DY137"/>
      <c r="DZ137"/>
      <c r="EA137"/>
      <c r="EB137"/>
      <c r="EC137"/>
      <c r="ED137"/>
      <c r="EE137"/>
      <c r="EF137"/>
      <c r="EG137"/>
      <c r="EH137"/>
      <c r="EI137"/>
      <c r="EJ137"/>
      <c r="EK137"/>
      <c r="EL137"/>
      <c r="EM137"/>
      <c r="EN137"/>
      <c r="EO137"/>
      <c r="EP137"/>
      <c r="EQ137"/>
      <c r="ER137"/>
      <c r="ES137" s="569">
        <v>1268</v>
      </c>
      <c r="ET137" t="s">
        <v>2040</v>
      </c>
      <c r="EU137" t="s">
        <v>1060</v>
      </c>
      <c r="EV137" t="s">
        <v>3026</v>
      </c>
      <c r="EW137" t="s">
        <v>1062</v>
      </c>
      <c r="EX137" s="600">
        <v>58102</v>
      </c>
      <c r="EY137">
        <v>1972553758</v>
      </c>
    </row>
    <row r="138" spans="1:155" x14ac:dyDescent="0.2">
      <c r="A138" s="598">
        <v>891</v>
      </c>
      <c r="B138" t="s">
        <v>2158</v>
      </c>
      <c r="C138" t="s">
        <v>787</v>
      </c>
      <c r="D138" t="s">
        <v>1133</v>
      </c>
      <c r="E138" t="s">
        <v>1134</v>
      </c>
      <c r="F138" t="s">
        <v>752</v>
      </c>
      <c r="G138" t="s">
        <v>54</v>
      </c>
      <c r="H138" t="s">
        <v>2660</v>
      </c>
      <c r="I138"/>
      <c r="J138" t="s">
        <v>1133</v>
      </c>
      <c r="K138" t="s">
        <v>1134</v>
      </c>
      <c r="L138" t="s">
        <v>787</v>
      </c>
      <c r="M138" t="s">
        <v>752</v>
      </c>
      <c r="N138" t="s">
        <v>54</v>
      </c>
      <c r="O138" t="s">
        <v>2660</v>
      </c>
      <c r="P138"/>
      <c r="Q138">
        <v>6512270821</v>
      </c>
      <c r="R138">
        <v>6512976597</v>
      </c>
      <c r="S138" t="s">
        <v>1499</v>
      </c>
      <c r="T138" t="s">
        <v>2156</v>
      </c>
      <c r="U138" t="s">
        <v>1150</v>
      </c>
      <c r="V138" t="s">
        <v>2157</v>
      </c>
      <c r="W138" t="s">
        <v>2654</v>
      </c>
      <c r="X138" t="s">
        <v>1499</v>
      </c>
      <c r="Y138" t="s">
        <v>2156</v>
      </c>
      <c r="Z138" t="s">
        <v>1150</v>
      </c>
      <c r="AA138" t="s">
        <v>2655</v>
      </c>
      <c r="AB138">
        <v>6128133869</v>
      </c>
      <c r="AC138"/>
      <c r="AD138">
        <v>6128133869</v>
      </c>
      <c r="AE138" t="s">
        <v>2157</v>
      </c>
      <c r="AF138" t="s">
        <v>1129</v>
      </c>
      <c r="AG138"/>
      <c r="AH138" t="s">
        <v>764</v>
      </c>
      <c r="AI138" t="s">
        <v>737</v>
      </c>
      <c r="AJ138" t="s">
        <v>54</v>
      </c>
      <c r="AK138" t="s">
        <v>2652</v>
      </c>
      <c r="AL138" t="s">
        <v>2653</v>
      </c>
      <c r="AM138" t="s">
        <v>2049</v>
      </c>
      <c r="AN138" t="s">
        <v>2050</v>
      </c>
      <c r="AO138" t="s">
        <v>2052</v>
      </c>
      <c r="AP138" t="s">
        <v>1132</v>
      </c>
      <c r="AQ138">
        <v>6128133863</v>
      </c>
      <c r="AR138"/>
      <c r="AS138">
        <v>6128133886</v>
      </c>
      <c r="AT138" t="s">
        <v>2051</v>
      </c>
      <c r="AU138" t="s">
        <v>1133</v>
      </c>
      <c r="AV138" t="s">
        <v>1134</v>
      </c>
      <c r="AW138" t="s">
        <v>787</v>
      </c>
      <c r="AX138" t="s">
        <v>752</v>
      </c>
      <c r="AY138" t="s">
        <v>54</v>
      </c>
      <c r="AZ138" t="s">
        <v>2660</v>
      </c>
      <c r="BA138"/>
      <c r="BB138" t="s">
        <v>2656</v>
      </c>
      <c r="BC138" t="s">
        <v>2657</v>
      </c>
      <c r="BD138" t="s">
        <v>2658</v>
      </c>
      <c r="BE138" t="s">
        <v>2655</v>
      </c>
      <c r="BF138">
        <v>6128133859</v>
      </c>
      <c r="BG138"/>
      <c r="BH138">
        <v>6128133886</v>
      </c>
      <c r="BI138" t="s">
        <v>2659</v>
      </c>
      <c r="BJ138" t="s">
        <v>1129</v>
      </c>
      <c r="BK138"/>
      <c r="BL138" t="s">
        <v>764</v>
      </c>
      <c r="BM138" t="s">
        <v>737</v>
      </c>
      <c r="BN138" t="s">
        <v>54</v>
      </c>
      <c r="BO138" t="s">
        <v>2652</v>
      </c>
      <c r="BP138" t="s">
        <v>2653</v>
      </c>
      <c r="BQ138" t="s">
        <v>1499</v>
      </c>
      <c r="BR138" t="s">
        <v>2156</v>
      </c>
      <c r="BS138" t="s">
        <v>1150</v>
      </c>
      <c r="BT138" t="s">
        <v>2655</v>
      </c>
      <c r="BU138">
        <v>6128133869</v>
      </c>
      <c r="BV138"/>
      <c r="BW138">
        <v>6128133869</v>
      </c>
      <c r="BX138" t="s">
        <v>2157</v>
      </c>
      <c r="BY138" t="s">
        <v>1129</v>
      </c>
      <c r="BZ138"/>
      <c r="CA138" t="s">
        <v>764</v>
      </c>
      <c r="CB138" t="s">
        <v>737</v>
      </c>
      <c r="CC138" t="s">
        <v>54</v>
      </c>
      <c r="CD138" t="s">
        <v>2652</v>
      </c>
      <c r="CE138" t="s">
        <v>2653</v>
      </c>
      <c r="CF138" t="s">
        <v>1131</v>
      </c>
      <c r="CG138" t="s">
        <v>1132</v>
      </c>
      <c r="CH138" t="s">
        <v>141</v>
      </c>
      <c r="CI138"/>
      <c r="CJ138"/>
      <c r="CK138"/>
      <c r="CL138"/>
      <c r="CM138">
        <v>1336175744</v>
      </c>
      <c r="CN138">
        <v>376</v>
      </c>
      <c r="CO138">
        <v>199</v>
      </c>
      <c r="CP138">
        <v>176</v>
      </c>
      <c r="CQ138">
        <v>254</v>
      </c>
      <c r="CR138">
        <v>199</v>
      </c>
      <c r="CS138" t="s">
        <v>2397</v>
      </c>
      <c r="CT138">
        <v>12</v>
      </c>
      <c r="CU138"/>
      <c r="CV138"/>
      <c r="CW138"/>
      <c r="CX138"/>
      <c r="CY138"/>
      <c r="CZ138"/>
      <c r="DA138"/>
      <c r="DB138"/>
      <c r="DC138"/>
      <c r="DD138"/>
      <c r="DE138"/>
      <c r="DF138"/>
      <c r="DG138"/>
      <c r="DH138"/>
      <c r="DI138"/>
      <c r="DJ138"/>
      <c r="DK138"/>
      <c r="DL138"/>
      <c r="DM138"/>
      <c r="DN138">
        <v>133</v>
      </c>
      <c r="DO138" t="s">
        <v>2392</v>
      </c>
      <c r="DP138"/>
      <c r="DQ138"/>
      <c r="DR138"/>
      <c r="DS138"/>
      <c r="DT138"/>
      <c r="DU138"/>
      <c r="DV138"/>
      <c r="DW138"/>
      <c r="DX138"/>
      <c r="DY138"/>
      <c r="DZ138"/>
      <c r="EA138"/>
      <c r="EB138"/>
      <c r="EC138"/>
      <c r="ED138"/>
      <c r="EE138"/>
      <c r="EF138"/>
      <c r="EG138"/>
      <c r="EH138"/>
      <c r="EI138"/>
      <c r="EJ138"/>
      <c r="EK138"/>
      <c r="EL138"/>
      <c r="EM138"/>
      <c r="EN138"/>
      <c r="EO138"/>
      <c r="EP138"/>
      <c r="EQ138"/>
      <c r="ER138"/>
      <c r="ES138" s="569">
        <v>1345</v>
      </c>
      <c r="ET138" t="s">
        <v>2154</v>
      </c>
      <c r="EU138" t="s">
        <v>1060</v>
      </c>
      <c r="EV138" t="s">
        <v>3026</v>
      </c>
      <c r="EW138" t="s">
        <v>1062</v>
      </c>
      <c r="EX138" s="600">
        <v>58102</v>
      </c>
      <c r="EY138">
        <v>1972553758</v>
      </c>
    </row>
    <row r="139" spans="1:155" x14ac:dyDescent="0.2">
      <c r="A139" s="598">
        <v>596</v>
      </c>
      <c r="B139" t="s">
        <v>1138</v>
      </c>
      <c r="C139" t="s">
        <v>939</v>
      </c>
      <c r="D139" t="s">
        <v>1139</v>
      </c>
      <c r="E139"/>
      <c r="F139" t="s">
        <v>912</v>
      </c>
      <c r="G139" t="s">
        <v>54</v>
      </c>
      <c r="H139" t="s">
        <v>2571</v>
      </c>
      <c r="I139"/>
      <c r="J139" t="s">
        <v>1139</v>
      </c>
      <c r="K139"/>
      <c r="L139" t="s">
        <v>939</v>
      </c>
      <c r="M139" t="s">
        <v>912</v>
      </c>
      <c r="N139" t="s">
        <v>54</v>
      </c>
      <c r="O139" t="s">
        <v>2571</v>
      </c>
      <c r="P139"/>
      <c r="Q139">
        <v>2182623425</v>
      </c>
      <c r="R139">
        <v>2182625670</v>
      </c>
      <c r="S139" t="s">
        <v>780</v>
      </c>
      <c r="T139" t="s">
        <v>2661</v>
      </c>
      <c r="U139" t="s">
        <v>1435</v>
      </c>
      <c r="V139" t="s">
        <v>2662</v>
      </c>
      <c r="W139"/>
      <c r="X139" t="s">
        <v>1140</v>
      </c>
      <c r="Y139" t="s">
        <v>1141</v>
      </c>
      <c r="Z139" t="s">
        <v>1142</v>
      </c>
      <c r="AA139" t="s">
        <v>1138</v>
      </c>
      <c r="AB139">
        <v>2182623425</v>
      </c>
      <c r="AC139">
        <v>1026</v>
      </c>
      <c r="AD139">
        <v>2182625670</v>
      </c>
      <c r="AE139" t="s">
        <v>1143</v>
      </c>
      <c r="AF139" t="s">
        <v>1139</v>
      </c>
      <c r="AG139"/>
      <c r="AH139" t="s">
        <v>939</v>
      </c>
      <c r="AI139" t="s">
        <v>912</v>
      </c>
      <c r="AJ139" t="s">
        <v>54</v>
      </c>
      <c r="AK139" t="s">
        <v>2571</v>
      </c>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t="s">
        <v>1144</v>
      </c>
      <c r="CH139" t="s">
        <v>56</v>
      </c>
      <c r="CI139"/>
      <c r="CJ139"/>
      <c r="CK139"/>
      <c r="CL139"/>
      <c r="CM139">
        <v>1780621508</v>
      </c>
      <c r="CN139">
        <v>2971</v>
      </c>
      <c r="CO139">
        <v>3050</v>
      </c>
      <c r="CP139"/>
      <c r="CQ139"/>
      <c r="CR139"/>
      <c r="CS139" t="s">
        <v>2386</v>
      </c>
      <c r="CT139">
        <v>12</v>
      </c>
      <c r="CU139"/>
      <c r="CV139"/>
      <c r="CW139"/>
      <c r="CX139"/>
      <c r="CY139"/>
      <c r="CZ139"/>
      <c r="DA139"/>
      <c r="DB139"/>
      <c r="DC139"/>
      <c r="DD139">
        <v>128</v>
      </c>
      <c r="DE139" t="s">
        <v>2663</v>
      </c>
      <c r="DF139"/>
      <c r="DG139"/>
      <c r="DH139">
        <v>129</v>
      </c>
      <c r="DI139" t="s">
        <v>2664</v>
      </c>
      <c r="DJ139"/>
      <c r="DK139"/>
      <c r="DL139"/>
      <c r="DM139"/>
      <c r="DN139"/>
      <c r="DO139"/>
      <c r="DP139"/>
      <c r="DQ139"/>
      <c r="DR139"/>
      <c r="DS139"/>
      <c r="DT139">
        <v>141</v>
      </c>
      <c r="DU139" t="s">
        <v>2665</v>
      </c>
      <c r="DV139"/>
      <c r="DW139"/>
      <c r="DX139">
        <v>135</v>
      </c>
      <c r="DY139" t="s">
        <v>2665</v>
      </c>
      <c r="DZ139"/>
      <c r="EA139"/>
      <c r="EB139"/>
      <c r="EC139"/>
      <c r="ED139"/>
      <c r="EE139"/>
      <c r="EF139">
        <v>138</v>
      </c>
      <c r="EG139" t="s">
        <v>2665</v>
      </c>
      <c r="EH139"/>
      <c r="EI139"/>
      <c r="EJ139"/>
      <c r="EK139"/>
      <c r="EL139"/>
      <c r="EM139"/>
      <c r="EN139"/>
      <c r="EO139"/>
      <c r="EP139"/>
      <c r="EQ139"/>
      <c r="ER139"/>
      <c r="ES139" s="569">
        <v>610</v>
      </c>
      <c r="ET139" t="s">
        <v>1099</v>
      </c>
      <c r="EU139" t="s">
        <v>1060</v>
      </c>
      <c r="EV139" t="s">
        <v>3026</v>
      </c>
      <c r="EW139" t="s">
        <v>1062</v>
      </c>
      <c r="EX139" s="600">
        <v>58102</v>
      </c>
      <c r="EY139">
        <v>1972553758</v>
      </c>
    </row>
    <row r="140" spans="1:155" x14ac:dyDescent="0.2">
      <c r="A140" s="598">
        <v>1266</v>
      </c>
      <c r="B140" t="s">
        <v>2053</v>
      </c>
      <c r="C140" t="s">
        <v>993</v>
      </c>
      <c r="D140" t="s">
        <v>2054</v>
      </c>
      <c r="E140"/>
      <c r="F140" t="s">
        <v>995</v>
      </c>
      <c r="G140" t="s">
        <v>54</v>
      </c>
      <c r="H140" t="s">
        <v>2588</v>
      </c>
      <c r="I140"/>
      <c r="J140" t="s">
        <v>2054</v>
      </c>
      <c r="K140"/>
      <c r="L140" t="s">
        <v>993</v>
      </c>
      <c r="M140" t="s">
        <v>995</v>
      </c>
      <c r="N140" t="s">
        <v>54</v>
      </c>
      <c r="O140" t="s">
        <v>2588</v>
      </c>
      <c r="P140"/>
      <c r="Q140">
        <v>2182839431</v>
      </c>
      <c r="R140">
        <v>2182856240</v>
      </c>
      <c r="S140" t="s">
        <v>2055</v>
      </c>
      <c r="T140" t="s">
        <v>2056</v>
      </c>
      <c r="U140" t="s">
        <v>1150</v>
      </c>
      <c r="V140" t="s">
        <v>2159</v>
      </c>
      <c r="W140"/>
      <c r="X140" t="s">
        <v>2049</v>
      </c>
      <c r="Y140" t="s">
        <v>2057</v>
      </c>
      <c r="Z140" t="s">
        <v>867</v>
      </c>
      <c r="AA140" t="s">
        <v>1144</v>
      </c>
      <c r="AB140">
        <v>2187499431</v>
      </c>
      <c r="AC140"/>
      <c r="AD140">
        <v>2187499587</v>
      </c>
      <c r="AE140" t="s">
        <v>2058</v>
      </c>
      <c r="AF140" t="s">
        <v>2059</v>
      </c>
      <c r="AG140"/>
      <c r="AH140" t="s">
        <v>1666</v>
      </c>
      <c r="AI140" t="s">
        <v>912</v>
      </c>
      <c r="AJ140" t="s">
        <v>54</v>
      </c>
      <c r="AK140" t="s">
        <v>2666</v>
      </c>
      <c r="AL140"/>
      <c r="AM140" t="s">
        <v>2055</v>
      </c>
      <c r="AN140" t="s">
        <v>2056</v>
      </c>
      <c r="AO140" t="s">
        <v>1150</v>
      </c>
      <c r="AP140" t="s">
        <v>2053</v>
      </c>
      <c r="AQ140">
        <v>2182839431</v>
      </c>
      <c r="AR140"/>
      <c r="AS140">
        <v>2182856240</v>
      </c>
      <c r="AT140" t="s">
        <v>2159</v>
      </c>
      <c r="AU140" t="s">
        <v>2054</v>
      </c>
      <c r="AV140"/>
      <c r="AW140" t="s">
        <v>993</v>
      </c>
      <c r="AX140" t="s">
        <v>995</v>
      </c>
      <c r="AY140" t="s">
        <v>54</v>
      </c>
      <c r="AZ140" t="s">
        <v>2588</v>
      </c>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t="s">
        <v>1144</v>
      </c>
      <c r="CH140" t="s">
        <v>56</v>
      </c>
      <c r="CI140"/>
      <c r="CJ140"/>
      <c r="CK140"/>
      <c r="CL140"/>
      <c r="CM140"/>
      <c r="CN140">
        <v>2940</v>
      </c>
      <c r="CO140">
        <v>2941</v>
      </c>
      <c r="CP140">
        <v>2297</v>
      </c>
      <c r="CQ140"/>
      <c r="CR140"/>
      <c r="CS140" t="s">
        <v>2397</v>
      </c>
      <c r="CT140">
        <v>12</v>
      </c>
      <c r="CU140"/>
      <c r="CV140"/>
      <c r="CW140"/>
      <c r="CX140"/>
      <c r="CY140"/>
      <c r="CZ140"/>
      <c r="DA140"/>
      <c r="DB140"/>
      <c r="DC140"/>
      <c r="DD140">
        <v>128</v>
      </c>
      <c r="DE140" t="s">
        <v>2667</v>
      </c>
      <c r="DF140"/>
      <c r="DG140"/>
      <c r="DH140">
        <v>129</v>
      </c>
      <c r="DI140" t="s">
        <v>2668</v>
      </c>
      <c r="DJ140"/>
      <c r="DK140"/>
      <c r="DL140"/>
      <c r="DM140"/>
      <c r="DN140"/>
      <c r="DO140"/>
      <c r="DP140"/>
      <c r="DQ140"/>
      <c r="DR140"/>
      <c r="DS140"/>
      <c r="DT140">
        <v>141</v>
      </c>
      <c r="DU140" t="s">
        <v>2669</v>
      </c>
      <c r="DV140"/>
      <c r="DW140"/>
      <c r="DX140">
        <v>135</v>
      </c>
      <c r="DY140" t="s">
        <v>2669</v>
      </c>
      <c r="DZ140"/>
      <c r="EA140"/>
      <c r="EB140"/>
      <c r="EC140"/>
      <c r="ED140"/>
      <c r="EE140"/>
      <c r="EF140">
        <v>138</v>
      </c>
      <c r="EG140" t="s">
        <v>2669</v>
      </c>
      <c r="EH140"/>
      <c r="EI140"/>
      <c r="EJ140"/>
      <c r="EK140"/>
      <c r="EL140"/>
      <c r="EM140"/>
      <c r="EN140"/>
      <c r="EO140"/>
      <c r="EP140"/>
      <c r="EQ140"/>
      <c r="ER140"/>
      <c r="ES140" s="569">
        <v>806</v>
      </c>
      <c r="ET140" t="s">
        <v>2041</v>
      </c>
      <c r="EU140" t="s">
        <v>1060</v>
      </c>
      <c r="EV140" t="s">
        <v>3026</v>
      </c>
      <c r="EW140" t="s">
        <v>1062</v>
      </c>
      <c r="EX140" s="600">
        <v>58102</v>
      </c>
      <c r="EY140">
        <v>1972553758</v>
      </c>
    </row>
    <row r="141" spans="1:155" x14ac:dyDescent="0.2">
      <c r="A141" s="598">
        <v>666</v>
      </c>
      <c r="B141" t="s">
        <v>1146</v>
      </c>
      <c r="C141" t="s">
        <v>812</v>
      </c>
      <c r="D141" t="s">
        <v>1147</v>
      </c>
      <c r="E141"/>
      <c r="F141" t="s">
        <v>814</v>
      </c>
      <c r="G141" t="s">
        <v>54</v>
      </c>
      <c r="H141" t="s">
        <v>2494</v>
      </c>
      <c r="I141"/>
      <c r="J141" t="s">
        <v>1147</v>
      </c>
      <c r="K141"/>
      <c r="L141" t="s">
        <v>812</v>
      </c>
      <c r="M141" t="s">
        <v>814</v>
      </c>
      <c r="N141" t="s">
        <v>54</v>
      </c>
      <c r="O141" t="s">
        <v>2494</v>
      </c>
      <c r="P141"/>
      <c r="Q141">
        <v>7635725700</v>
      </c>
      <c r="R141">
        <v>7635282950</v>
      </c>
      <c r="S141" t="s">
        <v>1148</v>
      </c>
      <c r="T141" t="s">
        <v>1149</v>
      </c>
      <c r="U141" t="s">
        <v>1150</v>
      </c>
      <c r="V141" t="s">
        <v>1151</v>
      </c>
      <c r="W141" t="s">
        <v>1152</v>
      </c>
      <c r="X141" t="s">
        <v>2448</v>
      </c>
      <c r="Y141" t="s">
        <v>2670</v>
      </c>
      <c r="Z141" t="s">
        <v>2671</v>
      </c>
      <c r="AA141" t="s">
        <v>810</v>
      </c>
      <c r="AB141">
        <v>6126722287</v>
      </c>
      <c r="AC141"/>
      <c r="AD141">
        <v>6126726986</v>
      </c>
      <c r="AE141" t="s">
        <v>2672</v>
      </c>
      <c r="AF141" t="s">
        <v>1154</v>
      </c>
      <c r="AG141" t="s">
        <v>1155</v>
      </c>
      <c r="AH141" t="s">
        <v>764</v>
      </c>
      <c r="AI141" t="s">
        <v>737</v>
      </c>
      <c r="AJ141" t="s">
        <v>54</v>
      </c>
      <c r="AK141" t="s">
        <v>2673</v>
      </c>
      <c r="AL141"/>
      <c r="AM141" t="s">
        <v>1148</v>
      </c>
      <c r="AN141" t="s">
        <v>1149</v>
      </c>
      <c r="AO141" t="s">
        <v>1156</v>
      </c>
      <c r="AP141" t="s">
        <v>1146</v>
      </c>
      <c r="AQ141">
        <v>6517173431</v>
      </c>
      <c r="AR141"/>
      <c r="AS141"/>
      <c r="AT141" t="s">
        <v>1151</v>
      </c>
      <c r="AU141" t="s">
        <v>754</v>
      </c>
      <c r="AV141"/>
      <c r="AW141"/>
      <c r="AX141"/>
      <c r="AY141"/>
      <c r="AZ141"/>
      <c r="BA141"/>
      <c r="BB141" t="s">
        <v>1148</v>
      </c>
      <c r="BC141" t="s">
        <v>1157</v>
      </c>
      <c r="BD141" t="s">
        <v>2160</v>
      </c>
      <c r="BE141" t="s">
        <v>810</v>
      </c>
      <c r="BF141">
        <v>6126727067</v>
      </c>
      <c r="BG141"/>
      <c r="BH141">
        <v>6126726986</v>
      </c>
      <c r="BI141" t="s">
        <v>1158</v>
      </c>
      <c r="BJ141" t="s">
        <v>1154</v>
      </c>
      <c r="BK141"/>
      <c r="BL141" t="s">
        <v>764</v>
      </c>
      <c r="BM141" t="s">
        <v>737</v>
      </c>
      <c r="BN141" t="s">
        <v>54</v>
      </c>
      <c r="BO141" t="s">
        <v>2673</v>
      </c>
      <c r="BP141"/>
      <c r="BQ141" t="s">
        <v>1571</v>
      </c>
      <c r="BR141" t="s">
        <v>2674</v>
      </c>
      <c r="BS141" t="s">
        <v>2675</v>
      </c>
      <c r="BT141" t="s">
        <v>810</v>
      </c>
      <c r="BU141">
        <v>6126722217</v>
      </c>
      <c r="BV141"/>
      <c r="BW141">
        <v>6126721240</v>
      </c>
      <c r="BX141" t="s">
        <v>2676</v>
      </c>
      <c r="BY141" t="s">
        <v>1154</v>
      </c>
      <c r="BZ141"/>
      <c r="CA141" t="s">
        <v>764</v>
      </c>
      <c r="CB141" t="s">
        <v>737</v>
      </c>
      <c r="CC141" t="s">
        <v>54</v>
      </c>
      <c r="CD141" t="s">
        <v>2673</v>
      </c>
      <c r="CE141"/>
      <c r="CF141" t="s">
        <v>1160</v>
      </c>
      <c r="CG141" t="s">
        <v>2490</v>
      </c>
      <c r="CH141" t="s">
        <v>141</v>
      </c>
      <c r="CI141"/>
      <c r="CJ141"/>
      <c r="CK141"/>
      <c r="CL141"/>
      <c r="CM141">
        <v>1972784205</v>
      </c>
      <c r="CN141">
        <v>2872</v>
      </c>
      <c r="CO141">
        <v>465</v>
      </c>
      <c r="CP141">
        <v>287</v>
      </c>
      <c r="CQ141">
        <v>466</v>
      </c>
      <c r="CR141">
        <v>2949</v>
      </c>
      <c r="CS141" t="s">
        <v>2397</v>
      </c>
      <c r="CT141">
        <v>12</v>
      </c>
      <c r="CU141"/>
      <c r="CV141"/>
      <c r="CW141"/>
      <c r="CX141"/>
      <c r="CY141"/>
      <c r="CZ141"/>
      <c r="DA141"/>
      <c r="DB141"/>
      <c r="DC141"/>
      <c r="DD141">
        <v>128</v>
      </c>
      <c r="DE141" t="s">
        <v>2677</v>
      </c>
      <c r="DF141"/>
      <c r="DG141"/>
      <c r="DH141">
        <v>129</v>
      </c>
      <c r="DI141" t="s">
        <v>2678</v>
      </c>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s="569">
        <v>671</v>
      </c>
      <c r="ET141" t="s">
        <v>2042</v>
      </c>
      <c r="EU141" t="s">
        <v>1060</v>
      </c>
      <c r="EV141" t="s">
        <v>3026</v>
      </c>
      <c r="EW141" t="s">
        <v>1062</v>
      </c>
      <c r="EX141" s="600">
        <v>58102</v>
      </c>
      <c r="EY141">
        <v>1972553758</v>
      </c>
    </row>
    <row r="142" spans="1:155" x14ac:dyDescent="0.2">
      <c r="A142" s="598">
        <v>708</v>
      </c>
      <c r="B142" t="s">
        <v>1161</v>
      </c>
      <c r="C142" t="s">
        <v>833</v>
      </c>
      <c r="D142" t="s">
        <v>1162</v>
      </c>
      <c r="E142"/>
      <c r="F142" t="s">
        <v>737</v>
      </c>
      <c r="G142" t="s">
        <v>54</v>
      </c>
      <c r="H142" t="s">
        <v>2516</v>
      </c>
      <c r="I142" t="s">
        <v>2679</v>
      </c>
      <c r="J142" t="s">
        <v>1163</v>
      </c>
      <c r="K142" t="s">
        <v>2060</v>
      </c>
      <c r="L142" t="s">
        <v>833</v>
      </c>
      <c r="M142" t="s">
        <v>737</v>
      </c>
      <c r="N142" t="s">
        <v>54</v>
      </c>
      <c r="O142" t="s">
        <v>2516</v>
      </c>
      <c r="P142" t="s">
        <v>2679</v>
      </c>
      <c r="Q142">
        <v>7638981000</v>
      </c>
      <c r="R142">
        <v>7638981009</v>
      </c>
      <c r="S142" t="s">
        <v>1164</v>
      </c>
      <c r="T142" t="s">
        <v>1165</v>
      </c>
      <c r="U142" t="s">
        <v>2161</v>
      </c>
      <c r="V142" t="s">
        <v>1166</v>
      </c>
      <c r="W142" t="s">
        <v>1167</v>
      </c>
      <c r="X142" t="s">
        <v>2680</v>
      </c>
      <c r="Y142" t="s">
        <v>2681</v>
      </c>
      <c r="Z142" t="s">
        <v>2682</v>
      </c>
      <c r="AA142" t="s">
        <v>810</v>
      </c>
      <c r="AB142">
        <v>6126724660</v>
      </c>
      <c r="AC142"/>
      <c r="AD142">
        <v>6126726986</v>
      </c>
      <c r="AE142" t="s">
        <v>2683</v>
      </c>
      <c r="AF142" t="s">
        <v>1154</v>
      </c>
      <c r="AG142" t="s">
        <v>1155</v>
      </c>
      <c r="AH142" t="s">
        <v>764</v>
      </c>
      <c r="AI142" t="s">
        <v>737</v>
      </c>
      <c r="AJ142" t="s">
        <v>54</v>
      </c>
      <c r="AK142" t="s">
        <v>2673</v>
      </c>
      <c r="AL142"/>
      <c r="AM142" t="s">
        <v>1148</v>
      </c>
      <c r="AN142" t="s">
        <v>1157</v>
      </c>
      <c r="AO142" t="s">
        <v>2160</v>
      </c>
      <c r="AP142" t="s">
        <v>810</v>
      </c>
      <c r="AQ142">
        <v>6126727067</v>
      </c>
      <c r="AR142"/>
      <c r="AS142">
        <v>6126726986</v>
      </c>
      <c r="AT142" t="s">
        <v>1158</v>
      </c>
      <c r="AU142" t="s">
        <v>1154</v>
      </c>
      <c r="AV142"/>
      <c r="AW142" t="s">
        <v>764</v>
      </c>
      <c r="AX142" t="s">
        <v>737</v>
      </c>
      <c r="AY142" t="s">
        <v>54</v>
      </c>
      <c r="AZ142" t="s">
        <v>2673</v>
      </c>
      <c r="BA142"/>
      <c r="BB142" t="s">
        <v>1164</v>
      </c>
      <c r="BC142" t="s">
        <v>1165</v>
      </c>
      <c r="BD142" t="s">
        <v>2161</v>
      </c>
      <c r="BE142" t="s">
        <v>1161</v>
      </c>
      <c r="BF142">
        <v>7638981000</v>
      </c>
      <c r="BG142"/>
      <c r="BH142"/>
      <c r="BI142" t="s">
        <v>1166</v>
      </c>
      <c r="BJ142" t="s">
        <v>754</v>
      </c>
      <c r="BK142"/>
      <c r="BL142"/>
      <c r="BM142"/>
      <c r="BN142"/>
      <c r="BO142"/>
      <c r="BP142"/>
      <c r="BQ142"/>
      <c r="BR142"/>
      <c r="BS142"/>
      <c r="BT142"/>
      <c r="BU142"/>
      <c r="BV142"/>
      <c r="BW142"/>
      <c r="BX142"/>
      <c r="BY142"/>
      <c r="BZ142"/>
      <c r="CA142"/>
      <c r="CB142"/>
      <c r="CC142"/>
      <c r="CD142"/>
      <c r="CE142"/>
      <c r="CF142" t="s">
        <v>1168</v>
      </c>
      <c r="CG142" t="s">
        <v>2490</v>
      </c>
      <c r="CH142" t="s">
        <v>141</v>
      </c>
      <c r="CI142"/>
      <c r="CJ142"/>
      <c r="CK142"/>
      <c r="CL142"/>
      <c r="CM142">
        <v>1841315165</v>
      </c>
      <c r="CN142">
        <v>230</v>
      </c>
      <c r="CO142">
        <v>2445</v>
      </c>
      <c r="CP142">
        <v>466</v>
      </c>
      <c r="CQ142">
        <v>2998</v>
      </c>
      <c r="CR142"/>
      <c r="CS142" t="s">
        <v>2397</v>
      </c>
      <c r="CT142">
        <v>12</v>
      </c>
      <c r="CU142"/>
      <c r="CV142"/>
      <c r="CW142"/>
      <c r="CX142"/>
      <c r="CY142"/>
      <c r="CZ142"/>
      <c r="DA142"/>
      <c r="DB142"/>
      <c r="DC142"/>
      <c r="DD142">
        <v>128</v>
      </c>
      <c r="DE142" t="s">
        <v>2684</v>
      </c>
      <c r="DF142">
        <v>131</v>
      </c>
      <c r="DG142" t="s">
        <v>2502</v>
      </c>
      <c r="DH142">
        <v>129</v>
      </c>
      <c r="DI142" t="s">
        <v>2685</v>
      </c>
      <c r="DJ142">
        <v>130</v>
      </c>
      <c r="DK142" t="s">
        <v>2686</v>
      </c>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s="569">
        <v>647</v>
      </c>
      <c r="ET142" t="s">
        <v>1100</v>
      </c>
      <c r="EU142" t="s">
        <v>1060</v>
      </c>
      <c r="EV142" t="s">
        <v>3026</v>
      </c>
      <c r="EW142" t="s">
        <v>1062</v>
      </c>
      <c r="EX142" s="600">
        <v>58102</v>
      </c>
      <c r="EY142">
        <v>1972553758</v>
      </c>
    </row>
    <row r="143" spans="1:155" x14ac:dyDescent="0.2">
      <c r="A143" s="598">
        <v>890</v>
      </c>
      <c r="B143" t="s">
        <v>1170</v>
      </c>
      <c r="C143" t="s">
        <v>1049</v>
      </c>
      <c r="D143" t="s">
        <v>1171</v>
      </c>
      <c r="E143" t="s">
        <v>1172</v>
      </c>
      <c r="F143" t="s">
        <v>737</v>
      </c>
      <c r="G143" t="s">
        <v>54</v>
      </c>
      <c r="H143" t="s">
        <v>2433</v>
      </c>
      <c r="I143"/>
      <c r="J143" t="s">
        <v>1171</v>
      </c>
      <c r="K143" t="s">
        <v>1172</v>
      </c>
      <c r="L143" t="s">
        <v>1049</v>
      </c>
      <c r="M143" t="s">
        <v>737</v>
      </c>
      <c r="N143" t="s">
        <v>54</v>
      </c>
      <c r="O143" t="s">
        <v>2433</v>
      </c>
      <c r="P143"/>
      <c r="Q143">
        <v>9529268925</v>
      </c>
      <c r="R143">
        <v>9529206338</v>
      </c>
      <c r="S143" t="s">
        <v>1173</v>
      </c>
      <c r="T143" t="s">
        <v>1174</v>
      </c>
      <c r="U143" t="s">
        <v>753</v>
      </c>
      <c r="V143" t="s">
        <v>1175</v>
      </c>
      <c r="W143" t="s">
        <v>1176</v>
      </c>
      <c r="X143" t="s">
        <v>1173</v>
      </c>
      <c r="Y143" t="s">
        <v>1174</v>
      </c>
      <c r="Z143" t="s">
        <v>753</v>
      </c>
      <c r="AA143" t="s">
        <v>1170</v>
      </c>
      <c r="AB143">
        <v>9529268925</v>
      </c>
      <c r="AC143"/>
      <c r="AD143">
        <v>9529206338</v>
      </c>
      <c r="AE143" t="s">
        <v>1175</v>
      </c>
      <c r="AF143" t="s">
        <v>754</v>
      </c>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t="s">
        <v>755</v>
      </c>
      <c r="CH143"/>
      <c r="CI143"/>
      <c r="CJ143"/>
      <c r="CK143"/>
      <c r="CL143"/>
      <c r="CM143">
        <v>1245360155</v>
      </c>
      <c r="CN143">
        <v>340</v>
      </c>
      <c r="CO143">
        <v>272</v>
      </c>
      <c r="CP143"/>
      <c r="CQ143"/>
      <c r="CR143"/>
      <c r="CS143" t="s">
        <v>2397</v>
      </c>
      <c r="CT143">
        <v>12</v>
      </c>
      <c r="CU143"/>
      <c r="CV143"/>
      <c r="CW143"/>
      <c r="CX143"/>
      <c r="CY143"/>
      <c r="CZ143"/>
      <c r="DA143"/>
      <c r="DB143"/>
      <c r="DC143"/>
      <c r="DD143">
        <v>128</v>
      </c>
      <c r="DE143" t="s">
        <v>2687</v>
      </c>
      <c r="DF143"/>
      <c r="DG143"/>
      <c r="DH143">
        <v>129</v>
      </c>
      <c r="DI143" t="s">
        <v>2688</v>
      </c>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s="569">
        <v>911</v>
      </c>
      <c r="ET143" t="s">
        <v>1101</v>
      </c>
      <c r="EU143" t="s">
        <v>1060</v>
      </c>
      <c r="EV143" t="s">
        <v>3026</v>
      </c>
      <c r="EW143" t="s">
        <v>1062</v>
      </c>
      <c r="EX143" s="600">
        <v>58102</v>
      </c>
      <c r="EY143">
        <v>1972553758</v>
      </c>
    </row>
    <row r="144" spans="1:155" x14ac:dyDescent="0.2">
      <c r="A144" s="598">
        <v>1019</v>
      </c>
      <c r="B144" t="s">
        <v>1177</v>
      </c>
      <c r="C144" t="s">
        <v>1178</v>
      </c>
      <c r="D144" t="s">
        <v>1179</v>
      </c>
      <c r="E144" t="s">
        <v>1180</v>
      </c>
      <c r="F144"/>
      <c r="G144" t="s">
        <v>54</v>
      </c>
      <c r="H144" t="s">
        <v>2689</v>
      </c>
      <c r="I144" t="s">
        <v>2690</v>
      </c>
      <c r="J144" t="s">
        <v>1179</v>
      </c>
      <c r="K144" t="s">
        <v>1180</v>
      </c>
      <c r="L144" t="s">
        <v>1178</v>
      </c>
      <c r="M144"/>
      <c r="N144" t="s">
        <v>54</v>
      </c>
      <c r="O144" t="s">
        <v>2689</v>
      </c>
      <c r="P144" t="s">
        <v>2690</v>
      </c>
      <c r="Q144">
        <v>7632448020</v>
      </c>
      <c r="R144">
        <v>7632448021</v>
      </c>
      <c r="S144" t="s">
        <v>1181</v>
      </c>
      <c r="T144" t="s">
        <v>1182</v>
      </c>
      <c r="U144" t="s">
        <v>1183</v>
      </c>
      <c r="V144" t="s">
        <v>1184</v>
      </c>
      <c r="W144"/>
      <c r="X144" t="s">
        <v>1181</v>
      </c>
      <c r="Y144" t="s">
        <v>1182</v>
      </c>
      <c r="Z144" t="s">
        <v>1084</v>
      </c>
      <c r="AA144" t="s">
        <v>1177</v>
      </c>
      <c r="AB144">
        <v>6127470220</v>
      </c>
      <c r="AC144"/>
      <c r="AD144">
        <v>7642448021</v>
      </c>
      <c r="AE144" t="s">
        <v>1184</v>
      </c>
      <c r="AF144" t="s">
        <v>754</v>
      </c>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t="s">
        <v>755</v>
      </c>
      <c r="CH144"/>
      <c r="CI144"/>
      <c r="CJ144"/>
      <c r="CK144"/>
      <c r="CL144"/>
      <c r="CM144">
        <v>1336580018</v>
      </c>
      <c r="CN144">
        <v>1109</v>
      </c>
      <c r="CO144">
        <v>1271</v>
      </c>
      <c r="CP144"/>
      <c r="CQ144"/>
      <c r="CR144"/>
      <c r="CS144" t="s">
        <v>2397</v>
      </c>
      <c r="CT144">
        <v>12</v>
      </c>
      <c r="CU144"/>
      <c r="CV144"/>
      <c r="CW144"/>
      <c r="CX144"/>
      <c r="CY144"/>
      <c r="CZ144"/>
      <c r="DA144"/>
      <c r="DB144"/>
      <c r="DC144"/>
      <c r="DD144">
        <v>128</v>
      </c>
      <c r="DE144" t="s">
        <v>2400</v>
      </c>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s="569">
        <v>663</v>
      </c>
      <c r="ET144" t="s">
        <v>1102</v>
      </c>
      <c r="EU144" t="s">
        <v>1060</v>
      </c>
      <c r="EV144" t="s">
        <v>3026</v>
      </c>
      <c r="EW144" t="s">
        <v>1062</v>
      </c>
      <c r="EX144" s="600">
        <v>58102</v>
      </c>
      <c r="EY144">
        <v>1972553758</v>
      </c>
    </row>
    <row r="145" spans="1:155" x14ac:dyDescent="0.2">
      <c r="A145" s="598">
        <v>549</v>
      </c>
      <c r="B145" t="s">
        <v>1203</v>
      </c>
      <c r="C145" t="s">
        <v>833</v>
      </c>
      <c r="D145" t="s">
        <v>1204</v>
      </c>
      <c r="E145" t="s">
        <v>821</v>
      </c>
      <c r="F145" t="s">
        <v>737</v>
      </c>
      <c r="G145" t="s">
        <v>54</v>
      </c>
      <c r="H145" t="s">
        <v>2516</v>
      </c>
      <c r="I145"/>
      <c r="J145" t="s">
        <v>1204</v>
      </c>
      <c r="K145" t="s">
        <v>821</v>
      </c>
      <c r="L145" t="s">
        <v>833</v>
      </c>
      <c r="M145"/>
      <c r="N145" t="s">
        <v>54</v>
      </c>
      <c r="O145" t="s">
        <v>2516</v>
      </c>
      <c r="P145"/>
      <c r="Q145">
        <v>7633986363</v>
      </c>
      <c r="R145">
        <v>7633986364</v>
      </c>
      <c r="S145" t="s">
        <v>1185</v>
      </c>
      <c r="T145" t="s">
        <v>1186</v>
      </c>
      <c r="U145" t="s">
        <v>1187</v>
      </c>
      <c r="V145" t="s">
        <v>1188</v>
      </c>
      <c r="W145" t="s">
        <v>1189</v>
      </c>
      <c r="X145" t="s">
        <v>1190</v>
      </c>
      <c r="Y145" t="s">
        <v>1191</v>
      </c>
      <c r="Z145" t="s">
        <v>1192</v>
      </c>
      <c r="AA145" t="s">
        <v>1193</v>
      </c>
      <c r="AB145">
        <v>7633986618</v>
      </c>
      <c r="AC145"/>
      <c r="AD145">
        <v>7633986543</v>
      </c>
      <c r="AE145" t="s">
        <v>1194</v>
      </c>
      <c r="AF145" t="s">
        <v>1195</v>
      </c>
      <c r="AG145" t="s">
        <v>1196</v>
      </c>
      <c r="AH145" t="s">
        <v>1067</v>
      </c>
      <c r="AI145" t="s">
        <v>737</v>
      </c>
      <c r="AJ145" t="s">
        <v>54</v>
      </c>
      <c r="AK145" t="s">
        <v>2620</v>
      </c>
      <c r="AL145"/>
      <c r="AM145" t="s">
        <v>1197</v>
      </c>
      <c r="AN145" t="s">
        <v>1198</v>
      </c>
      <c r="AO145" t="s">
        <v>731</v>
      </c>
      <c r="AP145" t="s">
        <v>1193</v>
      </c>
      <c r="AQ145">
        <v>7633982208</v>
      </c>
      <c r="AR145"/>
      <c r="AS145">
        <v>7633986543</v>
      </c>
      <c r="AT145" t="s">
        <v>1199</v>
      </c>
      <c r="AU145" t="s">
        <v>1195</v>
      </c>
      <c r="AV145" t="s">
        <v>1196</v>
      </c>
      <c r="AW145" t="s">
        <v>1067</v>
      </c>
      <c r="AX145" t="s">
        <v>737</v>
      </c>
      <c r="AY145" t="s">
        <v>54</v>
      </c>
      <c r="AZ145" t="s">
        <v>2620</v>
      </c>
      <c r="BA145"/>
      <c r="BB145" t="s">
        <v>1185</v>
      </c>
      <c r="BC145" t="s">
        <v>1186</v>
      </c>
      <c r="BD145" t="s">
        <v>1187</v>
      </c>
      <c r="BE145" t="s">
        <v>1193</v>
      </c>
      <c r="BF145">
        <v>7633982201</v>
      </c>
      <c r="BG145"/>
      <c r="BH145">
        <v>7633986543</v>
      </c>
      <c r="BI145" t="s">
        <v>1188</v>
      </c>
      <c r="BJ145" t="s">
        <v>1195</v>
      </c>
      <c r="BK145" t="s">
        <v>1196</v>
      </c>
      <c r="BL145" t="s">
        <v>1067</v>
      </c>
      <c r="BM145" t="s">
        <v>737</v>
      </c>
      <c r="BN145" t="s">
        <v>54</v>
      </c>
      <c r="BO145" t="s">
        <v>2620</v>
      </c>
      <c r="BP145"/>
      <c r="BQ145" t="s">
        <v>1190</v>
      </c>
      <c r="BR145" t="s">
        <v>1191</v>
      </c>
      <c r="BS145" t="s">
        <v>1192</v>
      </c>
      <c r="BT145" t="s">
        <v>1193</v>
      </c>
      <c r="BU145">
        <v>7633986618</v>
      </c>
      <c r="BV145"/>
      <c r="BW145">
        <v>7633986543</v>
      </c>
      <c r="BX145" t="s">
        <v>1194</v>
      </c>
      <c r="BY145" t="s">
        <v>1195</v>
      </c>
      <c r="BZ145" t="s">
        <v>1196</v>
      </c>
      <c r="CA145" t="s">
        <v>1067</v>
      </c>
      <c r="CB145" t="s">
        <v>737</v>
      </c>
      <c r="CC145" t="s">
        <v>54</v>
      </c>
      <c r="CD145" t="s">
        <v>2620</v>
      </c>
      <c r="CE145"/>
      <c r="CF145" t="s">
        <v>1200</v>
      </c>
      <c r="CG145" t="s">
        <v>1202</v>
      </c>
      <c r="CH145" t="s">
        <v>141</v>
      </c>
      <c r="CI145" t="s">
        <v>1201</v>
      </c>
      <c r="CJ145" t="s">
        <v>141</v>
      </c>
      <c r="CK145"/>
      <c r="CL145"/>
      <c r="CM145">
        <v>1922009471</v>
      </c>
      <c r="CN145">
        <v>237</v>
      </c>
      <c r="CO145">
        <v>261</v>
      </c>
      <c r="CP145">
        <v>169</v>
      </c>
      <c r="CQ145">
        <v>170</v>
      </c>
      <c r="CR145">
        <v>261</v>
      </c>
      <c r="CS145" t="s">
        <v>2397</v>
      </c>
      <c r="CT145">
        <v>12</v>
      </c>
      <c r="CU145"/>
      <c r="CV145"/>
      <c r="CW145"/>
      <c r="CX145"/>
      <c r="CY145"/>
      <c r="CZ145"/>
      <c r="DA145"/>
      <c r="DB145"/>
      <c r="DC145"/>
      <c r="DD145">
        <v>128</v>
      </c>
      <c r="DE145" t="s">
        <v>2691</v>
      </c>
      <c r="DF145"/>
      <c r="DG145"/>
      <c r="DH145">
        <v>129</v>
      </c>
      <c r="DI145" t="s">
        <v>2692</v>
      </c>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s="569">
        <v>811</v>
      </c>
      <c r="ET145" t="s">
        <v>2043</v>
      </c>
      <c r="EU145" t="s">
        <v>1060</v>
      </c>
      <c r="EV145" t="s">
        <v>3026</v>
      </c>
      <c r="EW145" t="s">
        <v>1062</v>
      </c>
      <c r="EX145" s="600">
        <v>58102</v>
      </c>
      <c r="EY145">
        <v>1972553758</v>
      </c>
    </row>
    <row r="146" spans="1:155" x14ac:dyDescent="0.2">
      <c r="A146" s="598">
        <v>581</v>
      </c>
      <c r="B146" t="s">
        <v>1205</v>
      </c>
      <c r="C146" t="s">
        <v>1067</v>
      </c>
      <c r="D146" t="s">
        <v>1206</v>
      </c>
      <c r="E146" t="s">
        <v>1207</v>
      </c>
      <c r="F146" t="s">
        <v>737</v>
      </c>
      <c r="G146" t="s">
        <v>54</v>
      </c>
      <c r="H146" t="s">
        <v>2620</v>
      </c>
      <c r="I146"/>
      <c r="J146" t="s">
        <v>1206</v>
      </c>
      <c r="K146" t="s">
        <v>1207</v>
      </c>
      <c r="L146" t="s">
        <v>1067</v>
      </c>
      <c r="M146" t="s">
        <v>737</v>
      </c>
      <c r="N146" t="s">
        <v>54</v>
      </c>
      <c r="O146" t="s">
        <v>2620</v>
      </c>
      <c r="P146"/>
      <c r="Q146">
        <v>7633986390</v>
      </c>
      <c r="R146">
        <v>7633986391</v>
      </c>
      <c r="S146" t="s">
        <v>1185</v>
      </c>
      <c r="T146" t="s">
        <v>1186</v>
      </c>
      <c r="U146" t="s">
        <v>1187</v>
      </c>
      <c r="V146" t="s">
        <v>1188</v>
      </c>
      <c r="W146" t="s">
        <v>1189</v>
      </c>
      <c r="X146" t="s">
        <v>1190</v>
      </c>
      <c r="Y146" t="s">
        <v>1191</v>
      </c>
      <c r="Z146" t="s">
        <v>1208</v>
      </c>
      <c r="AA146" t="s">
        <v>1209</v>
      </c>
      <c r="AB146">
        <v>7633986618</v>
      </c>
      <c r="AC146"/>
      <c r="AD146">
        <v>7633986533</v>
      </c>
      <c r="AE146" t="s">
        <v>1194</v>
      </c>
      <c r="AF146" t="s">
        <v>1210</v>
      </c>
      <c r="AG146" t="s">
        <v>1196</v>
      </c>
      <c r="AH146" t="s">
        <v>1067</v>
      </c>
      <c r="AI146" t="s">
        <v>737</v>
      </c>
      <c r="AJ146" t="s">
        <v>54</v>
      </c>
      <c r="AK146" t="s">
        <v>2620</v>
      </c>
      <c r="AL146"/>
      <c r="AM146" t="s">
        <v>1197</v>
      </c>
      <c r="AN146" t="s">
        <v>1198</v>
      </c>
      <c r="AO146" t="s">
        <v>731</v>
      </c>
      <c r="AP146" t="s">
        <v>1209</v>
      </c>
      <c r="AQ146">
        <v>7633982208</v>
      </c>
      <c r="AR146"/>
      <c r="AS146">
        <v>7633986543</v>
      </c>
      <c r="AT146" t="s">
        <v>1199</v>
      </c>
      <c r="AU146" t="s">
        <v>1195</v>
      </c>
      <c r="AV146" t="s">
        <v>1196</v>
      </c>
      <c r="AW146" t="s">
        <v>1067</v>
      </c>
      <c r="AX146" t="s">
        <v>737</v>
      </c>
      <c r="AY146" t="s">
        <v>54</v>
      </c>
      <c r="AZ146" t="s">
        <v>2620</v>
      </c>
      <c r="BA146"/>
      <c r="BB146" t="s">
        <v>1185</v>
      </c>
      <c r="BC146" t="s">
        <v>1186</v>
      </c>
      <c r="BD146" t="s">
        <v>1187</v>
      </c>
      <c r="BE146" t="s">
        <v>1209</v>
      </c>
      <c r="BF146">
        <v>7633982201</v>
      </c>
      <c r="BG146"/>
      <c r="BH146">
        <v>7633986543</v>
      </c>
      <c r="BI146" t="s">
        <v>1188</v>
      </c>
      <c r="BJ146" t="s">
        <v>1195</v>
      </c>
      <c r="BK146" t="s">
        <v>1196</v>
      </c>
      <c r="BL146" t="s">
        <v>1067</v>
      </c>
      <c r="BM146" t="s">
        <v>737</v>
      </c>
      <c r="BN146" t="s">
        <v>54</v>
      </c>
      <c r="BO146" t="s">
        <v>2620</v>
      </c>
      <c r="BP146"/>
      <c r="BQ146" t="s">
        <v>1190</v>
      </c>
      <c r="BR146" t="s">
        <v>1191</v>
      </c>
      <c r="BS146" t="s">
        <v>1208</v>
      </c>
      <c r="BT146" t="s">
        <v>1209</v>
      </c>
      <c r="BU146">
        <v>7633986618</v>
      </c>
      <c r="BV146"/>
      <c r="BW146">
        <v>7633986533</v>
      </c>
      <c r="BX146" t="s">
        <v>1194</v>
      </c>
      <c r="BY146" t="s">
        <v>1210</v>
      </c>
      <c r="BZ146" t="s">
        <v>1196</v>
      </c>
      <c r="CA146" t="s">
        <v>1067</v>
      </c>
      <c r="CB146" t="s">
        <v>737</v>
      </c>
      <c r="CC146" t="s">
        <v>54</v>
      </c>
      <c r="CD146" t="s">
        <v>2620</v>
      </c>
      <c r="CE146"/>
      <c r="CF146" t="s">
        <v>1200</v>
      </c>
      <c r="CG146" t="s">
        <v>1202</v>
      </c>
      <c r="CH146" t="s">
        <v>141</v>
      </c>
      <c r="CI146" t="s">
        <v>1201</v>
      </c>
      <c r="CJ146" t="s">
        <v>141</v>
      </c>
      <c r="CK146"/>
      <c r="CL146"/>
      <c r="CM146">
        <v>1922009471</v>
      </c>
      <c r="CN146">
        <v>805</v>
      </c>
      <c r="CO146">
        <v>804</v>
      </c>
      <c r="CP146">
        <v>268</v>
      </c>
      <c r="CQ146">
        <v>274</v>
      </c>
      <c r="CR146">
        <v>804</v>
      </c>
      <c r="CS146" t="s">
        <v>2397</v>
      </c>
      <c r="CT146">
        <v>12</v>
      </c>
      <c r="CU146"/>
      <c r="CV146"/>
      <c r="CW146"/>
      <c r="CX146"/>
      <c r="CY146"/>
      <c r="CZ146"/>
      <c r="DA146"/>
      <c r="DB146"/>
      <c r="DC146"/>
      <c r="DD146">
        <v>128</v>
      </c>
      <c r="DE146" t="s">
        <v>2693</v>
      </c>
      <c r="DF146"/>
      <c r="DG146"/>
      <c r="DH146">
        <v>129</v>
      </c>
      <c r="DI146" t="s">
        <v>2694</v>
      </c>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s="569">
        <v>969</v>
      </c>
      <c r="ET146" t="s">
        <v>2044</v>
      </c>
      <c r="EU146" t="s">
        <v>1060</v>
      </c>
      <c r="EV146" t="s">
        <v>3026</v>
      </c>
      <c r="EW146" t="s">
        <v>1062</v>
      </c>
      <c r="EX146" s="600">
        <v>58102</v>
      </c>
      <c r="EY146">
        <v>1972553758</v>
      </c>
    </row>
    <row r="147" spans="1:155" x14ac:dyDescent="0.2">
      <c r="A147" s="598">
        <v>1166</v>
      </c>
      <c r="B147" t="s">
        <v>1211</v>
      </c>
      <c r="C147" t="s">
        <v>1060</v>
      </c>
      <c r="D147" t="s">
        <v>2061</v>
      </c>
      <c r="E147" t="s">
        <v>2062</v>
      </c>
      <c r="F147"/>
      <c r="G147" t="s">
        <v>1062</v>
      </c>
      <c r="H147" t="s">
        <v>2695</v>
      </c>
      <c r="I147"/>
      <c r="J147" t="s">
        <v>2061</v>
      </c>
      <c r="K147" t="s">
        <v>2062</v>
      </c>
      <c r="L147" t="s">
        <v>1060</v>
      </c>
      <c r="M147" t="s">
        <v>1061</v>
      </c>
      <c r="N147" t="s">
        <v>1062</v>
      </c>
      <c r="O147" t="s">
        <v>2695</v>
      </c>
      <c r="P147" t="s">
        <v>2696</v>
      </c>
      <c r="Q147">
        <v>7012970305</v>
      </c>
      <c r="R147">
        <v>7012354847</v>
      </c>
      <c r="S147" t="s">
        <v>804</v>
      </c>
      <c r="T147" t="s">
        <v>1053</v>
      </c>
      <c r="U147" t="s">
        <v>1212</v>
      </c>
      <c r="V147" t="s">
        <v>2162</v>
      </c>
      <c r="W147" t="s">
        <v>2033</v>
      </c>
      <c r="X147" t="s">
        <v>1063</v>
      </c>
      <c r="Y147" t="s">
        <v>2697</v>
      </c>
      <c r="Z147" t="s">
        <v>1213</v>
      </c>
      <c r="AA147" t="s">
        <v>1056</v>
      </c>
      <c r="AB147">
        <v>7012970305</v>
      </c>
      <c r="AC147"/>
      <c r="AD147">
        <v>7012354847</v>
      </c>
      <c r="AE147" t="s">
        <v>2698</v>
      </c>
      <c r="AF147" t="s">
        <v>2061</v>
      </c>
      <c r="AG147" t="s">
        <v>2062</v>
      </c>
      <c r="AH147" t="s">
        <v>1060</v>
      </c>
      <c r="AI147" t="s">
        <v>1061</v>
      </c>
      <c r="AJ147" t="s">
        <v>1062</v>
      </c>
      <c r="AK147" t="s">
        <v>2695</v>
      </c>
      <c r="AL147" t="s">
        <v>2696</v>
      </c>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t="s">
        <v>1214</v>
      </c>
      <c r="CG147" t="s">
        <v>1056</v>
      </c>
      <c r="CH147" t="s">
        <v>141</v>
      </c>
      <c r="CI147"/>
      <c r="CJ147"/>
      <c r="CK147"/>
      <c r="CL147"/>
      <c r="CM147"/>
      <c r="CN147">
        <v>251</v>
      </c>
      <c r="CO147">
        <v>225</v>
      </c>
      <c r="CP147"/>
      <c r="CQ147"/>
      <c r="CR147"/>
      <c r="CS147" t="s">
        <v>2397</v>
      </c>
      <c r="CT147">
        <v>12</v>
      </c>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s="569">
        <v>985</v>
      </c>
      <c r="ET147" t="s">
        <v>2636</v>
      </c>
      <c r="EU147" t="s">
        <v>1060</v>
      </c>
      <c r="EV147" t="s">
        <v>3026</v>
      </c>
      <c r="EW147" t="s">
        <v>1062</v>
      </c>
      <c r="EX147" s="600">
        <v>58102</v>
      </c>
      <c r="EY147">
        <v>1972553758</v>
      </c>
    </row>
    <row r="148" spans="1:155" x14ac:dyDescent="0.2">
      <c r="A148" s="598">
        <v>1141</v>
      </c>
      <c r="B148" t="s">
        <v>1215</v>
      </c>
      <c r="C148" t="s">
        <v>1216</v>
      </c>
      <c r="D148" t="s">
        <v>1217</v>
      </c>
      <c r="E148"/>
      <c r="F148"/>
      <c r="G148" t="s">
        <v>1218</v>
      </c>
      <c r="H148" t="s">
        <v>2699</v>
      </c>
      <c r="I148" t="s">
        <v>2700</v>
      </c>
      <c r="J148" t="s">
        <v>1217</v>
      </c>
      <c r="K148"/>
      <c r="L148" t="s">
        <v>1216</v>
      </c>
      <c r="M148"/>
      <c r="N148" t="s">
        <v>1218</v>
      </c>
      <c r="O148" t="s">
        <v>2699</v>
      </c>
      <c r="P148" t="s">
        <v>2700</v>
      </c>
      <c r="Q148">
        <v>7407455103</v>
      </c>
      <c r="R148">
        <v>7407455273</v>
      </c>
      <c r="S148"/>
      <c r="T148"/>
      <c r="U148"/>
      <c r="V148"/>
      <c r="W148"/>
      <c r="X148" t="s">
        <v>1219</v>
      </c>
      <c r="Y148" t="s">
        <v>1220</v>
      </c>
      <c r="Z148" t="s">
        <v>2701</v>
      </c>
      <c r="AA148" t="s">
        <v>1221</v>
      </c>
      <c r="AB148">
        <v>7407455103</v>
      </c>
      <c r="AC148"/>
      <c r="AD148">
        <v>7407455273</v>
      </c>
      <c r="AE148" t="s">
        <v>1222</v>
      </c>
      <c r="AF148" t="s">
        <v>1217</v>
      </c>
      <c r="AG148"/>
      <c r="AH148" t="s">
        <v>1216</v>
      </c>
      <c r="AI148"/>
      <c r="AJ148" t="s">
        <v>1218</v>
      </c>
      <c r="AK148" t="s">
        <v>2699</v>
      </c>
      <c r="AL148" t="s">
        <v>2700</v>
      </c>
      <c r="AM148" t="s">
        <v>1223</v>
      </c>
      <c r="AN148" t="s">
        <v>1224</v>
      </c>
      <c r="AO148" t="s">
        <v>1225</v>
      </c>
      <c r="AP148" t="s">
        <v>1221</v>
      </c>
      <c r="AQ148">
        <v>8883674327</v>
      </c>
      <c r="AR148"/>
      <c r="AS148">
        <v>9494520144</v>
      </c>
      <c r="AT148" t="s">
        <v>1226</v>
      </c>
      <c r="AU148" t="s">
        <v>1217</v>
      </c>
      <c r="AV148"/>
      <c r="AW148" t="s">
        <v>1216</v>
      </c>
      <c r="AX148"/>
      <c r="AY148" t="s">
        <v>1218</v>
      </c>
      <c r="AZ148" t="s">
        <v>2699</v>
      </c>
      <c r="BA148" t="s">
        <v>2700</v>
      </c>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t="s">
        <v>755</v>
      </c>
      <c r="CH148" t="s">
        <v>56</v>
      </c>
      <c r="CI148"/>
      <c r="CJ148"/>
      <c r="CK148"/>
      <c r="CL148"/>
      <c r="CM148"/>
      <c r="CN148">
        <v>2151</v>
      </c>
      <c r="CO148">
        <v>2152</v>
      </c>
      <c r="CP148">
        <v>2845</v>
      </c>
      <c r="CQ148"/>
      <c r="CR148"/>
      <c r="CS148" t="s">
        <v>2397</v>
      </c>
      <c r="CT148">
        <v>12</v>
      </c>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s="569">
        <v>875</v>
      </c>
      <c r="ET148" t="s">
        <v>1103</v>
      </c>
      <c r="EU148" t="s">
        <v>1060</v>
      </c>
      <c r="EV148" t="s">
        <v>3026</v>
      </c>
      <c r="EW148" t="s">
        <v>1062</v>
      </c>
      <c r="EX148" s="600">
        <v>58102</v>
      </c>
      <c r="EY148">
        <v>1972553758</v>
      </c>
    </row>
    <row r="149" spans="1:155" x14ac:dyDescent="0.2">
      <c r="A149" s="598">
        <v>977</v>
      </c>
      <c r="B149" t="s">
        <v>1227</v>
      </c>
      <c r="C149" t="s">
        <v>1067</v>
      </c>
      <c r="D149" t="s">
        <v>1114</v>
      </c>
      <c r="E149"/>
      <c r="F149" t="s">
        <v>737</v>
      </c>
      <c r="G149" t="s">
        <v>54</v>
      </c>
      <c r="H149" t="s">
        <v>2615</v>
      </c>
      <c r="I149"/>
      <c r="J149" t="s">
        <v>1114</v>
      </c>
      <c r="K149"/>
      <c r="L149" t="s">
        <v>1067</v>
      </c>
      <c r="M149" t="s">
        <v>737</v>
      </c>
      <c r="N149" t="s">
        <v>54</v>
      </c>
      <c r="O149" t="s">
        <v>2615</v>
      </c>
      <c r="P149"/>
      <c r="Q149">
        <v>7635539900</v>
      </c>
      <c r="R149">
        <v>7633747610</v>
      </c>
      <c r="S149" t="s">
        <v>1115</v>
      </c>
      <c r="T149" t="s">
        <v>1116</v>
      </c>
      <c r="U149" t="s">
        <v>873</v>
      </c>
      <c r="V149" t="s">
        <v>1118</v>
      </c>
      <c r="W149"/>
      <c r="X149" t="s">
        <v>1115</v>
      </c>
      <c r="Y149" t="s">
        <v>1116</v>
      </c>
      <c r="Z149"/>
      <c r="AA149" t="s">
        <v>1117</v>
      </c>
      <c r="AB149">
        <v>7635339900</v>
      </c>
      <c r="AC149"/>
      <c r="AD149">
        <v>7633747610</v>
      </c>
      <c r="AE149" t="s">
        <v>1118</v>
      </c>
      <c r="AF149" t="s">
        <v>754</v>
      </c>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t="s">
        <v>1228</v>
      </c>
      <c r="CG149" t="s">
        <v>1117</v>
      </c>
      <c r="CH149" t="s">
        <v>56</v>
      </c>
      <c r="CI149"/>
      <c r="CJ149"/>
      <c r="CK149"/>
      <c r="CL149"/>
      <c r="CM149"/>
      <c r="CN149">
        <v>2963</v>
      </c>
      <c r="CO149">
        <v>2973</v>
      </c>
      <c r="CP149"/>
      <c r="CQ149"/>
      <c r="CR149"/>
      <c r="CS149" t="s">
        <v>2397</v>
      </c>
      <c r="CT149">
        <v>12</v>
      </c>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s="569">
        <v>1269</v>
      </c>
      <c r="ET149" t="s">
        <v>2045</v>
      </c>
      <c r="EU149" t="s">
        <v>1060</v>
      </c>
      <c r="EV149" t="s">
        <v>3026</v>
      </c>
      <c r="EW149" t="s">
        <v>1062</v>
      </c>
      <c r="EX149" s="600">
        <v>58102</v>
      </c>
      <c r="EY149">
        <v>1972553758</v>
      </c>
    </row>
    <row r="150" spans="1:155" x14ac:dyDescent="0.2">
      <c r="A150" s="598">
        <v>976</v>
      </c>
      <c r="B150" t="s">
        <v>1229</v>
      </c>
      <c r="C150" t="s">
        <v>1067</v>
      </c>
      <c r="D150" t="s">
        <v>1114</v>
      </c>
      <c r="E150"/>
      <c r="F150" t="s">
        <v>737</v>
      </c>
      <c r="G150" t="s">
        <v>54</v>
      </c>
      <c r="H150" t="s">
        <v>2615</v>
      </c>
      <c r="I150"/>
      <c r="J150" t="s">
        <v>1114</v>
      </c>
      <c r="K150"/>
      <c r="L150" t="s">
        <v>1067</v>
      </c>
      <c r="M150" t="s">
        <v>737</v>
      </c>
      <c r="N150" t="s">
        <v>54</v>
      </c>
      <c r="O150" t="s">
        <v>2615</v>
      </c>
      <c r="P150"/>
      <c r="Q150">
        <v>7635539900</v>
      </c>
      <c r="R150">
        <v>7633747610</v>
      </c>
      <c r="S150" t="s">
        <v>1115</v>
      </c>
      <c r="T150" t="s">
        <v>1116</v>
      </c>
      <c r="U150" t="s">
        <v>873</v>
      </c>
      <c r="V150" t="s">
        <v>1118</v>
      </c>
      <c r="W150"/>
      <c r="X150" t="s">
        <v>1115</v>
      </c>
      <c r="Y150" t="s">
        <v>1116</v>
      </c>
      <c r="Z150"/>
      <c r="AA150" t="s">
        <v>1117</v>
      </c>
      <c r="AB150">
        <v>7635339900</v>
      </c>
      <c r="AC150"/>
      <c r="AD150">
        <v>7633747610</v>
      </c>
      <c r="AE150" t="s">
        <v>1118</v>
      </c>
      <c r="AF150" t="s">
        <v>754</v>
      </c>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t="s">
        <v>1228</v>
      </c>
      <c r="CG150" t="s">
        <v>1117</v>
      </c>
      <c r="CH150"/>
      <c r="CI150"/>
      <c r="CJ150"/>
      <c r="CK150"/>
      <c r="CL150"/>
      <c r="CM150"/>
      <c r="CN150">
        <v>2963</v>
      </c>
      <c r="CO150">
        <v>2973</v>
      </c>
      <c r="CP150"/>
      <c r="CQ150"/>
      <c r="CR150"/>
      <c r="CS150" t="s">
        <v>2397</v>
      </c>
      <c r="CT150">
        <v>12</v>
      </c>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s="569">
        <v>945</v>
      </c>
      <c r="ET150" t="s">
        <v>1104</v>
      </c>
      <c r="EU150" t="s">
        <v>1060</v>
      </c>
      <c r="EV150" t="s">
        <v>3026</v>
      </c>
      <c r="EW150" t="s">
        <v>1062</v>
      </c>
      <c r="EX150" s="600">
        <v>58102</v>
      </c>
      <c r="EY150">
        <v>1972553758</v>
      </c>
    </row>
    <row r="151" spans="1:155" x14ac:dyDescent="0.2">
      <c r="A151" s="598">
        <v>1017</v>
      </c>
      <c r="B151" t="s">
        <v>1230</v>
      </c>
      <c r="C151" t="s">
        <v>844</v>
      </c>
      <c r="D151" t="s">
        <v>1231</v>
      </c>
      <c r="E151"/>
      <c r="F151" t="s">
        <v>846</v>
      </c>
      <c r="G151" t="s">
        <v>54</v>
      </c>
      <c r="H151" t="s">
        <v>2530</v>
      </c>
      <c r="I151"/>
      <c r="J151" t="s">
        <v>1232</v>
      </c>
      <c r="K151"/>
      <c r="L151" t="s">
        <v>844</v>
      </c>
      <c r="M151" t="s">
        <v>846</v>
      </c>
      <c r="N151" t="s">
        <v>54</v>
      </c>
      <c r="O151" t="s">
        <v>2528</v>
      </c>
      <c r="P151"/>
      <c r="Q151">
        <v>3202291500</v>
      </c>
      <c r="R151">
        <v>3202291505</v>
      </c>
      <c r="S151" t="s">
        <v>1233</v>
      </c>
      <c r="T151" t="s">
        <v>1234</v>
      </c>
      <c r="U151" t="s">
        <v>729</v>
      </c>
      <c r="V151" t="s">
        <v>1235</v>
      </c>
      <c r="W151"/>
      <c r="X151" t="s">
        <v>1236</v>
      </c>
      <c r="Y151" t="s">
        <v>1237</v>
      </c>
      <c r="Z151" t="s">
        <v>1238</v>
      </c>
      <c r="AA151" t="s">
        <v>1230</v>
      </c>
      <c r="AB151">
        <v>3202291500</v>
      </c>
      <c r="AC151">
        <v>108</v>
      </c>
      <c r="AD151">
        <v>3202291505</v>
      </c>
      <c r="AE151" t="s">
        <v>1239</v>
      </c>
      <c r="AF151" t="s">
        <v>1232</v>
      </c>
      <c r="AG151"/>
      <c r="AH151" t="s">
        <v>844</v>
      </c>
      <c r="AI151" t="s">
        <v>846</v>
      </c>
      <c r="AJ151" t="s">
        <v>54</v>
      </c>
      <c r="AK151" t="s">
        <v>2528</v>
      </c>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t="s">
        <v>1236</v>
      </c>
      <c r="BR151" t="s">
        <v>1237</v>
      </c>
      <c r="BS151" t="s">
        <v>1238</v>
      </c>
      <c r="BT151" t="s">
        <v>1230</v>
      </c>
      <c r="BU151">
        <v>3202291500</v>
      </c>
      <c r="BV151">
        <v>108</v>
      </c>
      <c r="BW151">
        <v>3202291505</v>
      </c>
      <c r="BX151" t="s">
        <v>1239</v>
      </c>
      <c r="BY151" t="s">
        <v>1232</v>
      </c>
      <c r="BZ151"/>
      <c r="CA151" t="s">
        <v>844</v>
      </c>
      <c r="CB151" t="s">
        <v>846</v>
      </c>
      <c r="CC151" t="s">
        <v>54</v>
      </c>
      <c r="CD151" t="s">
        <v>2528</v>
      </c>
      <c r="CE151"/>
      <c r="CF151" t="s">
        <v>1240</v>
      </c>
      <c r="CG151" t="s">
        <v>755</v>
      </c>
      <c r="CH151"/>
      <c r="CI151"/>
      <c r="CJ151"/>
      <c r="CK151"/>
      <c r="CL151"/>
      <c r="CM151">
        <v>1013056969</v>
      </c>
      <c r="CN151">
        <v>347</v>
      </c>
      <c r="CO151">
        <v>339</v>
      </c>
      <c r="CP151"/>
      <c r="CQ151"/>
      <c r="CR151">
        <v>339</v>
      </c>
      <c r="CS151" t="s">
        <v>2397</v>
      </c>
      <c r="CT151">
        <v>12</v>
      </c>
      <c r="CU151">
        <v>223</v>
      </c>
      <c r="CV151"/>
      <c r="CW151"/>
      <c r="CX151"/>
      <c r="CY151"/>
      <c r="CZ151"/>
      <c r="DA151"/>
      <c r="DB151"/>
      <c r="DC151"/>
      <c r="DD151">
        <v>128</v>
      </c>
      <c r="DE151" t="s">
        <v>2438</v>
      </c>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s="569">
        <v>950</v>
      </c>
      <c r="ET151" t="s">
        <v>1105</v>
      </c>
      <c r="EU151" t="s">
        <v>1060</v>
      </c>
      <c r="EV151" t="s">
        <v>3026</v>
      </c>
      <c r="EW151" t="s">
        <v>1062</v>
      </c>
      <c r="EX151" s="600">
        <v>58102</v>
      </c>
      <c r="EY151">
        <v>1972553758</v>
      </c>
    </row>
    <row r="152" spans="1:155" x14ac:dyDescent="0.2">
      <c r="A152" s="598">
        <v>1066</v>
      </c>
      <c r="B152" t="s">
        <v>1242</v>
      </c>
      <c r="C152" t="s">
        <v>1081</v>
      </c>
      <c r="D152" t="s">
        <v>1243</v>
      </c>
      <c r="E152" t="s">
        <v>1244</v>
      </c>
      <c r="F152" t="s">
        <v>916</v>
      </c>
      <c r="G152" t="s">
        <v>54</v>
      </c>
      <c r="H152" t="s">
        <v>2619</v>
      </c>
      <c r="I152"/>
      <c r="J152" t="s">
        <v>1243</v>
      </c>
      <c r="K152" t="s">
        <v>1244</v>
      </c>
      <c r="L152" t="s">
        <v>1081</v>
      </c>
      <c r="M152" t="s">
        <v>916</v>
      </c>
      <c r="N152" t="s">
        <v>54</v>
      </c>
      <c r="O152" t="s">
        <v>2619</v>
      </c>
      <c r="P152"/>
      <c r="Q152">
        <v>2184548888</v>
      </c>
      <c r="R152">
        <v>8888357231</v>
      </c>
      <c r="S152" t="s">
        <v>1245</v>
      </c>
      <c r="T152" t="s">
        <v>1246</v>
      </c>
      <c r="U152" t="s">
        <v>1247</v>
      </c>
      <c r="V152" t="s">
        <v>1248</v>
      </c>
      <c r="W152" t="s">
        <v>1249</v>
      </c>
      <c r="X152" t="s">
        <v>1245</v>
      </c>
      <c r="Y152" t="s">
        <v>1246</v>
      </c>
      <c r="Z152" t="s">
        <v>1247</v>
      </c>
      <c r="AA152" t="s">
        <v>1242</v>
      </c>
      <c r="AB152">
        <v>2184543077</v>
      </c>
      <c r="AC152"/>
      <c r="AD152">
        <v>8888357231</v>
      </c>
      <c r="AE152" t="s">
        <v>1248</v>
      </c>
      <c r="AF152" t="s">
        <v>1243</v>
      </c>
      <c r="AG152" t="s">
        <v>1244</v>
      </c>
      <c r="AH152" t="s">
        <v>1081</v>
      </c>
      <c r="AI152" t="s">
        <v>916</v>
      </c>
      <c r="AJ152" t="s">
        <v>54</v>
      </c>
      <c r="AK152" t="s">
        <v>2619</v>
      </c>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t="s">
        <v>1250</v>
      </c>
      <c r="CG152" t="s">
        <v>755</v>
      </c>
      <c r="CH152" t="s">
        <v>56</v>
      </c>
      <c r="CI152"/>
      <c r="CJ152"/>
      <c r="CK152"/>
      <c r="CL152"/>
      <c r="CM152">
        <v>1265583652</v>
      </c>
      <c r="CN152">
        <v>2051</v>
      </c>
      <c r="CO152">
        <v>2077</v>
      </c>
      <c r="CP152"/>
      <c r="CQ152"/>
      <c r="CR152"/>
      <c r="CS152" t="s">
        <v>2397</v>
      </c>
      <c r="CT152">
        <v>12</v>
      </c>
      <c r="CU152"/>
      <c r="CV152"/>
      <c r="CW152"/>
      <c r="CX152"/>
      <c r="CY152"/>
      <c r="CZ152"/>
      <c r="DA152"/>
      <c r="DB152"/>
      <c r="DC152"/>
      <c r="DD152"/>
      <c r="DE152"/>
      <c r="DF152"/>
      <c r="DG152"/>
      <c r="DH152"/>
      <c r="DI152"/>
      <c r="DJ152"/>
      <c r="DK152"/>
      <c r="DL152"/>
      <c r="DM152"/>
      <c r="DN152">
        <v>133</v>
      </c>
      <c r="DO152" t="s">
        <v>2702</v>
      </c>
      <c r="DP152"/>
      <c r="DQ152"/>
      <c r="DR152"/>
      <c r="DS152"/>
      <c r="DT152"/>
      <c r="DU152"/>
      <c r="DV152"/>
      <c r="DW152"/>
      <c r="DX152"/>
      <c r="DY152"/>
      <c r="DZ152"/>
      <c r="EA152"/>
      <c r="EB152"/>
      <c r="EC152"/>
      <c r="ED152"/>
      <c r="EE152"/>
      <c r="EF152"/>
      <c r="EG152"/>
      <c r="EH152"/>
      <c r="EI152"/>
      <c r="EJ152"/>
      <c r="EK152"/>
      <c r="EL152"/>
      <c r="EM152"/>
      <c r="EN152"/>
      <c r="EO152"/>
      <c r="EP152"/>
      <c r="EQ152"/>
      <c r="ER152"/>
      <c r="ES152" s="569">
        <v>951</v>
      </c>
      <c r="ET152" t="s">
        <v>1106</v>
      </c>
      <c r="EU152" t="s">
        <v>1060</v>
      </c>
      <c r="EV152" t="s">
        <v>3026</v>
      </c>
      <c r="EW152" t="s">
        <v>1062</v>
      </c>
      <c r="EX152" s="600">
        <v>58102</v>
      </c>
      <c r="EY152">
        <v>1972553758</v>
      </c>
    </row>
    <row r="153" spans="1:155" x14ac:dyDescent="0.2">
      <c r="A153" s="598">
        <v>509</v>
      </c>
      <c r="B153" t="s">
        <v>2703</v>
      </c>
      <c r="C153" t="s">
        <v>1251</v>
      </c>
      <c r="D153" t="s">
        <v>1252</v>
      </c>
      <c r="E153"/>
      <c r="F153" t="s">
        <v>916</v>
      </c>
      <c r="G153" t="s">
        <v>54</v>
      </c>
      <c r="H153" t="s">
        <v>2704</v>
      </c>
      <c r="I153"/>
      <c r="J153" t="s">
        <v>1252</v>
      </c>
      <c r="K153"/>
      <c r="L153" t="s">
        <v>1251</v>
      </c>
      <c r="M153" t="s">
        <v>916</v>
      </c>
      <c r="N153" t="s">
        <v>54</v>
      </c>
      <c r="O153" t="s">
        <v>2704</v>
      </c>
      <c r="P153"/>
      <c r="Q153">
        <v>2188226736</v>
      </c>
      <c r="R153">
        <v>2188223758</v>
      </c>
      <c r="S153" t="s">
        <v>1253</v>
      </c>
      <c r="T153" t="s">
        <v>1254</v>
      </c>
      <c r="U153" t="s">
        <v>1462</v>
      </c>
      <c r="V153" t="s">
        <v>1255</v>
      </c>
      <c r="W153" t="s">
        <v>1256</v>
      </c>
      <c r="X153" t="s">
        <v>1253</v>
      </c>
      <c r="Y153" t="s">
        <v>1254</v>
      </c>
      <c r="Z153" t="s">
        <v>1462</v>
      </c>
      <c r="AA153" t="s">
        <v>2703</v>
      </c>
      <c r="AB153">
        <v>2188395174</v>
      </c>
      <c r="AC153"/>
      <c r="AD153">
        <v>2188223758</v>
      </c>
      <c r="AE153" t="s">
        <v>1255</v>
      </c>
      <c r="AF153" t="s">
        <v>1252</v>
      </c>
      <c r="AG153"/>
      <c r="AH153" t="s">
        <v>1251</v>
      </c>
      <c r="AI153" t="s">
        <v>916</v>
      </c>
      <c r="AJ153" t="s">
        <v>54</v>
      </c>
      <c r="AK153" t="s">
        <v>2704</v>
      </c>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t="s">
        <v>1253</v>
      </c>
      <c r="BR153" t="s">
        <v>1254</v>
      </c>
      <c r="BS153" t="s">
        <v>1462</v>
      </c>
      <c r="BT153" t="s">
        <v>2703</v>
      </c>
      <c r="BU153">
        <v>2188395174</v>
      </c>
      <c r="BV153"/>
      <c r="BW153">
        <v>2188223758</v>
      </c>
      <c r="BX153" t="s">
        <v>1255</v>
      </c>
      <c r="BY153" t="s">
        <v>1252</v>
      </c>
      <c r="BZ153"/>
      <c r="CA153" t="s">
        <v>1251</v>
      </c>
      <c r="CB153" t="s">
        <v>916</v>
      </c>
      <c r="CC153" t="s">
        <v>54</v>
      </c>
      <c r="CD153" t="s">
        <v>2704</v>
      </c>
      <c r="CE153"/>
      <c r="CF153" t="s">
        <v>1257</v>
      </c>
      <c r="CG153" t="s">
        <v>856</v>
      </c>
      <c r="CH153" t="s">
        <v>141</v>
      </c>
      <c r="CI153"/>
      <c r="CJ153"/>
      <c r="CK153"/>
      <c r="CL153"/>
      <c r="CM153">
        <v>1437182839</v>
      </c>
      <c r="CN153">
        <v>449</v>
      </c>
      <c r="CO153">
        <v>166</v>
      </c>
      <c r="CP153"/>
      <c r="CQ153"/>
      <c r="CR153">
        <v>166</v>
      </c>
      <c r="CS153" t="s">
        <v>2397</v>
      </c>
      <c r="CT153">
        <v>12</v>
      </c>
      <c r="CU153">
        <v>127</v>
      </c>
      <c r="CV153"/>
      <c r="CW153"/>
      <c r="CX153"/>
      <c r="CY153"/>
      <c r="CZ153"/>
      <c r="DA153"/>
      <c r="DB153"/>
      <c r="DC153"/>
      <c r="DD153">
        <v>128</v>
      </c>
      <c r="DE153" t="s">
        <v>2705</v>
      </c>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s="569">
        <v>952</v>
      </c>
      <c r="ET153" t="s">
        <v>1107</v>
      </c>
      <c r="EU153" t="s">
        <v>1060</v>
      </c>
      <c r="EV153" t="s">
        <v>3026</v>
      </c>
      <c r="EW153" t="s">
        <v>1062</v>
      </c>
      <c r="EX153" s="600">
        <v>58102</v>
      </c>
      <c r="EY153">
        <v>1972553758</v>
      </c>
    </row>
    <row r="154" spans="1:155" x14ac:dyDescent="0.2">
      <c r="A154" s="598">
        <v>589</v>
      </c>
      <c r="B154" t="s">
        <v>1258</v>
      </c>
      <c r="C154" t="s">
        <v>1259</v>
      </c>
      <c r="D154" t="s">
        <v>1260</v>
      </c>
      <c r="E154"/>
      <c r="F154" t="s">
        <v>1261</v>
      </c>
      <c r="G154" t="s">
        <v>54</v>
      </c>
      <c r="H154" t="s">
        <v>2706</v>
      </c>
      <c r="I154"/>
      <c r="J154" t="s">
        <v>1260</v>
      </c>
      <c r="K154"/>
      <c r="L154" t="s">
        <v>1259</v>
      </c>
      <c r="M154" t="s">
        <v>1261</v>
      </c>
      <c r="N154" t="s">
        <v>54</v>
      </c>
      <c r="O154" t="s">
        <v>2706</v>
      </c>
      <c r="P154"/>
      <c r="Q154">
        <v>9524424461</v>
      </c>
      <c r="R154">
        <v>9524421547</v>
      </c>
      <c r="S154" t="s">
        <v>1262</v>
      </c>
      <c r="T154" t="s">
        <v>1047</v>
      </c>
      <c r="U154" t="s">
        <v>729</v>
      </c>
      <c r="V154" t="s">
        <v>1263</v>
      </c>
      <c r="W154"/>
      <c r="X154" t="s">
        <v>1264</v>
      </c>
      <c r="Y154" t="s">
        <v>1265</v>
      </c>
      <c r="Z154" t="s">
        <v>1266</v>
      </c>
      <c r="AA154" t="s">
        <v>1258</v>
      </c>
      <c r="AB154">
        <v>9524424461</v>
      </c>
      <c r="AC154">
        <v>7223</v>
      </c>
      <c r="AD154">
        <v>9524421547</v>
      </c>
      <c r="AE154" t="s">
        <v>1267</v>
      </c>
      <c r="AF154" t="s">
        <v>1260</v>
      </c>
      <c r="AG154"/>
      <c r="AH154" t="s">
        <v>1259</v>
      </c>
      <c r="AI154" t="s">
        <v>1261</v>
      </c>
      <c r="AJ154" t="s">
        <v>54</v>
      </c>
      <c r="AK154" t="s">
        <v>2706</v>
      </c>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t="s">
        <v>1262</v>
      </c>
      <c r="BR154" t="s">
        <v>1047</v>
      </c>
      <c r="BS154" t="s">
        <v>729</v>
      </c>
      <c r="BT154" t="s">
        <v>1258</v>
      </c>
      <c r="BU154">
        <v>9524424461</v>
      </c>
      <c r="BV154"/>
      <c r="BW154">
        <v>9524421547</v>
      </c>
      <c r="BX154" t="s">
        <v>1263</v>
      </c>
      <c r="BY154" t="s">
        <v>754</v>
      </c>
      <c r="BZ154"/>
      <c r="CA154"/>
      <c r="CB154"/>
      <c r="CC154"/>
      <c r="CD154"/>
      <c r="CE154"/>
      <c r="CF154" t="s">
        <v>1268</v>
      </c>
      <c r="CG154" t="s">
        <v>755</v>
      </c>
      <c r="CH154"/>
      <c r="CI154"/>
      <c r="CJ154"/>
      <c r="CK154"/>
      <c r="CL154"/>
      <c r="CM154">
        <v>1669599981</v>
      </c>
      <c r="CN154">
        <v>361</v>
      </c>
      <c r="CO154">
        <v>141</v>
      </c>
      <c r="CP154"/>
      <c r="CQ154"/>
      <c r="CR154">
        <v>362</v>
      </c>
      <c r="CS154" t="s">
        <v>2397</v>
      </c>
      <c r="CT154">
        <v>12</v>
      </c>
      <c r="CU154"/>
      <c r="CV154"/>
      <c r="CW154"/>
      <c r="CX154"/>
      <c r="CY154"/>
      <c r="CZ154"/>
      <c r="DA154"/>
      <c r="DB154"/>
      <c r="DC154"/>
      <c r="DD154">
        <v>128</v>
      </c>
      <c r="DE154" t="s">
        <v>2707</v>
      </c>
      <c r="DF154"/>
      <c r="DG154"/>
      <c r="DH154">
        <v>129</v>
      </c>
      <c r="DI154" t="s">
        <v>2439</v>
      </c>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s="569">
        <v>1270</v>
      </c>
      <c r="ET154" t="s">
        <v>2046</v>
      </c>
      <c r="EU154" t="s">
        <v>1060</v>
      </c>
      <c r="EV154" t="s">
        <v>3026</v>
      </c>
      <c r="EW154" t="s">
        <v>1062</v>
      </c>
      <c r="EX154" s="600">
        <v>58102</v>
      </c>
      <c r="EY154">
        <v>1972553758</v>
      </c>
    </row>
    <row r="155" spans="1:155" x14ac:dyDescent="0.2">
      <c r="A155" s="598">
        <v>536</v>
      </c>
      <c r="B155" t="s">
        <v>1269</v>
      </c>
      <c r="C155" t="s">
        <v>1049</v>
      </c>
      <c r="D155" t="s">
        <v>1270</v>
      </c>
      <c r="E155" t="s">
        <v>1271</v>
      </c>
      <c r="F155" t="s">
        <v>737</v>
      </c>
      <c r="G155" t="s">
        <v>54</v>
      </c>
      <c r="H155" t="s">
        <v>2433</v>
      </c>
      <c r="I155"/>
      <c r="J155" t="s">
        <v>1270</v>
      </c>
      <c r="K155" t="s">
        <v>1271</v>
      </c>
      <c r="L155" t="s">
        <v>1049</v>
      </c>
      <c r="M155" t="s">
        <v>737</v>
      </c>
      <c r="N155" t="s">
        <v>54</v>
      </c>
      <c r="O155" t="s">
        <v>2433</v>
      </c>
      <c r="P155"/>
      <c r="Q155">
        <v>9529379700</v>
      </c>
      <c r="R155">
        <v>9529379701</v>
      </c>
      <c r="S155" t="s">
        <v>1262</v>
      </c>
      <c r="T155" t="s">
        <v>2064</v>
      </c>
      <c r="U155" t="s">
        <v>1084</v>
      </c>
      <c r="V155" t="s">
        <v>2065</v>
      </c>
      <c r="W155"/>
      <c r="X155" t="s">
        <v>1272</v>
      </c>
      <c r="Y155" t="s">
        <v>1273</v>
      </c>
      <c r="Z155" t="s">
        <v>1274</v>
      </c>
      <c r="AA155" t="s">
        <v>1275</v>
      </c>
      <c r="AB155">
        <v>9528379752</v>
      </c>
      <c r="AC155"/>
      <c r="AD155">
        <v>9528379701</v>
      </c>
      <c r="AE155" t="s">
        <v>1276</v>
      </c>
      <c r="AF155" t="s">
        <v>1277</v>
      </c>
      <c r="AG155" t="s">
        <v>1278</v>
      </c>
      <c r="AH155" t="s">
        <v>1279</v>
      </c>
      <c r="AI155" t="s">
        <v>737</v>
      </c>
      <c r="AJ155" t="s">
        <v>54</v>
      </c>
      <c r="AK155" t="s">
        <v>2708</v>
      </c>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t="s">
        <v>1280</v>
      </c>
      <c r="CH155" t="s">
        <v>141</v>
      </c>
      <c r="CI155" t="s">
        <v>1066</v>
      </c>
      <c r="CJ155" t="s">
        <v>141</v>
      </c>
      <c r="CK155"/>
      <c r="CL155"/>
      <c r="CM155">
        <v>1396748307</v>
      </c>
      <c r="CN155">
        <v>2284</v>
      </c>
      <c r="CO155">
        <v>1159</v>
      </c>
      <c r="CP155"/>
      <c r="CQ155"/>
      <c r="CR155"/>
      <c r="CS155" t="s">
        <v>2397</v>
      </c>
      <c r="CT155">
        <v>12</v>
      </c>
      <c r="CU155">
        <v>130</v>
      </c>
      <c r="CV155"/>
      <c r="CW155"/>
      <c r="CX155"/>
      <c r="CY155"/>
      <c r="CZ155"/>
      <c r="DA155"/>
      <c r="DB155"/>
      <c r="DC155"/>
      <c r="DD155"/>
      <c r="DE155"/>
      <c r="DF155">
        <v>131</v>
      </c>
      <c r="DG155" t="s">
        <v>2709</v>
      </c>
      <c r="DH155">
        <v>129</v>
      </c>
      <c r="DI155" t="s">
        <v>2710</v>
      </c>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s="569">
        <v>603</v>
      </c>
      <c r="ET155" t="s">
        <v>2637</v>
      </c>
      <c r="EU155" t="s">
        <v>1060</v>
      </c>
      <c r="EV155" t="s">
        <v>3026</v>
      </c>
      <c r="EW155" t="s">
        <v>1062</v>
      </c>
      <c r="EX155" s="600">
        <v>58102</v>
      </c>
      <c r="EY155">
        <v>1972553758</v>
      </c>
    </row>
    <row r="156" spans="1:155" x14ac:dyDescent="0.2">
      <c r="A156" s="598">
        <v>901</v>
      </c>
      <c r="B156" t="s">
        <v>1281</v>
      </c>
      <c r="C156" t="s">
        <v>1282</v>
      </c>
      <c r="D156" t="s">
        <v>1283</v>
      </c>
      <c r="E156"/>
      <c r="F156" t="s">
        <v>1043</v>
      </c>
      <c r="G156" t="s">
        <v>54</v>
      </c>
      <c r="H156" t="s">
        <v>2711</v>
      </c>
      <c r="I156" t="s">
        <v>2712</v>
      </c>
      <c r="J156" t="s">
        <v>1284</v>
      </c>
      <c r="K156"/>
      <c r="L156" t="s">
        <v>1282</v>
      </c>
      <c r="M156" t="s">
        <v>1043</v>
      </c>
      <c r="N156" t="s">
        <v>54</v>
      </c>
      <c r="O156" t="s">
        <v>2711</v>
      </c>
      <c r="P156" t="s">
        <v>2712</v>
      </c>
      <c r="Q156">
        <v>5076251811</v>
      </c>
      <c r="R156">
        <v>5076255566</v>
      </c>
      <c r="S156" t="s">
        <v>1285</v>
      </c>
      <c r="T156" t="s">
        <v>1286</v>
      </c>
      <c r="U156" t="s">
        <v>1084</v>
      </c>
      <c r="V156" t="s">
        <v>2713</v>
      </c>
      <c r="W156" t="s">
        <v>1287</v>
      </c>
      <c r="X156" t="s">
        <v>1288</v>
      </c>
      <c r="Y156" t="s">
        <v>1289</v>
      </c>
      <c r="Z156" t="s">
        <v>1290</v>
      </c>
      <c r="AA156" t="s">
        <v>1281</v>
      </c>
      <c r="AB156">
        <v>5073854105</v>
      </c>
      <c r="AC156"/>
      <c r="AD156">
        <v>5076253704</v>
      </c>
      <c r="AE156" t="s">
        <v>1291</v>
      </c>
      <c r="AF156" t="s">
        <v>1283</v>
      </c>
      <c r="AG156" t="s">
        <v>1284</v>
      </c>
      <c r="AH156" t="s">
        <v>1282</v>
      </c>
      <c r="AI156" t="s">
        <v>1043</v>
      </c>
      <c r="AJ156" t="s">
        <v>54</v>
      </c>
      <c r="AK156" t="s">
        <v>2711</v>
      </c>
      <c r="AL156" t="s">
        <v>2712</v>
      </c>
      <c r="AM156" t="s">
        <v>1292</v>
      </c>
      <c r="AN156" t="s">
        <v>1293</v>
      </c>
      <c r="AO156" t="s">
        <v>766</v>
      </c>
      <c r="AP156" t="s">
        <v>1281</v>
      </c>
      <c r="AQ156">
        <v>5073898504</v>
      </c>
      <c r="AR156"/>
      <c r="AS156">
        <v>5076253704</v>
      </c>
      <c r="AT156" t="s">
        <v>1294</v>
      </c>
      <c r="AU156" t="s">
        <v>1283</v>
      </c>
      <c r="AV156" t="s">
        <v>1284</v>
      </c>
      <c r="AW156" t="s">
        <v>1282</v>
      </c>
      <c r="AX156" t="s">
        <v>1043</v>
      </c>
      <c r="AY156" t="s">
        <v>54</v>
      </c>
      <c r="AZ156" t="s">
        <v>2711</v>
      </c>
      <c r="BA156" t="s">
        <v>2712</v>
      </c>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t="s">
        <v>1295</v>
      </c>
      <c r="CG156" t="s">
        <v>1296</v>
      </c>
      <c r="CH156" t="s">
        <v>141</v>
      </c>
      <c r="CI156"/>
      <c r="CJ156"/>
      <c r="CK156"/>
      <c r="CL156"/>
      <c r="CM156">
        <v>1629044029</v>
      </c>
      <c r="CN156">
        <v>404</v>
      </c>
      <c r="CO156">
        <v>402</v>
      </c>
      <c r="CP156">
        <v>403</v>
      </c>
      <c r="CQ156"/>
      <c r="CR156"/>
      <c r="CS156" t="s">
        <v>2397</v>
      </c>
      <c r="CT156">
        <v>12</v>
      </c>
      <c r="CU156">
        <v>71</v>
      </c>
      <c r="CV156"/>
      <c r="CW156"/>
      <c r="CX156"/>
      <c r="CY156"/>
      <c r="CZ156"/>
      <c r="DA156"/>
      <c r="DB156"/>
      <c r="DC156"/>
      <c r="DD156">
        <v>128</v>
      </c>
      <c r="DE156" t="s">
        <v>2714</v>
      </c>
      <c r="DF156"/>
      <c r="DG156"/>
      <c r="DH156">
        <v>129</v>
      </c>
      <c r="DI156" t="s">
        <v>2715</v>
      </c>
      <c r="DJ156">
        <v>130</v>
      </c>
      <c r="DK156" t="s">
        <v>2716</v>
      </c>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s="569">
        <v>978</v>
      </c>
      <c r="ET156" t="s">
        <v>2047</v>
      </c>
      <c r="EU156" t="s">
        <v>1060</v>
      </c>
      <c r="EV156" t="s">
        <v>3026</v>
      </c>
      <c r="EW156" t="s">
        <v>1062</v>
      </c>
      <c r="EX156" s="600">
        <v>58102</v>
      </c>
      <c r="EY156">
        <v>1972553758</v>
      </c>
    </row>
    <row r="157" spans="1:155" x14ac:dyDescent="0.2">
      <c r="A157" s="598">
        <v>1367</v>
      </c>
      <c r="B157" t="s">
        <v>2717</v>
      </c>
      <c r="C157" t="s">
        <v>1282</v>
      </c>
      <c r="D157" t="s">
        <v>2718</v>
      </c>
      <c r="E157"/>
      <c r="F157" t="s">
        <v>1043</v>
      </c>
      <c r="G157" t="s">
        <v>54</v>
      </c>
      <c r="H157" t="s">
        <v>2719</v>
      </c>
      <c r="I157" t="s">
        <v>2368</v>
      </c>
      <c r="J157" t="s">
        <v>1284</v>
      </c>
      <c r="K157"/>
      <c r="L157" t="s">
        <v>1282</v>
      </c>
      <c r="M157" t="s">
        <v>1043</v>
      </c>
      <c r="N157" t="s">
        <v>54</v>
      </c>
      <c r="O157" t="s">
        <v>2711</v>
      </c>
      <c r="P157" t="s">
        <v>2712</v>
      </c>
      <c r="Q157">
        <v>5076251811</v>
      </c>
      <c r="R157">
        <v>5076255566</v>
      </c>
      <c r="S157" t="s">
        <v>1285</v>
      </c>
      <c r="T157" t="s">
        <v>1286</v>
      </c>
      <c r="U157" t="s">
        <v>1084</v>
      </c>
      <c r="V157" t="s">
        <v>2713</v>
      </c>
      <c r="W157" t="s">
        <v>1287</v>
      </c>
      <c r="X157" t="s">
        <v>1288</v>
      </c>
      <c r="Y157" t="s">
        <v>1289</v>
      </c>
      <c r="Z157" t="s">
        <v>1290</v>
      </c>
      <c r="AA157" t="s">
        <v>1281</v>
      </c>
      <c r="AB157">
        <v>5073854105</v>
      </c>
      <c r="AC157"/>
      <c r="AD157">
        <v>5076253704</v>
      </c>
      <c r="AE157" t="s">
        <v>1291</v>
      </c>
      <c r="AF157" t="s">
        <v>1283</v>
      </c>
      <c r="AG157" t="s">
        <v>1284</v>
      </c>
      <c r="AH157" t="s">
        <v>1282</v>
      </c>
      <c r="AI157" t="s">
        <v>1043</v>
      </c>
      <c r="AJ157" t="s">
        <v>54</v>
      </c>
      <c r="AK157" t="s">
        <v>2711</v>
      </c>
      <c r="AL157" t="s">
        <v>2712</v>
      </c>
      <c r="AM157" t="s">
        <v>1292</v>
      </c>
      <c r="AN157" t="s">
        <v>1293</v>
      </c>
      <c r="AO157" t="s">
        <v>766</v>
      </c>
      <c r="AP157" t="s">
        <v>1281</v>
      </c>
      <c r="AQ157">
        <v>5073898504</v>
      </c>
      <c r="AR157"/>
      <c r="AS157">
        <v>5076253704</v>
      </c>
      <c r="AT157" t="s">
        <v>1294</v>
      </c>
      <c r="AU157" t="s">
        <v>1283</v>
      </c>
      <c r="AV157" t="s">
        <v>1284</v>
      </c>
      <c r="AW157" t="s">
        <v>1282</v>
      </c>
      <c r="AX157" t="s">
        <v>1043</v>
      </c>
      <c r="AY157" t="s">
        <v>54</v>
      </c>
      <c r="AZ157" t="s">
        <v>2711</v>
      </c>
      <c r="BA157" t="s">
        <v>2712</v>
      </c>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t="s">
        <v>1295</v>
      </c>
      <c r="CG157" t="s">
        <v>1296</v>
      </c>
      <c r="CH157" t="s">
        <v>141</v>
      </c>
      <c r="CI157"/>
      <c r="CJ157"/>
      <c r="CK157"/>
      <c r="CL157"/>
      <c r="CM157">
        <v>1629044029</v>
      </c>
      <c r="CN157">
        <v>404</v>
      </c>
      <c r="CO157">
        <v>402</v>
      </c>
      <c r="CP157">
        <v>403</v>
      </c>
      <c r="CQ157"/>
      <c r="CR157"/>
      <c r="CS157" t="s">
        <v>2397</v>
      </c>
      <c r="CT157">
        <v>12</v>
      </c>
      <c r="CU157"/>
      <c r="CV157"/>
      <c r="CW157"/>
      <c r="CX157"/>
      <c r="CY157"/>
      <c r="CZ157"/>
      <c r="DA157"/>
      <c r="DB157"/>
      <c r="DC157"/>
      <c r="DD157"/>
      <c r="DE157"/>
      <c r="DF157">
        <v>131</v>
      </c>
      <c r="DG157" t="s">
        <v>2720</v>
      </c>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s="569">
        <v>1047</v>
      </c>
      <c r="ET157" t="s">
        <v>1108</v>
      </c>
      <c r="EU157" t="s">
        <v>1060</v>
      </c>
      <c r="EV157" t="s">
        <v>3026</v>
      </c>
      <c r="EW157" t="s">
        <v>1062</v>
      </c>
      <c r="EX157" s="600">
        <v>58102</v>
      </c>
      <c r="EY157">
        <v>1972553758</v>
      </c>
    </row>
    <row r="158" spans="1:155" x14ac:dyDescent="0.2">
      <c r="A158" s="598">
        <v>1265</v>
      </c>
      <c r="B158" t="s">
        <v>2066</v>
      </c>
      <c r="C158" t="s">
        <v>790</v>
      </c>
      <c r="D158" t="s">
        <v>2182</v>
      </c>
      <c r="E158" t="s">
        <v>2140</v>
      </c>
      <c r="F158" t="s">
        <v>752</v>
      </c>
      <c r="G158" t="s">
        <v>54</v>
      </c>
      <c r="H158" t="s">
        <v>2468</v>
      </c>
      <c r="I158"/>
      <c r="J158" t="s">
        <v>2182</v>
      </c>
      <c r="K158" t="s">
        <v>2140</v>
      </c>
      <c r="L158" t="s">
        <v>790</v>
      </c>
      <c r="M158" t="s">
        <v>752</v>
      </c>
      <c r="N158" t="s">
        <v>54</v>
      </c>
      <c r="O158" t="s">
        <v>2468</v>
      </c>
      <c r="P158"/>
      <c r="Q158">
        <v>6517474500</v>
      </c>
      <c r="R158">
        <v>6516325701</v>
      </c>
      <c r="S158" t="s">
        <v>1309</v>
      </c>
      <c r="T158" t="s">
        <v>1676</v>
      </c>
      <c r="U158" t="s">
        <v>1468</v>
      </c>
      <c r="V158"/>
      <c r="W158" t="s">
        <v>1677</v>
      </c>
      <c r="X158" t="s">
        <v>1164</v>
      </c>
      <c r="Y158" t="s">
        <v>1678</v>
      </c>
      <c r="Z158"/>
      <c r="AA158" t="s">
        <v>1679</v>
      </c>
      <c r="AB158">
        <v>6512922014</v>
      </c>
      <c r="AC158"/>
      <c r="AD158">
        <v>6512922141</v>
      </c>
      <c r="AE158" t="s">
        <v>1680</v>
      </c>
      <c r="AF158" t="s">
        <v>1681</v>
      </c>
      <c r="AG158"/>
      <c r="AH158" t="s">
        <v>787</v>
      </c>
      <c r="AI158" t="s">
        <v>752</v>
      </c>
      <c r="AJ158" t="s">
        <v>54</v>
      </c>
      <c r="AK158" t="s">
        <v>2721</v>
      </c>
      <c r="AL158" t="s">
        <v>2722</v>
      </c>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t="s">
        <v>1682</v>
      </c>
      <c r="CG158" t="s">
        <v>1679</v>
      </c>
      <c r="CH158" t="s">
        <v>141</v>
      </c>
      <c r="CI158"/>
      <c r="CJ158"/>
      <c r="CK158"/>
      <c r="CL158"/>
      <c r="CM158">
        <v>1164604146</v>
      </c>
      <c r="CN158">
        <v>333</v>
      </c>
      <c r="CO158">
        <v>140</v>
      </c>
      <c r="CP158"/>
      <c r="CQ158"/>
      <c r="CR158"/>
      <c r="CS158" t="s">
        <v>2397</v>
      </c>
      <c r="CT158">
        <v>12</v>
      </c>
      <c r="CU158"/>
      <c r="CV158"/>
      <c r="CW158"/>
      <c r="CX158"/>
      <c r="CY158"/>
      <c r="CZ158"/>
      <c r="DA158"/>
      <c r="DB158"/>
      <c r="DC158"/>
      <c r="DD158">
        <v>128</v>
      </c>
      <c r="DE158" t="s">
        <v>2723</v>
      </c>
      <c r="DF158"/>
      <c r="DG158"/>
      <c r="DH158">
        <v>129</v>
      </c>
      <c r="DI158" t="s">
        <v>2724</v>
      </c>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s="569">
        <v>1048</v>
      </c>
      <c r="ET158" t="s">
        <v>1109</v>
      </c>
      <c r="EU158" t="s">
        <v>1060</v>
      </c>
      <c r="EV158" t="s">
        <v>3026</v>
      </c>
      <c r="EW158" t="s">
        <v>1062</v>
      </c>
      <c r="EX158" s="600">
        <v>58102</v>
      </c>
      <c r="EY158">
        <v>1972553758</v>
      </c>
    </row>
    <row r="159" spans="1:155" x14ac:dyDescent="0.2">
      <c r="A159" s="598">
        <v>782</v>
      </c>
      <c r="B159" t="s">
        <v>1297</v>
      </c>
      <c r="C159" t="s">
        <v>1298</v>
      </c>
      <c r="D159" t="s">
        <v>1299</v>
      </c>
      <c r="E159"/>
      <c r="F159" t="s">
        <v>1300</v>
      </c>
      <c r="G159" t="s">
        <v>54</v>
      </c>
      <c r="H159" t="s">
        <v>2725</v>
      </c>
      <c r="I159"/>
      <c r="J159" t="s">
        <v>1301</v>
      </c>
      <c r="K159"/>
      <c r="L159" t="s">
        <v>1298</v>
      </c>
      <c r="M159" t="s">
        <v>1300</v>
      </c>
      <c r="N159" t="s">
        <v>54</v>
      </c>
      <c r="O159" t="s">
        <v>2726</v>
      </c>
      <c r="P159" t="s">
        <v>2727</v>
      </c>
      <c r="Q159"/>
      <c r="R159"/>
      <c r="S159" t="s">
        <v>1302</v>
      </c>
      <c r="T159" t="s">
        <v>1303</v>
      </c>
      <c r="U159" t="s">
        <v>1304</v>
      </c>
      <c r="V159" t="s">
        <v>1305</v>
      </c>
      <c r="W159" t="s">
        <v>2163</v>
      </c>
      <c r="X159" t="s">
        <v>1130</v>
      </c>
      <c r="Y159" t="s">
        <v>1306</v>
      </c>
      <c r="Z159" t="s">
        <v>761</v>
      </c>
      <c r="AA159" t="s">
        <v>1307</v>
      </c>
      <c r="AB159">
        <v>5072845766</v>
      </c>
      <c r="AC159"/>
      <c r="AD159"/>
      <c r="AE159" t="s">
        <v>1308</v>
      </c>
      <c r="AF159" t="s">
        <v>1301</v>
      </c>
      <c r="AG159"/>
      <c r="AH159" t="s">
        <v>1298</v>
      </c>
      <c r="AI159" t="s">
        <v>1300</v>
      </c>
      <c r="AJ159" t="s">
        <v>54</v>
      </c>
      <c r="AK159" t="s">
        <v>2725</v>
      </c>
      <c r="AL159"/>
      <c r="AM159" t="s">
        <v>1309</v>
      </c>
      <c r="AN159" t="s">
        <v>1310</v>
      </c>
      <c r="AO159" t="s">
        <v>1311</v>
      </c>
      <c r="AP159" t="s">
        <v>1307</v>
      </c>
      <c r="AQ159">
        <v>5072664742</v>
      </c>
      <c r="AR159"/>
      <c r="AS159">
        <v>5072840986</v>
      </c>
      <c r="AT159" t="s">
        <v>1312</v>
      </c>
      <c r="AU159" t="s">
        <v>1301</v>
      </c>
      <c r="AV159"/>
      <c r="AW159" t="s">
        <v>1298</v>
      </c>
      <c r="AX159" t="s">
        <v>1300</v>
      </c>
      <c r="AY159" t="s">
        <v>54</v>
      </c>
      <c r="AZ159" t="s">
        <v>2725</v>
      </c>
      <c r="BA159"/>
      <c r="BB159"/>
      <c r="BC159"/>
      <c r="BD159"/>
      <c r="BE159"/>
      <c r="BF159"/>
      <c r="BG159"/>
      <c r="BH159"/>
      <c r="BI159"/>
      <c r="BJ159"/>
      <c r="BK159"/>
      <c r="BL159"/>
      <c r="BM159"/>
      <c r="BN159"/>
      <c r="BO159"/>
      <c r="BP159"/>
      <c r="BQ159" t="s">
        <v>1313</v>
      </c>
      <c r="BR159" t="s">
        <v>1314</v>
      </c>
      <c r="BS159" t="s">
        <v>1315</v>
      </c>
      <c r="BT159" t="s">
        <v>1307</v>
      </c>
      <c r="BU159">
        <v>5075387783</v>
      </c>
      <c r="BV159"/>
      <c r="BW159"/>
      <c r="BX159" t="s">
        <v>1316</v>
      </c>
      <c r="BY159" t="s">
        <v>1301</v>
      </c>
      <c r="BZ159"/>
      <c r="CA159" t="s">
        <v>1298</v>
      </c>
      <c r="CB159" t="s">
        <v>1300</v>
      </c>
      <c r="CC159" t="s">
        <v>54</v>
      </c>
      <c r="CD159" t="s">
        <v>2725</v>
      </c>
      <c r="CE159"/>
      <c r="CF159" t="s">
        <v>1317</v>
      </c>
      <c r="CG159" t="s">
        <v>1318</v>
      </c>
      <c r="CH159" t="s">
        <v>141</v>
      </c>
      <c r="CI159"/>
      <c r="CJ159"/>
      <c r="CK159"/>
      <c r="CL159"/>
      <c r="CM159">
        <v>1922074434</v>
      </c>
      <c r="CN159">
        <v>234</v>
      </c>
      <c r="CO159">
        <v>235</v>
      </c>
      <c r="CP159">
        <v>236</v>
      </c>
      <c r="CQ159"/>
      <c r="CR159">
        <v>1014</v>
      </c>
      <c r="CS159" t="s">
        <v>2397</v>
      </c>
      <c r="CT159">
        <v>12</v>
      </c>
      <c r="CU159"/>
      <c r="CV159"/>
      <c r="CW159"/>
      <c r="CX159"/>
      <c r="CY159"/>
      <c r="CZ159"/>
      <c r="DA159"/>
      <c r="DB159"/>
      <c r="DC159"/>
      <c r="DD159">
        <v>128</v>
      </c>
      <c r="DE159" t="s">
        <v>2728</v>
      </c>
      <c r="DF159"/>
      <c r="DG159"/>
      <c r="DH159">
        <v>129</v>
      </c>
      <c r="DI159" t="s">
        <v>2729</v>
      </c>
      <c r="DJ159">
        <v>130</v>
      </c>
      <c r="DK159" t="s">
        <v>2730</v>
      </c>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s="569">
        <v>1137</v>
      </c>
      <c r="ET159" t="s">
        <v>1110</v>
      </c>
      <c r="EU159" t="s">
        <v>1060</v>
      </c>
      <c r="EV159" t="s">
        <v>3026</v>
      </c>
      <c r="EW159" t="s">
        <v>1062</v>
      </c>
      <c r="EX159" s="600">
        <v>58102</v>
      </c>
      <c r="EY159">
        <v>1972553758</v>
      </c>
    </row>
    <row r="160" spans="1:155" x14ac:dyDescent="0.2">
      <c r="A160" s="598">
        <v>783</v>
      </c>
      <c r="B160" t="s">
        <v>1319</v>
      </c>
      <c r="C160" t="s">
        <v>1298</v>
      </c>
      <c r="D160" t="s">
        <v>1320</v>
      </c>
      <c r="E160"/>
      <c r="F160" t="s">
        <v>1300</v>
      </c>
      <c r="G160" t="s">
        <v>54</v>
      </c>
      <c r="H160" t="s">
        <v>2725</v>
      </c>
      <c r="I160"/>
      <c r="J160" t="s">
        <v>1301</v>
      </c>
      <c r="K160"/>
      <c r="L160" t="s">
        <v>1298</v>
      </c>
      <c r="M160" t="s">
        <v>1300</v>
      </c>
      <c r="N160" t="s">
        <v>54</v>
      </c>
      <c r="O160" t="s">
        <v>2726</v>
      </c>
      <c r="P160" t="s">
        <v>2727</v>
      </c>
      <c r="Q160"/>
      <c r="R160"/>
      <c r="S160" t="s">
        <v>1302</v>
      </c>
      <c r="T160" t="s">
        <v>1303</v>
      </c>
      <c r="U160" t="s">
        <v>1304</v>
      </c>
      <c r="V160" t="s">
        <v>1305</v>
      </c>
      <c r="W160" t="s">
        <v>2163</v>
      </c>
      <c r="X160" t="s">
        <v>1130</v>
      </c>
      <c r="Y160" t="s">
        <v>1306</v>
      </c>
      <c r="Z160" t="s">
        <v>761</v>
      </c>
      <c r="AA160" t="s">
        <v>1307</v>
      </c>
      <c r="AB160">
        <v>5072845766</v>
      </c>
      <c r="AC160"/>
      <c r="AD160"/>
      <c r="AE160" t="s">
        <v>1308</v>
      </c>
      <c r="AF160" t="s">
        <v>1301</v>
      </c>
      <c r="AG160"/>
      <c r="AH160" t="s">
        <v>1298</v>
      </c>
      <c r="AI160" t="s">
        <v>1300</v>
      </c>
      <c r="AJ160" t="s">
        <v>54</v>
      </c>
      <c r="AK160" t="s">
        <v>2725</v>
      </c>
      <c r="AL160"/>
      <c r="AM160" t="s">
        <v>1309</v>
      </c>
      <c r="AN160" t="s">
        <v>1310</v>
      </c>
      <c r="AO160" t="s">
        <v>1311</v>
      </c>
      <c r="AP160" t="s">
        <v>1307</v>
      </c>
      <c r="AQ160">
        <v>5072664742</v>
      </c>
      <c r="AR160"/>
      <c r="AS160">
        <v>5072840986</v>
      </c>
      <c r="AT160" t="s">
        <v>1312</v>
      </c>
      <c r="AU160" t="s">
        <v>1301</v>
      </c>
      <c r="AV160"/>
      <c r="AW160" t="s">
        <v>1298</v>
      </c>
      <c r="AX160" t="s">
        <v>1300</v>
      </c>
      <c r="AY160" t="s">
        <v>54</v>
      </c>
      <c r="AZ160" t="s">
        <v>2725</v>
      </c>
      <c r="BA160"/>
      <c r="BB160"/>
      <c r="BC160"/>
      <c r="BD160"/>
      <c r="BE160"/>
      <c r="BF160"/>
      <c r="BG160"/>
      <c r="BH160"/>
      <c r="BI160"/>
      <c r="BJ160"/>
      <c r="BK160"/>
      <c r="BL160"/>
      <c r="BM160"/>
      <c r="BN160"/>
      <c r="BO160"/>
      <c r="BP160"/>
      <c r="BQ160" t="s">
        <v>1313</v>
      </c>
      <c r="BR160" t="s">
        <v>1314</v>
      </c>
      <c r="BS160" t="s">
        <v>1315</v>
      </c>
      <c r="BT160" t="s">
        <v>1307</v>
      </c>
      <c r="BU160">
        <v>5075387783</v>
      </c>
      <c r="BV160"/>
      <c r="BW160"/>
      <c r="BX160" t="s">
        <v>1316</v>
      </c>
      <c r="BY160" t="s">
        <v>1301</v>
      </c>
      <c r="BZ160"/>
      <c r="CA160" t="s">
        <v>1298</v>
      </c>
      <c r="CB160" t="s">
        <v>1300</v>
      </c>
      <c r="CC160" t="s">
        <v>54</v>
      </c>
      <c r="CD160" t="s">
        <v>2725</v>
      </c>
      <c r="CE160"/>
      <c r="CF160" t="s">
        <v>1317</v>
      </c>
      <c r="CG160" t="s">
        <v>1318</v>
      </c>
      <c r="CH160" t="s">
        <v>141</v>
      </c>
      <c r="CI160"/>
      <c r="CJ160"/>
      <c r="CK160"/>
      <c r="CL160"/>
      <c r="CM160">
        <v>1922074434</v>
      </c>
      <c r="CN160">
        <v>234</v>
      </c>
      <c r="CO160">
        <v>235</v>
      </c>
      <c r="CP160">
        <v>236</v>
      </c>
      <c r="CQ160"/>
      <c r="CR160">
        <v>1014</v>
      </c>
      <c r="CS160" t="s">
        <v>2397</v>
      </c>
      <c r="CT160">
        <v>12</v>
      </c>
      <c r="CU160"/>
      <c r="CV160"/>
      <c r="CW160"/>
      <c r="CX160"/>
      <c r="CY160"/>
      <c r="CZ160"/>
      <c r="DA160"/>
      <c r="DB160"/>
      <c r="DC160"/>
      <c r="DD160">
        <v>128</v>
      </c>
      <c r="DE160" t="s">
        <v>2731</v>
      </c>
      <c r="DF160"/>
      <c r="DG160"/>
      <c r="DH160">
        <v>129</v>
      </c>
      <c r="DI160" t="s">
        <v>2729</v>
      </c>
      <c r="DJ160">
        <v>130</v>
      </c>
      <c r="DK160" t="s">
        <v>2730</v>
      </c>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s="569">
        <v>1392</v>
      </c>
      <c r="ET160" t="s">
        <v>2638</v>
      </c>
      <c r="EU160" t="s">
        <v>1060</v>
      </c>
      <c r="EV160" t="s">
        <v>3026</v>
      </c>
      <c r="EW160" t="s">
        <v>1062</v>
      </c>
      <c r="EX160" s="600">
        <v>58102</v>
      </c>
      <c r="EY160">
        <v>1972553758</v>
      </c>
    </row>
    <row r="161" spans="1:155" x14ac:dyDescent="0.2">
      <c r="A161" s="598">
        <v>1174</v>
      </c>
      <c r="B161" t="s">
        <v>1321</v>
      </c>
      <c r="C161" t="s">
        <v>1298</v>
      </c>
      <c r="D161" t="s">
        <v>1322</v>
      </c>
      <c r="E161"/>
      <c r="F161" t="s">
        <v>1300</v>
      </c>
      <c r="G161" t="s">
        <v>54</v>
      </c>
      <c r="H161" t="s">
        <v>2726</v>
      </c>
      <c r="I161"/>
      <c r="J161" t="s">
        <v>1301</v>
      </c>
      <c r="K161"/>
      <c r="L161" t="s">
        <v>1298</v>
      </c>
      <c r="M161" t="s">
        <v>1300</v>
      </c>
      <c r="N161" t="s">
        <v>54</v>
      </c>
      <c r="O161" t="s">
        <v>2726</v>
      </c>
      <c r="P161" t="s">
        <v>2727</v>
      </c>
      <c r="Q161"/>
      <c r="R161"/>
      <c r="S161" t="s">
        <v>1302</v>
      </c>
      <c r="T161" t="s">
        <v>1303</v>
      </c>
      <c r="U161" t="s">
        <v>1304</v>
      </c>
      <c r="V161" t="s">
        <v>1305</v>
      </c>
      <c r="W161" t="s">
        <v>2163</v>
      </c>
      <c r="X161" t="s">
        <v>1130</v>
      </c>
      <c r="Y161" t="s">
        <v>1306</v>
      </c>
      <c r="Z161" t="s">
        <v>761</v>
      </c>
      <c r="AA161" t="s">
        <v>1307</v>
      </c>
      <c r="AB161">
        <v>5072845766</v>
      </c>
      <c r="AC161"/>
      <c r="AD161"/>
      <c r="AE161" t="s">
        <v>1308</v>
      </c>
      <c r="AF161" t="s">
        <v>1301</v>
      </c>
      <c r="AG161"/>
      <c r="AH161" t="s">
        <v>1298</v>
      </c>
      <c r="AI161" t="s">
        <v>1300</v>
      </c>
      <c r="AJ161" t="s">
        <v>54</v>
      </c>
      <c r="AK161" t="s">
        <v>2725</v>
      </c>
      <c r="AL161"/>
      <c r="AM161" t="s">
        <v>1309</v>
      </c>
      <c r="AN161" t="s">
        <v>1310</v>
      </c>
      <c r="AO161" t="s">
        <v>1311</v>
      </c>
      <c r="AP161" t="s">
        <v>1307</v>
      </c>
      <c r="AQ161">
        <v>5072664742</v>
      </c>
      <c r="AR161"/>
      <c r="AS161">
        <v>5072840986</v>
      </c>
      <c r="AT161" t="s">
        <v>1312</v>
      </c>
      <c r="AU161" t="s">
        <v>1301</v>
      </c>
      <c r="AV161"/>
      <c r="AW161" t="s">
        <v>1298</v>
      </c>
      <c r="AX161" t="s">
        <v>1300</v>
      </c>
      <c r="AY161" t="s">
        <v>54</v>
      </c>
      <c r="AZ161" t="s">
        <v>2725</v>
      </c>
      <c r="BA161"/>
      <c r="BB161"/>
      <c r="BC161"/>
      <c r="BD161"/>
      <c r="BE161"/>
      <c r="BF161"/>
      <c r="BG161"/>
      <c r="BH161"/>
      <c r="BI161"/>
      <c r="BJ161"/>
      <c r="BK161"/>
      <c r="BL161"/>
      <c r="BM161"/>
      <c r="BN161"/>
      <c r="BO161"/>
      <c r="BP161"/>
      <c r="BQ161" t="s">
        <v>1313</v>
      </c>
      <c r="BR161" t="s">
        <v>1314</v>
      </c>
      <c r="BS161" t="s">
        <v>1315</v>
      </c>
      <c r="BT161" t="s">
        <v>1307</v>
      </c>
      <c r="BU161">
        <v>5075387783</v>
      </c>
      <c r="BV161"/>
      <c r="BW161"/>
      <c r="BX161" t="s">
        <v>1316</v>
      </c>
      <c r="BY161" t="s">
        <v>1301</v>
      </c>
      <c r="BZ161"/>
      <c r="CA161" t="s">
        <v>1298</v>
      </c>
      <c r="CB161" t="s">
        <v>1300</v>
      </c>
      <c r="CC161" t="s">
        <v>54</v>
      </c>
      <c r="CD161" t="s">
        <v>2725</v>
      </c>
      <c r="CE161"/>
      <c r="CF161" t="s">
        <v>1317</v>
      </c>
      <c r="CG161" t="s">
        <v>1318</v>
      </c>
      <c r="CH161" t="s">
        <v>141</v>
      </c>
      <c r="CI161"/>
      <c r="CJ161"/>
      <c r="CK161"/>
      <c r="CL161"/>
      <c r="CM161">
        <v>1922074434</v>
      </c>
      <c r="CN161">
        <v>234</v>
      </c>
      <c r="CO161">
        <v>235</v>
      </c>
      <c r="CP161">
        <v>236</v>
      </c>
      <c r="CQ161"/>
      <c r="CR161">
        <v>1014</v>
      </c>
      <c r="CS161" t="s">
        <v>2397</v>
      </c>
      <c r="CT161">
        <v>12</v>
      </c>
      <c r="CU161"/>
      <c r="CV161"/>
      <c r="CW161"/>
      <c r="CX161"/>
      <c r="CY161"/>
      <c r="CZ161"/>
      <c r="DA161"/>
      <c r="DB161"/>
      <c r="DC161"/>
      <c r="DD161">
        <v>128</v>
      </c>
      <c r="DE161" t="s">
        <v>2728</v>
      </c>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s="569">
        <v>1317</v>
      </c>
      <c r="ET161" t="s">
        <v>2048</v>
      </c>
      <c r="EU161" t="s">
        <v>1060</v>
      </c>
      <c r="EV161" t="s">
        <v>3026</v>
      </c>
      <c r="EW161" t="s">
        <v>1062</v>
      </c>
      <c r="EX161" s="600">
        <v>58102</v>
      </c>
      <c r="EY161">
        <v>1972553758</v>
      </c>
    </row>
    <row r="162" spans="1:155" x14ac:dyDescent="0.2">
      <c r="A162" s="598">
        <v>794</v>
      </c>
      <c r="B162" t="s">
        <v>1323</v>
      </c>
      <c r="C162" t="s">
        <v>1298</v>
      </c>
      <c r="D162" t="s">
        <v>1301</v>
      </c>
      <c r="E162"/>
      <c r="F162" t="s">
        <v>1300</v>
      </c>
      <c r="G162" t="s">
        <v>54</v>
      </c>
      <c r="H162" t="s">
        <v>2732</v>
      </c>
      <c r="I162"/>
      <c r="J162" t="s">
        <v>1301</v>
      </c>
      <c r="K162"/>
      <c r="L162" t="s">
        <v>1298</v>
      </c>
      <c r="M162" t="s">
        <v>1300</v>
      </c>
      <c r="N162" t="s">
        <v>54</v>
      </c>
      <c r="O162" t="s">
        <v>2726</v>
      </c>
      <c r="P162" t="s">
        <v>2727</v>
      </c>
      <c r="Q162"/>
      <c r="R162"/>
      <c r="S162" t="s">
        <v>1302</v>
      </c>
      <c r="T162" t="s">
        <v>1303</v>
      </c>
      <c r="U162" t="s">
        <v>1304</v>
      </c>
      <c r="V162" t="s">
        <v>1305</v>
      </c>
      <c r="W162" t="s">
        <v>2163</v>
      </c>
      <c r="X162" t="s">
        <v>1130</v>
      </c>
      <c r="Y162" t="s">
        <v>1306</v>
      </c>
      <c r="Z162" t="s">
        <v>761</v>
      </c>
      <c r="AA162" t="s">
        <v>1307</v>
      </c>
      <c r="AB162">
        <v>5072845766</v>
      </c>
      <c r="AC162"/>
      <c r="AD162"/>
      <c r="AE162" t="s">
        <v>1308</v>
      </c>
      <c r="AF162" t="s">
        <v>1301</v>
      </c>
      <c r="AG162"/>
      <c r="AH162" t="s">
        <v>1298</v>
      </c>
      <c r="AI162" t="s">
        <v>1300</v>
      </c>
      <c r="AJ162" t="s">
        <v>54</v>
      </c>
      <c r="AK162" t="s">
        <v>2725</v>
      </c>
      <c r="AL162"/>
      <c r="AM162" t="s">
        <v>1309</v>
      </c>
      <c r="AN162" t="s">
        <v>1310</v>
      </c>
      <c r="AO162" t="s">
        <v>1311</v>
      </c>
      <c r="AP162" t="s">
        <v>1307</v>
      </c>
      <c r="AQ162">
        <v>5072664742</v>
      </c>
      <c r="AR162"/>
      <c r="AS162">
        <v>5072840986</v>
      </c>
      <c r="AT162" t="s">
        <v>1312</v>
      </c>
      <c r="AU162" t="s">
        <v>1301</v>
      </c>
      <c r="AV162"/>
      <c r="AW162" t="s">
        <v>1298</v>
      </c>
      <c r="AX162" t="s">
        <v>1300</v>
      </c>
      <c r="AY162" t="s">
        <v>54</v>
      </c>
      <c r="AZ162" t="s">
        <v>2725</v>
      </c>
      <c r="BA162"/>
      <c r="BB162"/>
      <c r="BC162"/>
      <c r="BD162"/>
      <c r="BE162"/>
      <c r="BF162"/>
      <c r="BG162"/>
      <c r="BH162"/>
      <c r="BI162"/>
      <c r="BJ162"/>
      <c r="BK162"/>
      <c r="BL162"/>
      <c r="BM162"/>
      <c r="BN162"/>
      <c r="BO162"/>
      <c r="BP162"/>
      <c r="BQ162" t="s">
        <v>1313</v>
      </c>
      <c r="BR162" t="s">
        <v>1314</v>
      </c>
      <c r="BS162" t="s">
        <v>1315</v>
      </c>
      <c r="BT162" t="s">
        <v>1307</v>
      </c>
      <c r="BU162">
        <v>5075387783</v>
      </c>
      <c r="BV162"/>
      <c r="BW162"/>
      <c r="BX162" t="s">
        <v>1316</v>
      </c>
      <c r="BY162" t="s">
        <v>1301</v>
      </c>
      <c r="BZ162"/>
      <c r="CA162" t="s">
        <v>1298</v>
      </c>
      <c r="CB162" t="s">
        <v>1300</v>
      </c>
      <c r="CC162" t="s">
        <v>54</v>
      </c>
      <c r="CD162" t="s">
        <v>2725</v>
      </c>
      <c r="CE162"/>
      <c r="CF162" t="s">
        <v>1317</v>
      </c>
      <c r="CG162" t="s">
        <v>1318</v>
      </c>
      <c r="CH162" t="s">
        <v>141</v>
      </c>
      <c r="CI162"/>
      <c r="CJ162"/>
      <c r="CK162"/>
      <c r="CL162"/>
      <c r="CM162">
        <v>1922074434</v>
      </c>
      <c r="CN162">
        <v>234</v>
      </c>
      <c r="CO162">
        <v>235</v>
      </c>
      <c r="CP162">
        <v>236</v>
      </c>
      <c r="CQ162"/>
      <c r="CR162">
        <v>1014</v>
      </c>
      <c r="CS162" t="s">
        <v>2397</v>
      </c>
      <c r="CT162">
        <v>12</v>
      </c>
      <c r="CU162"/>
      <c r="CV162"/>
      <c r="CW162"/>
      <c r="CX162"/>
      <c r="CY162"/>
      <c r="CZ162"/>
      <c r="DA162"/>
      <c r="DB162"/>
      <c r="DC162"/>
      <c r="DD162"/>
      <c r="DE162"/>
      <c r="DF162"/>
      <c r="DG162"/>
      <c r="DH162">
        <v>129</v>
      </c>
      <c r="DI162" t="s">
        <v>2729</v>
      </c>
      <c r="DJ162"/>
      <c r="DK162"/>
      <c r="DL162"/>
      <c r="DM162"/>
      <c r="DN162"/>
      <c r="DO162"/>
      <c r="DP162"/>
      <c r="DQ162"/>
      <c r="DR162"/>
      <c r="DS162"/>
      <c r="DT162"/>
      <c r="DU162"/>
      <c r="DV162"/>
      <c r="DW162"/>
      <c r="DX162">
        <v>135</v>
      </c>
      <c r="DY162"/>
      <c r="DZ162"/>
      <c r="EA162"/>
      <c r="EB162"/>
      <c r="EC162"/>
      <c r="ED162"/>
      <c r="EE162"/>
      <c r="EF162"/>
      <c r="EG162"/>
      <c r="EH162"/>
      <c r="EI162"/>
      <c r="EJ162"/>
      <c r="EK162"/>
      <c r="EL162"/>
      <c r="EM162"/>
      <c r="EN162"/>
      <c r="EO162"/>
      <c r="EP162"/>
      <c r="EQ162"/>
      <c r="ER162"/>
      <c r="ES162" s="569">
        <v>650</v>
      </c>
      <c r="ET162" t="s">
        <v>1111</v>
      </c>
      <c r="EU162" t="s">
        <v>1060</v>
      </c>
      <c r="EV162" t="s">
        <v>3026</v>
      </c>
      <c r="EW162" t="s">
        <v>1062</v>
      </c>
      <c r="EX162" s="600">
        <v>58102</v>
      </c>
      <c r="EY162">
        <v>1972553758</v>
      </c>
    </row>
    <row r="163" spans="1:155" x14ac:dyDescent="0.2">
      <c r="A163" s="598">
        <v>1155</v>
      </c>
      <c r="B163" t="s">
        <v>1324</v>
      </c>
      <c r="C163" t="s">
        <v>764</v>
      </c>
      <c r="D163" t="s">
        <v>1325</v>
      </c>
      <c r="E163" t="s">
        <v>1326</v>
      </c>
      <c r="F163" t="s">
        <v>737</v>
      </c>
      <c r="G163" t="s">
        <v>54</v>
      </c>
      <c r="H163" t="s">
        <v>2733</v>
      </c>
      <c r="I163"/>
      <c r="J163" t="s">
        <v>1301</v>
      </c>
      <c r="K163"/>
      <c r="L163" t="s">
        <v>1298</v>
      </c>
      <c r="M163" t="s">
        <v>1300</v>
      </c>
      <c r="N163" t="s">
        <v>54</v>
      </c>
      <c r="O163" t="s">
        <v>2726</v>
      </c>
      <c r="P163" t="s">
        <v>2727</v>
      </c>
      <c r="Q163"/>
      <c r="R163"/>
      <c r="S163" t="s">
        <v>1302</v>
      </c>
      <c r="T163" t="s">
        <v>1303</v>
      </c>
      <c r="U163" t="s">
        <v>1304</v>
      </c>
      <c r="V163" t="s">
        <v>1305</v>
      </c>
      <c r="W163" t="s">
        <v>2163</v>
      </c>
      <c r="X163" t="s">
        <v>1130</v>
      </c>
      <c r="Y163" t="s">
        <v>1306</v>
      </c>
      <c r="Z163" t="s">
        <v>761</v>
      </c>
      <c r="AA163" t="s">
        <v>1307</v>
      </c>
      <c r="AB163">
        <v>5072845766</v>
      </c>
      <c r="AC163"/>
      <c r="AD163"/>
      <c r="AE163" t="s">
        <v>1308</v>
      </c>
      <c r="AF163" t="s">
        <v>1301</v>
      </c>
      <c r="AG163"/>
      <c r="AH163" t="s">
        <v>1298</v>
      </c>
      <c r="AI163" t="s">
        <v>1300</v>
      </c>
      <c r="AJ163" t="s">
        <v>54</v>
      </c>
      <c r="AK163" t="s">
        <v>2725</v>
      </c>
      <c r="AL163"/>
      <c r="AM163" t="s">
        <v>1309</v>
      </c>
      <c r="AN163" t="s">
        <v>1310</v>
      </c>
      <c r="AO163" t="s">
        <v>1311</v>
      </c>
      <c r="AP163" t="s">
        <v>1307</v>
      </c>
      <c r="AQ163">
        <v>5072664742</v>
      </c>
      <c r="AR163"/>
      <c r="AS163">
        <v>5072840986</v>
      </c>
      <c r="AT163" t="s">
        <v>1312</v>
      </c>
      <c r="AU163" t="s">
        <v>1301</v>
      </c>
      <c r="AV163"/>
      <c r="AW163" t="s">
        <v>1298</v>
      </c>
      <c r="AX163" t="s">
        <v>1300</v>
      </c>
      <c r="AY163" t="s">
        <v>54</v>
      </c>
      <c r="AZ163" t="s">
        <v>2725</v>
      </c>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t="s">
        <v>1317</v>
      </c>
      <c r="CG163" t="s">
        <v>1318</v>
      </c>
      <c r="CH163" t="s">
        <v>141</v>
      </c>
      <c r="CI163"/>
      <c r="CJ163"/>
      <c r="CK163"/>
      <c r="CL163"/>
      <c r="CM163">
        <v>1922074434</v>
      </c>
      <c r="CN163">
        <v>234</v>
      </c>
      <c r="CO163">
        <v>235</v>
      </c>
      <c r="CP163">
        <v>236</v>
      </c>
      <c r="CQ163"/>
      <c r="CR163"/>
      <c r="CS163" t="s">
        <v>2397</v>
      </c>
      <c r="CT163">
        <v>12</v>
      </c>
      <c r="CU163"/>
      <c r="CV163"/>
      <c r="CW163"/>
      <c r="CX163"/>
      <c r="CY163"/>
      <c r="CZ163"/>
      <c r="DA163"/>
      <c r="DB163"/>
      <c r="DC163"/>
      <c r="DD163">
        <v>128</v>
      </c>
      <c r="DE163" t="s">
        <v>2734</v>
      </c>
      <c r="DF163"/>
      <c r="DG163"/>
      <c r="DH163"/>
      <c r="DI163"/>
      <c r="DJ163"/>
      <c r="DK163"/>
      <c r="DL163"/>
      <c r="DM163"/>
      <c r="DN163"/>
      <c r="DO163"/>
      <c r="DP163"/>
      <c r="DQ163"/>
      <c r="DR163"/>
      <c r="DS163"/>
      <c r="DT163">
        <v>141</v>
      </c>
      <c r="DU163" t="s">
        <v>2735</v>
      </c>
      <c r="DV163"/>
      <c r="DW163"/>
      <c r="DX163"/>
      <c r="DY163"/>
      <c r="DZ163"/>
      <c r="EA163"/>
      <c r="EB163"/>
      <c r="EC163"/>
      <c r="ED163"/>
      <c r="EE163"/>
      <c r="EF163"/>
      <c r="EG163"/>
      <c r="EH163"/>
      <c r="EI163"/>
      <c r="EJ163"/>
      <c r="EK163"/>
      <c r="EL163"/>
      <c r="EM163"/>
      <c r="EN163"/>
      <c r="EO163"/>
      <c r="EP163"/>
      <c r="EQ163"/>
      <c r="ER163"/>
      <c r="ES163" s="569">
        <v>979</v>
      </c>
      <c r="ET163" t="s">
        <v>1112</v>
      </c>
      <c r="EU163" t="s">
        <v>1060</v>
      </c>
      <c r="EV163" t="s">
        <v>3026</v>
      </c>
      <c r="EW163" t="s">
        <v>1062</v>
      </c>
      <c r="EX163" s="600">
        <v>58102</v>
      </c>
      <c r="EY163">
        <v>1972553758</v>
      </c>
    </row>
    <row r="164" spans="1:155" x14ac:dyDescent="0.2">
      <c r="A164" s="598">
        <v>1169</v>
      </c>
      <c r="B164" t="s">
        <v>1327</v>
      </c>
      <c r="C164" t="s">
        <v>1282</v>
      </c>
      <c r="D164" t="s">
        <v>1328</v>
      </c>
      <c r="E164"/>
      <c r="F164" t="s">
        <v>1043</v>
      </c>
      <c r="G164" t="s">
        <v>54</v>
      </c>
      <c r="H164" t="s">
        <v>2719</v>
      </c>
      <c r="I164"/>
      <c r="J164" t="s">
        <v>1329</v>
      </c>
      <c r="K164"/>
      <c r="L164" t="s">
        <v>1282</v>
      </c>
      <c r="M164" t="s">
        <v>1043</v>
      </c>
      <c r="N164" t="s">
        <v>54</v>
      </c>
      <c r="O164" t="s">
        <v>2719</v>
      </c>
      <c r="P164"/>
      <c r="Q164">
        <v>5073856500</v>
      </c>
      <c r="R164"/>
      <c r="S164" t="s">
        <v>1159</v>
      </c>
      <c r="T164" t="s">
        <v>2067</v>
      </c>
      <c r="U164" t="s">
        <v>2068</v>
      </c>
      <c r="V164" t="s">
        <v>2069</v>
      </c>
      <c r="W164"/>
      <c r="X164" t="s">
        <v>1173</v>
      </c>
      <c r="Y164" t="s">
        <v>1331</v>
      </c>
      <c r="Z164" t="s">
        <v>2070</v>
      </c>
      <c r="AA164" t="s">
        <v>1332</v>
      </c>
      <c r="AB164">
        <v>5075942909</v>
      </c>
      <c r="AC164"/>
      <c r="AD164"/>
      <c r="AE164" t="s">
        <v>1333</v>
      </c>
      <c r="AF164" t="s">
        <v>1329</v>
      </c>
      <c r="AG164"/>
      <c r="AH164" t="s">
        <v>1282</v>
      </c>
      <c r="AI164" t="s">
        <v>1043</v>
      </c>
      <c r="AJ164" t="s">
        <v>54</v>
      </c>
      <c r="AK164" t="s">
        <v>2719</v>
      </c>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t="s">
        <v>1317</v>
      </c>
      <c r="CG164" t="s">
        <v>1318</v>
      </c>
      <c r="CH164" t="s">
        <v>56</v>
      </c>
      <c r="CI164"/>
      <c r="CJ164"/>
      <c r="CK164"/>
      <c r="CL164"/>
      <c r="CM164">
        <v>1578545422</v>
      </c>
      <c r="CN164">
        <v>1861</v>
      </c>
      <c r="CO164">
        <v>1862</v>
      </c>
      <c r="CP164"/>
      <c r="CQ164"/>
      <c r="CR164"/>
      <c r="CS164" t="s">
        <v>2397</v>
      </c>
      <c r="CT164">
        <v>12</v>
      </c>
      <c r="CU164"/>
      <c r="CV164"/>
      <c r="CW164"/>
      <c r="CX164"/>
      <c r="CY164"/>
      <c r="CZ164"/>
      <c r="DA164"/>
      <c r="DB164"/>
      <c r="DC164"/>
      <c r="DD164"/>
      <c r="DE164"/>
      <c r="DF164">
        <v>131</v>
      </c>
      <c r="DG164" t="s">
        <v>2736</v>
      </c>
      <c r="DH164">
        <v>129</v>
      </c>
      <c r="DI164" t="s">
        <v>2737</v>
      </c>
      <c r="DJ164"/>
      <c r="DK164"/>
      <c r="DL164"/>
      <c r="DM164"/>
      <c r="DN164"/>
      <c r="DO164"/>
      <c r="DP164"/>
      <c r="DQ164"/>
      <c r="DR164"/>
      <c r="DS164"/>
      <c r="DT164"/>
      <c r="DU164"/>
      <c r="DV164"/>
      <c r="DW164"/>
      <c r="DX164"/>
      <c r="DY164"/>
      <c r="DZ164"/>
      <c r="EA164"/>
      <c r="EB164">
        <v>137</v>
      </c>
      <c r="EC164" t="s">
        <v>2669</v>
      </c>
      <c r="ED164"/>
      <c r="EE164"/>
      <c r="EF164"/>
      <c r="EG164"/>
      <c r="EH164"/>
      <c r="EI164"/>
      <c r="EJ164"/>
      <c r="EK164"/>
      <c r="EL164"/>
      <c r="EM164"/>
      <c r="EN164"/>
      <c r="EO164"/>
      <c r="EP164"/>
      <c r="EQ164"/>
      <c r="ER164"/>
      <c r="ES164" s="569">
        <v>770</v>
      </c>
      <c r="ET164" t="s">
        <v>1113</v>
      </c>
      <c r="EU164" t="s">
        <v>1060</v>
      </c>
      <c r="EV164" t="s">
        <v>3026</v>
      </c>
      <c r="EW164" t="s">
        <v>1062</v>
      </c>
      <c r="EX164" s="600">
        <v>58102</v>
      </c>
      <c r="EY164">
        <v>1972553758</v>
      </c>
    </row>
    <row r="165" spans="1:155" x14ac:dyDescent="0.2">
      <c r="A165" s="598">
        <v>746</v>
      </c>
      <c r="B165" t="s">
        <v>1334</v>
      </c>
      <c r="C165" t="s">
        <v>1335</v>
      </c>
      <c r="D165" t="s">
        <v>1336</v>
      </c>
      <c r="E165"/>
      <c r="F165" t="s">
        <v>1337</v>
      </c>
      <c r="G165" t="s">
        <v>54</v>
      </c>
      <c r="H165" t="s">
        <v>2738</v>
      </c>
      <c r="I165"/>
      <c r="J165" t="s">
        <v>1338</v>
      </c>
      <c r="K165"/>
      <c r="L165" t="s">
        <v>1335</v>
      </c>
      <c r="M165" t="s">
        <v>1337</v>
      </c>
      <c r="N165" t="s">
        <v>54</v>
      </c>
      <c r="O165" t="s">
        <v>2738</v>
      </c>
      <c r="P165"/>
      <c r="Q165">
        <v>5074511120</v>
      </c>
      <c r="R165"/>
      <c r="S165" t="s">
        <v>1085</v>
      </c>
      <c r="T165" t="s">
        <v>1339</v>
      </c>
      <c r="U165" t="s">
        <v>1340</v>
      </c>
      <c r="V165" t="s">
        <v>1341</v>
      </c>
      <c r="W165" t="s">
        <v>2164</v>
      </c>
      <c r="X165" t="s">
        <v>1342</v>
      </c>
      <c r="Y165" t="s">
        <v>1145</v>
      </c>
      <c r="Z165" t="s">
        <v>2071</v>
      </c>
      <c r="AA165" t="s">
        <v>1334</v>
      </c>
      <c r="AB165">
        <v>5074465175</v>
      </c>
      <c r="AC165"/>
      <c r="AD165">
        <v>5074465224</v>
      </c>
      <c r="AE165" t="s">
        <v>1343</v>
      </c>
      <c r="AF165" t="s">
        <v>1338</v>
      </c>
      <c r="AG165"/>
      <c r="AH165" t="s">
        <v>1335</v>
      </c>
      <c r="AI165" t="s">
        <v>1337</v>
      </c>
      <c r="AJ165" t="s">
        <v>54</v>
      </c>
      <c r="AK165" t="s">
        <v>2738</v>
      </c>
      <c r="AL165"/>
      <c r="AM165" t="s">
        <v>1309</v>
      </c>
      <c r="AN165" t="s">
        <v>1344</v>
      </c>
      <c r="AO165" t="s">
        <v>1345</v>
      </c>
      <c r="AP165" t="s">
        <v>1334</v>
      </c>
      <c r="AQ165">
        <v>5074445015</v>
      </c>
      <c r="AR165"/>
      <c r="AS165">
        <v>5074465198</v>
      </c>
      <c r="AT165" t="s">
        <v>1346</v>
      </c>
      <c r="AU165" t="s">
        <v>1336</v>
      </c>
      <c r="AV165"/>
      <c r="AW165" t="s">
        <v>1335</v>
      </c>
      <c r="AX165" t="s">
        <v>1337</v>
      </c>
      <c r="AY165" t="s">
        <v>54</v>
      </c>
      <c r="AZ165" t="s">
        <v>2738</v>
      </c>
      <c r="BA165"/>
      <c r="BB165" t="s">
        <v>1347</v>
      </c>
      <c r="BC165" t="s">
        <v>1348</v>
      </c>
      <c r="BD165" t="s">
        <v>1349</v>
      </c>
      <c r="BE165" t="s">
        <v>1334</v>
      </c>
      <c r="BF165">
        <v>5079772049</v>
      </c>
      <c r="BG165"/>
      <c r="BH165">
        <v>5074465198</v>
      </c>
      <c r="BI165" t="s">
        <v>1350</v>
      </c>
      <c r="BJ165" t="s">
        <v>1336</v>
      </c>
      <c r="BK165"/>
      <c r="BL165" t="s">
        <v>1335</v>
      </c>
      <c r="BM165" t="s">
        <v>1337</v>
      </c>
      <c r="BN165" t="s">
        <v>54</v>
      </c>
      <c r="BO165" t="s">
        <v>2738</v>
      </c>
      <c r="BP165"/>
      <c r="BQ165"/>
      <c r="BR165"/>
      <c r="BS165"/>
      <c r="BT165"/>
      <c r="BU165"/>
      <c r="BV165"/>
      <c r="BW165"/>
      <c r="BX165"/>
      <c r="BY165"/>
      <c r="BZ165"/>
      <c r="CA165"/>
      <c r="CB165"/>
      <c r="CC165"/>
      <c r="CD165"/>
      <c r="CE165"/>
      <c r="CF165" t="s">
        <v>1351</v>
      </c>
      <c r="CG165" t="s">
        <v>1318</v>
      </c>
      <c r="CH165" t="s">
        <v>141</v>
      </c>
      <c r="CI165"/>
      <c r="CJ165"/>
      <c r="CK165"/>
      <c r="CL165"/>
      <c r="CM165">
        <v>1568415875</v>
      </c>
      <c r="CN165">
        <v>352</v>
      </c>
      <c r="CO165">
        <v>265</v>
      </c>
      <c r="CP165">
        <v>198</v>
      </c>
      <c r="CQ165">
        <v>266</v>
      </c>
      <c r="CR165"/>
      <c r="CS165" t="s">
        <v>2397</v>
      </c>
      <c r="CT165">
        <v>12</v>
      </c>
      <c r="CU165">
        <v>179</v>
      </c>
      <c r="CV165"/>
      <c r="CW165"/>
      <c r="CX165"/>
      <c r="CY165"/>
      <c r="CZ165"/>
      <c r="DA165"/>
      <c r="DB165"/>
      <c r="DC165"/>
      <c r="DD165">
        <v>128</v>
      </c>
      <c r="DE165" t="s">
        <v>2739</v>
      </c>
      <c r="DF165"/>
      <c r="DG165"/>
      <c r="DH165"/>
      <c r="DI165"/>
      <c r="DJ165">
        <v>130</v>
      </c>
      <c r="DK165" t="s">
        <v>2740</v>
      </c>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s="569">
        <v>1140</v>
      </c>
      <c r="ET165" t="s">
        <v>2155</v>
      </c>
      <c r="EU165" t="s">
        <v>1060</v>
      </c>
      <c r="EV165" t="s">
        <v>3026</v>
      </c>
      <c r="EW165" t="s">
        <v>1062</v>
      </c>
      <c r="EX165" s="600">
        <v>58102</v>
      </c>
      <c r="EY165"/>
    </row>
    <row r="166" spans="1:155" x14ac:dyDescent="0.2">
      <c r="A166" s="598">
        <v>880</v>
      </c>
      <c r="B166" t="s">
        <v>1352</v>
      </c>
      <c r="C166" t="s">
        <v>819</v>
      </c>
      <c r="D166" t="s">
        <v>1353</v>
      </c>
      <c r="E166"/>
      <c r="F166" t="s">
        <v>784</v>
      </c>
      <c r="G166" t="s">
        <v>54</v>
      </c>
      <c r="H166" t="s">
        <v>2498</v>
      </c>
      <c r="I166"/>
      <c r="J166" t="s">
        <v>1353</v>
      </c>
      <c r="K166"/>
      <c r="L166" t="s">
        <v>819</v>
      </c>
      <c r="M166" t="s">
        <v>784</v>
      </c>
      <c r="N166" t="s">
        <v>54</v>
      </c>
      <c r="O166" t="s">
        <v>2498</v>
      </c>
      <c r="P166"/>
      <c r="Q166">
        <v>6514303800</v>
      </c>
      <c r="R166">
        <v>6514301447</v>
      </c>
      <c r="S166" t="s">
        <v>1354</v>
      </c>
      <c r="T166" t="s">
        <v>1355</v>
      </c>
      <c r="U166" t="s">
        <v>729</v>
      </c>
      <c r="V166" t="s">
        <v>1356</v>
      </c>
      <c r="W166"/>
      <c r="X166" t="s">
        <v>2072</v>
      </c>
      <c r="Y166" t="s">
        <v>2073</v>
      </c>
      <c r="Z166" t="s">
        <v>2195</v>
      </c>
      <c r="AA166" t="s">
        <v>1352</v>
      </c>
      <c r="AB166">
        <v>6514303800</v>
      </c>
      <c r="AC166">
        <v>4814</v>
      </c>
      <c r="AD166">
        <v>6514301447</v>
      </c>
      <c r="AE166" t="s">
        <v>2074</v>
      </c>
      <c r="AF166" t="s">
        <v>1357</v>
      </c>
      <c r="AG166" t="s">
        <v>1059</v>
      </c>
      <c r="AH166" t="s">
        <v>1358</v>
      </c>
      <c r="AI166" t="s">
        <v>772</v>
      </c>
      <c r="AJ166" t="s">
        <v>54</v>
      </c>
      <c r="AK166" t="s">
        <v>2741</v>
      </c>
      <c r="AL166"/>
      <c r="AM166" t="s">
        <v>1360</v>
      </c>
      <c r="AN166" t="s">
        <v>1361</v>
      </c>
      <c r="AO166" t="s">
        <v>1362</v>
      </c>
      <c r="AP166" t="s">
        <v>1352</v>
      </c>
      <c r="AQ166">
        <v>6514303800</v>
      </c>
      <c r="AR166"/>
      <c r="AS166">
        <v>6514301447</v>
      </c>
      <c r="AT166" t="s">
        <v>1363</v>
      </c>
      <c r="AU166" t="s">
        <v>1357</v>
      </c>
      <c r="AV166" t="s">
        <v>1059</v>
      </c>
      <c r="AW166" t="s">
        <v>1358</v>
      </c>
      <c r="AX166" t="s">
        <v>772</v>
      </c>
      <c r="AY166" t="s">
        <v>54</v>
      </c>
      <c r="AZ166" t="s">
        <v>2741</v>
      </c>
      <c r="BA166"/>
      <c r="BB166"/>
      <c r="BC166"/>
      <c r="BD166"/>
      <c r="BE166"/>
      <c r="BF166"/>
      <c r="BG166"/>
      <c r="BH166"/>
      <c r="BI166"/>
      <c r="BJ166"/>
      <c r="BK166"/>
      <c r="BL166"/>
      <c r="BM166"/>
      <c r="BN166"/>
      <c r="BO166"/>
      <c r="BP166"/>
      <c r="BQ166" t="s">
        <v>2196</v>
      </c>
      <c r="BR166" t="s">
        <v>2197</v>
      </c>
      <c r="BS166" t="s">
        <v>1364</v>
      </c>
      <c r="BT166" t="s">
        <v>1352</v>
      </c>
      <c r="BU166">
        <v>6512593800</v>
      </c>
      <c r="BV166"/>
      <c r="BW166">
        <v>6514301447</v>
      </c>
      <c r="BX166" t="s">
        <v>2198</v>
      </c>
      <c r="BY166" t="s">
        <v>1365</v>
      </c>
      <c r="BZ166" t="s">
        <v>759</v>
      </c>
      <c r="CA166" t="s">
        <v>1358</v>
      </c>
      <c r="CB166" t="s">
        <v>772</v>
      </c>
      <c r="CC166" t="s">
        <v>54</v>
      </c>
      <c r="CD166" t="s">
        <v>2741</v>
      </c>
      <c r="CE166"/>
      <c r="CF166" t="s">
        <v>1366</v>
      </c>
      <c r="CG166" t="s">
        <v>1352</v>
      </c>
      <c r="CH166" t="s">
        <v>141</v>
      </c>
      <c r="CI166"/>
      <c r="CJ166"/>
      <c r="CK166"/>
      <c r="CL166"/>
      <c r="CM166">
        <v>1902836133</v>
      </c>
      <c r="CN166">
        <v>357</v>
      </c>
      <c r="CO166">
        <v>260</v>
      </c>
      <c r="CP166">
        <v>3164</v>
      </c>
      <c r="CQ166"/>
      <c r="CR166">
        <v>239</v>
      </c>
      <c r="CS166" t="s">
        <v>2397</v>
      </c>
      <c r="CT166">
        <v>12</v>
      </c>
      <c r="CU166"/>
      <c r="CV166"/>
      <c r="CW166"/>
      <c r="CX166"/>
      <c r="CY166"/>
      <c r="CZ166"/>
      <c r="DA166"/>
      <c r="DB166"/>
      <c r="DC166"/>
      <c r="DD166">
        <v>128</v>
      </c>
      <c r="DE166" t="s">
        <v>2497</v>
      </c>
      <c r="DF166"/>
      <c r="DG166"/>
      <c r="DH166">
        <v>129</v>
      </c>
      <c r="DI166" t="s">
        <v>2499</v>
      </c>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s="569">
        <v>1395</v>
      </c>
      <c r="ET166" t="s">
        <v>2639</v>
      </c>
      <c r="EU166" t="s">
        <v>1060</v>
      </c>
      <c r="EV166" t="s">
        <v>3026</v>
      </c>
      <c r="EW166" t="s">
        <v>1062</v>
      </c>
      <c r="EX166" s="600">
        <v>58102</v>
      </c>
      <c r="EY166"/>
    </row>
    <row r="167" spans="1:155" x14ac:dyDescent="0.2">
      <c r="A167" s="598">
        <v>736</v>
      </c>
      <c r="B167" t="s">
        <v>1367</v>
      </c>
      <c r="C167" t="s">
        <v>819</v>
      </c>
      <c r="D167" t="s">
        <v>2165</v>
      </c>
      <c r="E167" t="s">
        <v>759</v>
      </c>
      <c r="F167" t="s">
        <v>784</v>
      </c>
      <c r="G167" t="s">
        <v>54</v>
      </c>
      <c r="H167" t="s">
        <v>2498</v>
      </c>
      <c r="I167"/>
      <c r="J167" t="s">
        <v>1368</v>
      </c>
      <c r="K167"/>
      <c r="L167" t="s">
        <v>1369</v>
      </c>
      <c r="M167" t="s">
        <v>737</v>
      </c>
      <c r="N167" t="s">
        <v>54</v>
      </c>
      <c r="O167" t="s">
        <v>2742</v>
      </c>
      <c r="P167"/>
      <c r="Q167">
        <v>9524358516</v>
      </c>
      <c r="R167">
        <v>9524358518</v>
      </c>
      <c r="S167" t="s">
        <v>1370</v>
      </c>
      <c r="T167" t="s">
        <v>1371</v>
      </c>
      <c r="U167" t="s">
        <v>1137</v>
      </c>
      <c r="V167" t="s">
        <v>1372</v>
      </c>
      <c r="W167" t="s">
        <v>1373</v>
      </c>
      <c r="X167" t="s">
        <v>804</v>
      </c>
      <c r="Y167" t="s">
        <v>1374</v>
      </c>
      <c r="Z167" t="s">
        <v>1048</v>
      </c>
      <c r="AA167" t="s">
        <v>1375</v>
      </c>
      <c r="AB167">
        <v>7633024107</v>
      </c>
      <c r="AC167"/>
      <c r="AD167">
        <v>7632872303</v>
      </c>
      <c r="AE167" t="s">
        <v>1376</v>
      </c>
      <c r="AF167" t="s">
        <v>1368</v>
      </c>
      <c r="AG167"/>
      <c r="AH167" t="s">
        <v>1369</v>
      </c>
      <c r="AI167" t="s">
        <v>737</v>
      </c>
      <c r="AJ167" t="s">
        <v>54</v>
      </c>
      <c r="AK167" t="s">
        <v>2742</v>
      </c>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t="s">
        <v>1377</v>
      </c>
      <c r="CG167" t="s">
        <v>1375</v>
      </c>
      <c r="CH167" t="s">
        <v>141</v>
      </c>
      <c r="CI167"/>
      <c r="CJ167"/>
      <c r="CK167"/>
      <c r="CL167"/>
      <c r="CM167">
        <v>1992739247</v>
      </c>
      <c r="CN167">
        <v>190</v>
      </c>
      <c r="CO167">
        <v>188</v>
      </c>
      <c r="CP167"/>
      <c r="CQ167"/>
      <c r="CR167"/>
      <c r="CS167" t="s">
        <v>2397</v>
      </c>
      <c r="CT167">
        <v>12</v>
      </c>
      <c r="CU167"/>
      <c r="CV167"/>
      <c r="CW167"/>
      <c r="CX167"/>
      <c r="CY167"/>
      <c r="CZ167"/>
      <c r="DA167"/>
      <c r="DB167"/>
      <c r="DC167"/>
      <c r="DD167">
        <v>128</v>
      </c>
      <c r="DE167" t="s">
        <v>2533</v>
      </c>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s="569">
        <v>1393</v>
      </c>
      <c r="ET167" t="s">
        <v>2640</v>
      </c>
      <c r="EU167" t="s">
        <v>1060</v>
      </c>
      <c r="EV167" t="s">
        <v>3026</v>
      </c>
      <c r="EW167" t="s">
        <v>1062</v>
      </c>
      <c r="EX167" s="600">
        <v>58102</v>
      </c>
      <c r="EY167"/>
    </row>
    <row r="168" spans="1:155" x14ac:dyDescent="0.2">
      <c r="A168" s="598">
        <v>735</v>
      </c>
      <c r="B168" t="s">
        <v>1378</v>
      </c>
      <c r="C168" t="s">
        <v>1369</v>
      </c>
      <c r="D168" t="s">
        <v>1368</v>
      </c>
      <c r="E168"/>
      <c r="F168" t="s">
        <v>737</v>
      </c>
      <c r="G168" t="s">
        <v>54</v>
      </c>
      <c r="H168" t="s">
        <v>2742</v>
      </c>
      <c r="I168"/>
      <c r="J168" t="s">
        <v>1368</v>
      </c>
      <c r="K168"/>
      <c r="L168" t="s">
        <v>1369</v>
      </c>
      <c r="M168" t="s">
        <v>737</v>
      </c>
      <c r="N168" t="s">
        <v>54</v>
      </c>
      <c r="O168" t="s">
        <v>2742</v>
      </c>
      <c r="P168"/>
      <c r="Q168">
        <v>7635880661</v>
      </c>
      <c r="R168">
        <v>7632872303</v>
      </c>
      <c r="S168" t="s">
        <v>1370</v>
      </c>
      <c r="T168" t="s">
        <v>1371</v>
      </c>
      <c r="U168" t="s">
        <v>1137</v>
      </c>
      <c r="V168" t="s">
        <v>1372</v>
      </c>
      <c r="W168" t="s">
        <v>1373</v>
      </c>
      <c r="X168" t="s">
        <v>804</v>
      </c>
      <c r="Y168" t="s">
        <v>1374</v>
      </c>
      <c r="Z168" t="s">
        <v>1048</v>
      </c>
      <c r="AA168" t="s">
        <v>1375</v>
      </c>
      <c r="AB168">
        <v>7633024107</v>
      </c>
      <c r="AC168"/>
      <c r="AD168">
        <v>7632872303</v>
      </c>
      <c r="AE168" t="s">
        <v>1376</v>
      </c>
      <c r="AF168" t="s">
        <v>1368</v>
      </c>
      <c r="AG168"/>
      <c r="AH168" t="s">
        <v>1369</v>
      </c>
      <c r="AI168" t="s">
        <v>737</v>
      </c>
      <c r="AJ168" t="s">
        <v>54</v>
      </c>
      <c r="AK168" t="s">
        <v>2742</v>
      </c>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t="s">
        <v>1377</v>
      </c>
      <c r="CG168" t="s">
        <v>1375</v>
      </c>
      <c r="CH168" t="s">
        <v>141</v>
      </c>
      <c r="CI168"/>
      <c r="CJ168"/>
      <c r="CK168"/>
      <c r="CL168"/>
      <c r="CM168">
        <v>1992739247</v>
      </c>
      <c r="CN168">
        <v>190</v>
      </c>
      <c r="CO168">
        <v>188</v>
      </c>
      <c r="CP168"/>
      <c r="CQ168"/>
      <c r="CR168"/>
      <c r="CS168" t="s">
        <v>2397</v>
      </c>
      <c r="CT168">
        <v>12</v>
      </c>
      <c r="CU168">
        <v>22</v>
      </c>
      <c r="CV168"/>
      <c r="CW168"/>
      <c r="CX168"/>
      <c r="CY168"/>
      <c r="CZ168"/>
      <c r="DA168"/>
      <c r="DB168"/>
      <c r="DC168"/>
      <c r="DD168">
        <v>128</v>
      </c>
      <c r="DE168" t="s">
        <v>2533</v>
      </c>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s="569">
        <v>1397</v>
      </c>
      <c r="ET168" t="s">
        <v>2641</v>
      </c>
      <c r="EU168" t="s">
        <v>1060</v>
      </c>
      <c r="EV168" t="s">
        <v>3026</v>
      </c>
      <c r="EW168" t="s">
        <v>1062</v>
      </c>
      <c r="EX168" s="600">
        <v>58102</v>
      </c>
      <c r="EY168"/>
    </row>
    <row r="169" spans="1:155" x14ac:dyDescent="0.2">
      <c r="A169" s="598">
        <v>1045</v>
      </c>
      <c r="B169" t="s">
        <v>1379</v>
      </c>
      <c r="C169" t="s">
        <v>1369</v>
      </c>
      <c r="D169" t="s">
        <v>1368</v>
      </c>
      <c r="E169"/>
      <c r="F169" t="s">
        <v>737</v>
      </c>
      <c r="G169" t="s">
        <v>54</v>
      </c>
      <c r="H169" t="s">
        <v>2742</v>
      </c>
      <c r="I169"/>
      <c r="J169" t="s">
        <v>1368</v>
      </c>
      <c r="K169"/>
      <c r="L169" t="s">
        <v>1369</v>
      </c>
      <c r="M169" t="s">
        <v>737</v>
      </c>
      <c r="N169" t="s">
        <v>54</v>
      </c>
      <c r="O169" t="s">
        <v>2742</v>
      </c>
      <c r="P169"/>
      <c r="Q169">
        <v>7635880661</v>
      </c>
      <c r="R169">
        <v>7632872303</v>
      </c>
      <c r="S169" t="s">
        <v>1370</v>
      </c>
      <c r="T169" t="s">
        <v>1371</v>
      </c>
      <c r="U169" t="s">
        <v>1137</v>
      </c>
      <c r="V169" t="s">
        <v>1372</v>
      </c>
      <c r="W169" t="s">
        <v>1373</v>
      </c>
      <c r="X169" t="s">
        <v>804</v>
      </c>
      <c r="Y169" t="s">
        <v>1374</v>
      </c>
      <c r="Z169" t="s">
        <v>1048</v>
      </c>
      <c r="AA169" t="s">
        <v>1375</v>
      </c>
      <c r="AB169">
        <v>7633024107</v>
      </c>
      <c r="AC169"/>
      <c r="AD169">
        <v>7632872303</v>
      </c>
      <c r="AE169" t="s">
        <v>1376</v>
      </c>
      <c r="AF169" t="s">
        <v>1368</v>
      </c>
      <c r="AG169"/>
      <c r="AH169" t="s">
        <v>1369</v>
      </c>
      <c r="AI169" t="s">
        <v>737</v>
      </c>
      <c r="AJ169" t="s">
        <v>54</v>
      </c>
      <c r="AK169" t="s">
        <v>2742</v>
      </c>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t="s">
        <v>804</v>
      </c>
      <c r="BR169" t="s">
        <v>1374</v>
      </c>
      <c r="BS169" t="s">
        <v>1048</v>
      </c>
      <c r="BT169" t="s">
        <v>1375</v>
      </c>
      <c r="BU169">
        <v>7633024107</v>
      </c>
      <c r="BV169"/>
      <c r="BW169">
        <v>7632872303</v>
      </c>
      <c r="BX169" t="s">
        <v>1376</v>
      </c>
      <c r="BY169" t="s">
        <v>1368</v>
      </c>
      <c r="BZ169"/>
      <c r="CA169" t="s">
        <v>1369</v>
      </c>
      <c r="CB169" t="s">
        <v>737</v>
      </c>
      <c r="CC169" t="s">
        <v>54</v>
      </c>
      <c r="CD169" t="s">
        <v>2742</v>
      </c>
      <c r="CE169"/>
      <c r="CF169" t="s">
        <v>1377</v>
      </c>
      <c r="CG169" t="s">
        <v>1375</v>
      </c>
      <c r="CH169" t="s">
        <v>141</v>
      </c>
      <c r="CI169"/>
      <c r="CJ169"/>
      <c r="CK169"/>
      <c r="CL169"/>
      <c r="CM169">
        <v>1992739247</v>
      </c>
      <c r="CN169">
        <v>190</v>
      </c>
      <c r="CO169">
        <v>188</v>
      </c>
      <c r="CP169"/>
      <c r="CQ169"/>
      <c r="CR169">
        <v>188</v>
      </c>
      <c r="CS169" t="s">
        <v>2397</v>
      </c>
      <c r="CT169">
        <v>12</v>
      </c>
      <c r="CU169"/>
      <c r="CV169"/>
      <c r="CW169"/>
      <c r="CX169"/>
      <c r="CY169"/>
      <c r="CZ169"/>
      <c r="DA169"/>
      <c r="DB169"/>
      <c r="DC169"/>
      <c r="DD169">
        <v>128</v>
      </c>
      <c r="DE169" t="s">
        <v>2533</v>
      </c>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s="569">
        <v>1401</v>
      </c>
      <c r="ET169" t="s">
        <v>2642</v>
      </c>
      <c r="EU169" t="s">
        <v>1060</v>
      </c>
      <c r="EV169" t="s">
        <v>3026</v>
      </c>
      <c r="EW169" t="s">
        <v>1062</v>
      </c>
      <c r="EX169" s="600">
        <v>58102</v>
      </c>
      <c r="EY169"/>
    </row>
    <row r="170" spans="1:155" x14ac:dyDescent="0.2">
      <c r="A170" s="598">
        <v>507</v>
      </c>
      <c r="B170" t="s">
        <v>1380</v>
      </c>
      <c r="C170" t="s">
        <v>764</v>
      </c>
      <c r="D170" t="s">
        <v>1381</v>
      </c>
      <c r="E170" t="s">
        <v>1382</v>
      </c>
      <c r="F170" t="s">
        <v>737</v>
      </c>
      <c r="G170" t="s">
        <v>54</v>
      </c>
      <c r="H170" t="s">
        <v>2652</v>
      </c>
      <c r="I170"/>
      <c r="J170" t="s">
        <v>1381</v>
      </c>
      <c r="K170" t="s">
        <v>1382</v>
      </c>
      <c r="L170" t="s">
        <v>764</v>
      </c>
      <c r="M170" t="s">
        <v>737</v>
      </c>
      <c r="N170" t="s">
        <v>54</v>
      </c>
      <c r="O170" t="s">
        <v>2652</v>
      </c>
      <c r="P170"/>
      <c r="Q170">
        <v>6123335000</v>
      </c>
      <c r="R170">
        <v>6123336922</v>
      </c>
      <c r="S170" t="s">
        <v>1383</v>
      </c>
      <c r="T170" t="s">
        <v>1384</v>
      </c>
      <c r="U170" t="s">
        <v>760</v>
      </c>
      <c r="V170" t="s">
        <v>1385</v>
      </c>
      <c r="W170" t="s">
        <v>1386</v>
      </c>
      <c r="X170" t="s">
        <v>1383</v>
      </c>
      <c r="Y170" t="s">
        <v>1384</v>
      </c>
      <c r="Z170" t="s">
        <v>760</v>
      </c>
      <c r="AA170" t="s">
        <v>1380</v>
      </c>
      <c r="AB170">
        <v>6123335000</v>
      </c>
      <c r="AC170"/>
      <c r="AD170">
        <v>6123336922</v>
      </c>
      <c r="AE170" t="s">
        <v>1387</v>
      </c>
      <c r="AF170" t="s">
        <v>754</v>
      </c>
      <c r="AG170"/>
      <c r="AH170"/>
      <c r="AI170"/>
      <c r="AJ170"/>
      <c r="AK170"/>
      <c r="AL170"/>
      <c r="AM170" t="s">
        <v>780</v>
      </c>
      <c r="AN170" t="s">
        <v>1388</v>
      </c>
      <c r="AO170" t="s">
        <v>1389</v>
      </c>
      <c r="AP170" t="s">
        <v>1380</v>
      </c>
      <c r="AQ170">
        <v>6123335000</v>
      </c>
      <c r="AR170"/>
      <c r="AS170">
        <v>6123336922</v>
      </c>
      <c r="AT170" t="s">
        <v>1390</v>
      </c>
      <c r="AU170" t="s">
        <v>1381</v>
      </c>
      <c r="AV170" t="s">
        <v>1382</v>
      </c>
      <c r="AW170" t="s">
        <v>764</v>
      </c>
      <c r="AX170" t="s">
        <v>737</v>
      </c>
      <c r="AY170" t="s">
        <v>54</v>
      </c>
      <c r="AZ170" t="s">
        <v>2652</v>
      </c>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t="s">
        <v>1391</v>
      </c>
      <c r="CG170" t="s">
        <v>755</v>
      </c>
      <c r="CH170" t="s">
        <v>56</v>
      </c>
      <c r="CI170"/>
      <c r="CJ170"/>
      <c r="CK170"/>
      <c r="CL170"/>
      <c r="CM170">
        <v>1629121884</v>
      </c>
      <c r="CN170">
        <v>2866</v>
      </c>
      <c r="CO170">
        <v>2931</v>
      </c>
      <c r="CP170">
        <v>2932</v>
      </c>
      <c r="CQ170"/>
      <c r="CR170"/>
      <c r="CS170" t="s">
        <v>2397</v>
      </c>
      <c r="CT170">
        <v>12</v>
      </c>
      <c r="CU170"/>
      <c r="CV170"/>
      <c r="CW170"/>
      <c r="CX170"/>
      <c r="CY170"/>
      <c r="CZ170"/>
      <c r="DA170"/>
      <c r="DB170"/>
      <c r="DC170"/>
      <c r="DD170"/>
      <c r="DE170"/>
      <c r="DF170"/>
      <c r="DG170"/>
      <c r="DH170"/>
      <c r="DI170"/>
      <c r="DJ170"/>
      <c r="DK170"/>
      <c r="DL170">
        <v>132</v>
      </c>
      <c r="DM170" t="s">
        <v>2743</v>
      </c>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s="569">
        <v>1166</v>
      </c>
      <c r="ET170" t="s">
        <v>1211</v>
      </c>
      <c r="EU170" t="s">
        <v>1060</v>
      </c>
      <c r="EV170" t="s">
        <v>3027</v>
      </c>
      <c r="EW170" t="s">
        <v>1062</v>
      </c>
      <c r="EX170" s="600">
        <v>58104</v>
      </c>
      <c r="EY170"/>
    </row>
    <row r="171" spans="1:155" x14ac:dyDescent="0.2">
      <c r="A171" s="598">
        <v>1430</v>
      </c>
      <c r="B171" t="s">
        <v>2744</v>
      </c>
      <c r="C171" t="s">
        <v>812</v>
      </c>
      <c r="D171" t="s">
        <v>2745</v>
      </c>
      <c r="E171" t="s">
        <v>2746</v>
      </c>
      <c r="F171"/>
      <c r="G171" t="s">
        <v>54</v>
      </c>
      <c r="H171" t="s">
        <v>2494</v>
      </c>
      <c r="I171" t="s">
        <v>2368</v>
      </c>
      <c r="J171" t="s">
        <v>2745</v>
      </c>
      <c r="K171" t="s">
        <v>2746</v>
      </c>
      <c r="L171" t="s">
        <v>812</v>
      </c>
      <c r="M171"/>
      <c r="N171" t="s">
        <v>54</v>
      </c>
      <c r="O171" t="s">
        <v>2494</v>
      </c>
      <c r="P171" t="s">
        <v>2368</v>
      </c>
      <c r="Q171">
        <v>7632963277</v>
      </c>
      <c r="R171">
        <v>7632963296</v>
      </c>
      <c r="S171" t="s">
        <v>2747</v>
      </c>
      <c r="T171" t="s">
        <v>2748</v>
      </c>
      <c r="U171" t="s">
        <v>729</v>
      </c>
      <c r="V171" t="s">
        <v>2368</v>
      </c>
      <c r="W171" t="s">
        <v>2368</v>
      </c>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t="s">
        <v>2749</v>
      </c>
      <c r="CG171" t="s">
        <v>755</v>
      </c>
      <c r="CH171" t="s">
        <v>2368</v>
      </c>
      <c r="CI171"/>
      <c r="CJ171"/>
      <c r="CK171"/>
      <c r="CL171"/>
      <c r="CM171"/>
      <c r="CN171">
        <v>2521</v>
      </c>
      <c r="CO171"/>
      <c r="CP171"/>
      <c r="CQ171"/>
      <c r="CR171"/>
      <c r="CS171"/>
      <c r="CT171"/>
      <c r="CU171"/>
      <c r="CV171"/>
      <c r="CW171"/>
      <c r="CX171" t="s">
        <v>2368</v>
      </c>
      <c r="CY171"/>
      <c r="CZ171" t="s">
        <v>2368</v>
      </c>
      <c r="DA171" t="s">
        <v>2368</v>
      </c>
      <c r="DB171" t="s">
        <v>2368</v>
      </c>
      <c r="DC171" t="s">
        <v>2368</v>
      </c>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s="569">
        <v>117</v>
      </c>
      <c r="ET171" t="s">
        <v>1842</v>
      </c>
      <c r="EU171" t="s">
        <v>1045</v>
      </c>
      <c r="EV171" t="s">
        <v>1421</v>
      </c>
      <c r="EW171" t="s">
        <v>54</v>
      </c>
      <c r="EX171" s="599">
        <v>55021</v>
      </c>
      <c r="EY171">
        <v>1194751313</v>
      </c>
    </row>
    <row r="172" spans="1:155" x14ac:dyDescent="0.2">
      <c r="A172" s="598">
        <v>753</v>
      </c>
      <c r="B172" t="s">
        <v>1392</v>
      </c>
      <c r="C172" t="s">
        <v>790</v>
      </c>
      <c r="D172" t="s">
        <v>1393</v>
      </c>
      <c r="E172"/>
      <c r="F172" t="s">
        <v>752</v>
      </c>
      <c r="G172" t="s">
        <v>54</v>
      </c>
      <c r="H172" t="s">
        <v>2468</v>
      </c>
      <c r="I172"/>
      <c r="J172" t="s">
        <v>1393</v>
      </c>
      <c r="K172"/>
      <c r="L172" t="s">
        <v>790</v>
      </c>
      <c r="M172" t="s">
        <v>752</v>
      </c>
      <c r="N172" t="s">
        <v>54</v>
      </c>
      <c r="O172" t="s">
        <v>2468</v>
      </c>
      <c r="P172"/>
      <c r="Q172">
        <v>6517797978</v>
      </c>
      <c r="R172">
        <v>6517797656</v>
      </c>
      <c r="S172" t="s">
        <v>1394</v>
      </c>
      <c r="T172" t="s">
        <v>1135</v>
      </c>
      <c r="U172" t="s">
        <v>785</v>
      </c>
      <c r="V172" t="s">
        <v>1395</v>
      </c>
      <c r="W172" t="s">
        <v>1396</v>
      </c>
      <c r="X172" t="s">
        <v>1397</v>
      </c>
      <c r="Y172" t="s">
        <v>1398</v>
      </c>
      <c r="Z172" t="s">
        <v>1208</v>
      </c>
      <c r="AA172" t="s">
        <v>1392</v>
      </c>
      <c r="AB172">
        <v>6516025389</v>
      </c>
      <c r="AC172"/>
      <c r="AD172">
        <v>6514143109</v>
      </c>
      <c r="AE172" t="s">
        <v>1399</v>
      </c>
      <c r="AF172" t="s">
        <v>1400</v>
      </c>
      <c r="AG172" t="s">
        <v>1401</v>
      </c>
      <c r="AH172" t="s">
        <v>787</v>
      </c>
      <c r="AI172" t="s">
        <v>752</v>
      </c>
      <c r="AJ172" t="s">
        <v>54</v>
      </c>
      <c r="AK172" t="s">
        <v>2750</v>
      </c>
      <c r="AL172"/>
      <c r="AM172" t="s">
        <v>1402</v>
      </c>
      <c r="AN172" t="s">
        <v>1403</v>
      </c>
      <c r="AO172" t="s">
        <v>731</v>
      </c>
      <c r="AP172" t="s">
        <v>1392</v>
      </c>
      <c r="AQ172">
        <v>6516025330</v>
      </c>
      <c r="AR172"/>
      <c r="AS172">
        <v>6514143109</v>
      </c>
      <c r="AT172" t="s">
        <v>1404</v>
      </c>
      <c r="AU172" t="s">
        <v>1400</v>
      </c>
      <c r="AV172" t="s">
        <v>1401</v>
      </c>
      <c r="AW172" t="s">
        <v>787</v>
      </c>
      <c r="AX172" t="s">
        <v>752</v>
      </c>
      <c r="AY172" t="s">
        <v>54</v>
      </c>
      <c r="AZ172" t="s">
        <v>2750</v>
      </c>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t="s">
        <v>1405</v>
      </c>
      <c r="CG172" t="s">
        <v>1406</v>
      </c>
      <c r="CH172" t="s">
        <v>56</v>
      </c>
      <c r="CI172"/>
      <c r="CJ172"/>
      <c r="CK172"/>
      <c r="CL172"/>
      <c r="CM172">
        <v>1376686774</v>
      </c>
      <c r="CN172">
        <v>406</v>
      </c>
      <c r="CO172">
        <v>191</v>
      </c>
      <c r="CP172">
        <v>3205</v>
      </c>
      <c r="CQ172"/>
      <c r="CR172"/>
      <c r="CS172" t="s">
        <v>2397</v>
      </c>
      <c r="CT172">
        <v>12</v>
      </c>
      <c r="CU172"/>
      <c r="CV172"/>
      <c r="CW172"/>
      <c r="CX172"/>
      <c r="CY172"/>
      <c r="CZ172"/>
      <c r="DA172"/>
      <c r="DB172"/>
      <c r="DC172"/>
      <c r="DD172"/>
      <c r="DE172"/>
      <c r="DF172">
        <v>131</v>
      </c>
      <c r="DG172" t="s">
        <v>2751</v>
      </c>
      <c r="DH172">
        <v>129</v>
      </c>
      <c r="DI172" t="s">
        <v>2412</v>
      </c>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s="569">
        <v>1064</v>
      </c>
      <c r="ET172" t="s">
        <v>1420</v>
      </c>
      <c r="EU172" t="s">
        <v>1045</v>
      </c>
      <c r="EV172" t="s">
        <v>3028</v>
      </c>
      <c r="EW172" t="s">
        <v>54</v>
      </c>
      <c r="EX172" s="600">
        <v>55021</v>
      </c>
      <c r="EY172">
        <v>1356458475</v>
      </c>
    </row>
    <row r="173" spans="1:155" x14ac:dyDescent="0.2">
      <c r="A173" s="598">
        <v>707</v>
      </c>
      <c r="B173" t="s">
        <v>2752</v>
      </c>
      <c r="C173" t="s">
        <v>1049</v>
      </c>
      <c r="D173" t="s">
        <v>2753</v>
      </c>
      <c r="E173" t="s">
        <v>2368</v>
      </c>
      <c r="F173" t="s">
        <v>737</v>
      </c>
      <c r="G173" t="s">
        <v>54</v>
      </c>
      <c r="H173" t="s">
        <v>2433</v>
      </c>
      <c r="I173" t="s">
        <v>2754</v>
      </c>
      <c r="J173" t="s">
        <v>2753</v>
      </c>
      <c r="K173" t="s">
        <v>2368</v>
      </c>
      <c r="L173" t="s">
        <v>1049</v>
      </c>
      <c r="M173" t="s">
        <v>737</v>
      </c>
      <c r="N173" t="s">
        <v>54</v>
      </c>
      <c r="O173" t="s">
        <v>2433</v>
      </c>
      <c r="P173"/>
      <c r="Q173">
        <v>9526531431</v>
      </c>
      <c r="R173">
        <v>9529260294</v>
      </c>
      <c r="S173" t="s">
        <v>1784</v>
      </c>
      <c r="T173" t="s">
        <v>1785</v>
      </c>
      <c r="U173" t="s">
        <v>729</v>
      </c>
      <c r="V173" t="s">
        <v>1786</v>
      </c>
      <c r="W173" t="s">
        <v>1787</v>
      </c>
      <c r="X173" t="s">
        <v>1784</v>
      </c>
      <c r="Y173" t="s">
        <v>1785</v>
      </c>
      <c r="Z173" t="s">
        <v>1788</v>
      </c>
      <c r="AA173" t="s">
        <v>2752</v>
      </c>
      <c r="AB173">
        <v>4697743561</v>
      </c>
      <c r="AC173"/>
      <c r="AD173">
        <v>9529260294</v>
      </c>
      <c r="AE173" t="s">
        <v>1786</v>
      </c>
      <c r="AF173" t="s">
        <v>754</v>
      </c>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t="s">
        <v>755</v>
      </c>
      <c r="CH173"/>
      <c r="CI173"/>
      <c r="CJ173"/>
      <c r="CK173"/>
      <c r="CL173"/>
      <c r="CM173">
        <v>1962598920</v>
      </c>
      <c r="CN173">
        <v>365</v>
      </c>
      <c r="CO173">
        <v>226</v>
      </c>
      <c r="CP173"/>
      <c r="CQ173"/>
      <c r="CR173"/>
      <c r="CS173" t="s">
        <v>2397</v>
      </c>
      <c r="CT173">
        <v>12</v>
      </c>
      <c r="CU173"/>
      <c r="CV173"/>
      <c r="CW173"/>
      <c r="CX173"/>
      <c r="CY173"/>
      <c r="CZ173"/>
      <c r="DA173"/>
      <c r="DB173"/>
      <c r="DC173"/>
      <c r="DD173"/>
      <c r="DE173"/>
      <c r="DF173"/>
      <c r="DG173"/>
      <c r="DH173"/>
      <c r="DI173"/>
      <c r="DJ173"/>
      <c r="DK173"/>
      <c r="DL173"/>
      <c r="DM173"/>
      <c r="DN173">
        <v>133</v>
      </c>
      <c r="DO173" t="s">
        <v>2755</v>
      </c>
      <c r="DP173"/>
      <c r="DQ173"/>
      <c r="DR173"/>
      <c r="DS173"/>
      <c r="DT173"/>
      <c r="DU173"/>
      <c r="DV173"/>
      <c r="DW173"/>
      <c r="DX173"/>
      <c r="DY173"/>
      <c r="DZ173"/>
      <c r="EA173"/>
      <c r="EB173"/>
      <c r="EC173"/>
      <c r="ED173"/>
      <c r="EE173"/>
      <c r="EF173"/>
      <c r="EG173"/>
      <c r="EH173"/>
      <c r="EI173"/>
      <c r="EJ173"/>
      <c r="EK173"/>
      <c r="EL173"/>
      <c r="EM173"/>
      <c r="EN173"/>
      <c r="EO173"/>
      <c r="EP173"/>
      <c r="EQ173"/>
      <c r="ER173"/>
      <c r="ES173" s="569">
        <v>250</v>
      </c>
      <c r="ET173" t="s">
        <v>1843</v>
      </c>
      <c r="EU173" t="s">
        <v>1844</v>
      </c>
      <c r="EV173" t="s">
        <v>2288</v>
      </c>
      <c r="EW173" t="s">
        <v>54</v>
      </c>
      <c r="EX173" s="599">
        <v>56538</v>
      </c>
      <c r="EY173">
        <v>1962583039</v>
      </c>
    </row>
    <row r="174" spans="1:155" x14ac:dyDescent="0.2">
      <c r="A174" s="598">
        <v>558</v>
      </c>
      <c r="B174" t="s">
        <v>1407</v>
      </c>
      <c r="C174" t="s">
        <v>1464</v>
      </c>
      <c r="D174" t="s">
        <v>2756</v>
      </c>
      <c r="E174" t="s">
        <v>2368</v>
      </c>
      <c r="F174" t="s">
        <v>737</v>
      </c>
      <c r="G174" t="s">
        <v>54</v>
      </c>
      <c r="H174" t="s">
        <v>2757</v>
      </c>
      <c r="I174"/>
      <c r="J174" t="s">
        <v>2255</v>
      </c>
      <c r="K174" t="s">
        <v>2256</v>
      </c>
      <c r="L174" t="s">
        <v>1049</v>
      </c>
      <c r="M174" t="s">
        <v>737</v>
      </c>
      <c r="N174" t="s">
        <v>54</v>
      </c>
      <c r="O174" t="s">
        <v>2433</v>
      </c>
      <c r="P174"/>
      <c r="Q174">
        <v>6122063973</v>
      </c>
      <c r="R174">
        <v>6122063974</v>
      </c>
      <c r="S174" t="s">
        <v>1408</v>
      </c>
      <c r="T174" t="s">
        <v>1409</v>
      </c>
      <c r="U174" t="s">
        <v>1410</v>
      </c>
      <c r="V174" t="s">
        <v>1411</v>
      </c>
      <c r="W174" t="s">
        <v>1412</v>
      </c>
      <c r="X174" t="s">
        <v>1408</v>
      </c>
      <c r="Y174" t="s">
        <v>1409</v>
      </c>
      <c r="Z174" t="s">
        <v>1410</v>
      </c>
      <c r="AA174" t="s">
        <v>1407</v>
      </c>
      <c r="AB174">
        <v>6122063973</v>
      </c>
      <c r="AC174"/>
      <c r="AD174">
        <v>6122063974</v>
      </c>
      <c r="AE174" t="s">
        <v>1411</v>
      </c>
      <c r="AF174" t="s">
        <v>2255</v>
      </c>
      <c r="AG174" t="s">
        <v>2256</v>
      </c>
      <c r="AH174" t="s">
        <v>1049</v>
      </c>
      <c r="AI174" t="s">
        <v>737</v>
      </c>
      <c r="AJ174" t="s">
        <v>54</v>
      </c>
      <c r="AK174" t="s">
        <v>2433</v>
      </c>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t="s">
        <v>1408</v>
      </c>
      <c r="BR174" t="s">
        <v>1409</v>
      </c>
      <c r="BS174" t="s">
        <v>1410</v>
      </c>
      <c r="BT174" t="s">
        <v>1407</v>
      </c>
      <c r="BU174">
        <v>6122063973</v>
      </c>
      <c r="BV174"/>
      <c r="BW174">
        <v>6122063974</v>
      </c>
      <c r="BX174" t="s">
        <v>1411</v>
      </c>
      <c r="BY174" t="s">
        <v>2255</v>
      </c>
      <c r="BZ174" t="s">
        <v>2256</v>
      </c>
      <c r="CA174" t="s">
        <v>1049</v>
      </c>
      <c r="CB174" t="s">
        <v>737</v>
      </c>
      <c r="CC174" t="s">
        <v>54</v>
      </c>
      <c r="CD174" t="s">
        <v>2433</v>
      </c>
      <c r="CE174"/>
      <c r="CF174" t="s">
        <v>1413</v>
      </c>
      <c r="CG174" t="s">
        <v>755</v>
      </c>
      <c r="CH174"/>
      <c r="CI174"/>
      <c r="CJ174"/>
      <c r="CK174"/>
      <c r="CL174"/>
      <c r="CM174">
        <v>1073819918</v>
      </c>
      <c r="CN174">
        <v>3137</v>
      </c>
      <c r="CO174">
        <v>633</v>
      </c>
      <c r="CP174"/>
      <c r="CQ174"/>
      <c r="CR174">
        <v>633</v>
      </c>
      <c r="CS174" t="s">
        <v>2397</v>
      </c>
      <c r="CT174">
        <v>12</v>
      </c>
      <c r="CU174"/>
      <c r="CV174"/>
      <c r="CW174"/>
      <c r="CX174"/>
      <c r="CY174"/>
      <c r="CZ174"/>
      <c r="DA174"/>
      <c r="DB174"/>
      <c r="DC174"/>
      <c r="DD174"/>
      <c r="DE174"/>
      <c r="DF174"/>
      <c r="DG174"/>
      <c r="DH174"/>
      <c r="DI174"/>
      <c r="DJ174"/>
      <c r="DK174"/>
      <c r="DL174">
        <v>132</v>
      </c>
      <c r="DM174" t="s">
        <v>2519</v>
      </c>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s="569">
        <v>71</v>
      </c>
      <c r="ET174" t="s">
        <v>1845</v>
      </c>
      <c r="EU174" t="s">
        <v>1844</v>
      </c>
      <c r="EV174" t="s">
        <v>2289</v>
      </c>
      <c r="EW174" t="s">
        <v>54</v>
      </c>
      <c r="EX174" s="599">
        <v>56537</v>
      </c>
      <c r="EY174">
        <v>1093713372</v>
      </c>
    </row>
    <row r="175" spans="1:155" x14ac:dyDescent="0.2">
      <c r="A175" s="598">
        <v>528</v>
      </c>
      <c r="B175" t="s">
        <v>1414</v>
      </c>
      <c r="C175" t="s">
        <v>774</v>
      </c>
      <c r="D175" t="s">
        <v>775</v>
      </c>
      <c r="E175"/>
      <c r="F175" t="s">
        <v>776</v>
      </c>
      <c r="G175" t="s">
        <v>54</v>
      </c>
      <c r="H175" t="s">
        <v>2423</v>
      </c>
      <c r="I175" t="s">
        <v>2424</v>
      </c>
      <c r="J175" t="s">
        <v>1415</v>
      </c>
      <c r="K175" t="s">
        <v>1416</v>
      </c>
      <c r="L175" t="s">
        <v>764</v>
      </c>
      <c r="M175" t="s">
        <v>737</v>
      </c>
      <c r="N175" t="s">
        <v>54</v>
      </c>
      <c r="O175" t="s">
        <v>2416</v>
      </c>
      <c r="P175"/>
      <c r="Q175">
        <v>6128636175</v>
      </c>
      <c r="R175">
        <v>6128638887</v>
      </c>
      <c r="S175" t="s">
        <v>1264</v>
      </c>
      <c r="T175" t="s">
        <v>2758</v>
      </c>
      <c r="U175" t="s">
        <v>805</v>
      </c>
      <c r="V175" t="s">
        <v>2759</v>
      </c>
      <c r="W175" t="s">
        <v>1417</v>
      </c>
      <c r="X175" t="s">
        <v>1074</v>
      </c>
      <c r="Y175" t="s">
        <v>1075</v>
      </c>
      <c r="Z175" t="s">
        <v>761</v>
      </c>
      <c r="AA175" t="s">
        <v>1418</v>
      </c>
      <c r="AB175">
        <v>6125732233</v>
      </c>
      <c r="AC175"/>
      <c r="AD175">
        <v>6125732250</v>
      </c>
      <c r="AE175" t="s">
        <v>1077</v>
      </c>
      <c r="AF175" t="s">
        <v>1419</v>
      </c>
      <c r="AG175" t="s">
        <v>735</v>
      </c>
      <c r="AH175" t="s">
        <v>1049</v>
      </c>
      <c r="AI175" t="s">
        <v>737</v>
      </c>
      <c r="AJ175" t="s">
        <v>54</v>
      </c>
      <c r="AK175" t="s">
        <v>2760</v>
      </c>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t="s">
        <v>1066</v>
      </c>
      <c r="CH175" t="s">
        <v>141</v>
      </c>
      <c r="CI175" t="s">
        <v>768</v>
      </c>
      <c r="CJ175" t="s">
        <v>141</v>
      </c>
      <c r="CK175"/>
      <c r="CL175"/>
      <c r="CM175"/>
      <c r="CN175">
        <v>424</v>
      </c>
      <c r="CO175">
        <v>150</v>
      </c>
      <c r="CP175"/>
      <c r="CQ175"/>
      <c r="CR175"/>
      <c r="CS175" t="s">
        <v>2397</v>
      </c>
      <c r="CT175">
        <v>12</v>
      </c>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s="569">
        <v>758</v>
      </c>
      <c r="ET175" t="s">
        <v>769</v>
      </c>
      <c r="EU175" t="s">
        <v>770</v>
      </c>
      <c r="EV175" t="s">
        <v>3029</v>
      </c>
      <c r="EW175" t="s">
        <v>54</v>
      </c>
      <c r="EX175" s="600">
        <v>55025</v>
      </c>
      <c r="EY175">
        <v>1760421135</v>
      </c>
    </row>
    <row r="176" spans="1:155" x14ac:dyDescent="0.2">
      <c r="A176" s="598">
        <v>1064</v>
      </c>
      <c r="B176" t="s">
        <v>1420</v>
      </c>
      <c r="C176" t="s">
        <v>1045</v>
      </c>
      <c r="D176" t="s">
        <v>1421</v>
      </c>
      <c r="E176"/>
      <c r="F176" t="s">
        <v>776</v>
      </c>
      <c r="G176" t="s">
        <v>54</v>
      </c>
      <c r="H176" t="s">
        <v>2761</v>
      </c>
      <c r="I176"/>
      <c r="J176" t="s">
        <v>1415</v>
      </c>
      <c r="K176" t="s">
        <v>1416</v>
      </c>
      <c r="L176" t="s">
        <v>764</v>
      </c>
      <c r="M176" t="s">
        <v>737</v>
      </c>
      <c r="N176" t="s">
        <v>54</v>
      </c>
      <c r="O176" t="s">
        <v>2416</v>
      </c>
      <c r="P176"/>
      <c r="Q176">
        <v>6128636175</v>
      </c>
      <c r="R176">
        <v>6128638887</v>
      </c>
      <c r="S176" t="s">
        <v>1264</v>
      </c>
      <c r="T176" t="s">
        <v>2758</v>
      </c>
      <c r="U176" t="s">
        <v>805</v>
      </c>
      <c r="V176" t="s">
        <v>2759</v>
      </c>
      <c r="W176" t="s">
        <v>1417</v>
      </c>
      <c r="X176" t="s">
        <v>1074</v>
      </c>
      <c r="Y176" t="s">
        <v>1075</v>
      </c>
      <c r="Z176" t="s">
        <v>761</v>
      </c>
      <c r="AA176" t="s">
        <v>1418</v>
      </c>
      <c r="AB176">
        <v>6125732233</v>
      </c>
      <c r="AC176"/>
      <c r="AD176">
        <v>6125732250</v>
      </c>
      <c r="AE176" t="s">
        <v>1077</v>
      </c>
      <c r="AF176" t="s">
        <v>1419</v>
      </c>
      <c r="AG176" t="s">
        <v>735</v>
      </c>
      <c r="AH176" t="s">
        <v>1049</v>
      </c>
      <c r="AI176" t="s">
        <v>737</v>
      </c>
      <c r="AJ176" t="s">
        <v>54</v>
      </c>
      <c r="AK176" t="s">
        <v>2760</v>
      </c>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t="s">
        <v>1066</v>
      </c>
      <c r="CH176" t="s">
        <v>141</v>
      </c>
      <c r="CI176" t="s">
        <v>768</v>
      </c>
      <c r="CJ176" t="s">
        <v>141</v>
      </c>
      <c r="CK176"/>
      <c r="CL176"/>
      <c r="CM176">
        <v>1356458475</v>
      </c>
      <c r="CN176">
        <v>424</v>
      </c>
      <c r="CO176">
        <v>150</v>
      </c>
      <c r="CP176"/>
      <c r="CQ176"/>
      <c r="CR176"/>
      <c r="CS176" t="s">
        <v>2397</v>
      </c>
      <c r="CT176">
        <v>12</v>
      </c>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s="569">
        <v>46</v>
      </c>
      <c r="ET176" t="s">
        <v>2290</v>
      </c>
      <c r="EU176" t="s">
        <v>1612</v>
      </c>
      <c r="EV176" t="s">
        <v>2291</v>
      </c>
      <c r="EW176" t="s">
        <v>54</v>
      </c>
      <c r="EX176" s="599">
        <v>56542</v>
      </c>
      <c r="EY176">
        <v>1497850119</v>
      </c>
    </row>
    <row r="177" spans="1:155" x14ac:dyDescent="0.2">
      <c r="A177" s="598">
        <v>582</v>
      </c>
      <c r="B177" t="s">
        <v>1422</v>
      </c>
      <c r="C177" t="s">
        <v>1423</v>
      </c>
      <c r="D177" t="s">
        <v>1424</v>
      </c>
      <c r="E177"/>
      <c r="F177" t="s">
        <v>955</v>
      </c>
      <c r="G177" t="s">
        <v>54</v>
      </c>
      <c r="H177" t="s">
        <v>2762</v>
      </c>
      <c r="I177" t="s">
        <v>2763</v>
      </c>
      <c r="J177" t="s">
        <v>1415</v>
      </c>
      <c r="K177" t="s">
        <v>1416</v>
      </c>
      <c r="L177" t="s">
        <v>764</v>
      </c>
      <c r="M177" t="s">
        <v>737</v>
      </c>
      <c r="N177" t="s">
        <v>54</v>
      </c>
      <c r="O177" t="s">
        <v>2416</v>
      </c>
      <c r="P177"/>
      <c r="Q177">
        <v>6128636175</v>
      </c>
      <c r="R177">
        <v>6128638887</v>
      </c>
      <c r="S177" t="s">
        <v>1264</v>
      </c>
      <c r="T177" t="s">
        <v>2758</v>
      </c>
      <c r="U177" t="s">
        <v>805</v>
      </c>
      <c r="V177" t="s">
        <v>2759</v>
      </c>
      <c r="W177" t="s">
        <v>1417</v>
      </c>
      <c r="X177" t="s">
        <v>1074</v>
      </c>
      <c r="Y177" t="s">
        <v>1075</v>
      </c>
      <c r="Z177" t="s">
        <v>761</v>
      </c>
      <c r="AA177" t="s">
        <v>1418</v>
      </c>
      <c r="AB177">
        <v>6125732233</v>
      </c>
      <c r="AC177"/>
      <c r="AD177">
        <v>6125732250</v>
      </c>
      <c r="AE177" t="s">
        <v>1077</v>
      </c>
      <c r="AF177" t="s">
        <v>1419</v>
      </c>
      <c r="AG177" t="s">
        <v>735</v>
      </c>
      <c r="AH177" t="s">
        <v>1049</v>
      </c>
      <c r="AI177" t="s">
        <v>737</v>
      </c>
      <c r="AJ177" t="s">
        <v>54</v>
      </c>
      <c r="AK177" t="s">
        <v>2760</v>
      </c>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t="s">
        <v>1066</v>
      </c>
      <c r="CH177" t="s">
        <v>141</v>
      </c>
      <c r="CI177" t="s">
        <v>768</v>
      </c>
      <c r="CJ177" t="s">
        <v>141</v>
      </c>
      <c r="CK177"/>
      <c r="CL177"/>
      <c r="CM177"/>
      <c r="CN177">
        <v>424</v>
      </c>
      <c r="CO177">
        <v>150</v>
      </c>
      <c r="CP177"/>
      <c r="CQ177"/>
      <c r="CR177"/>
      <c r="CS177" t="s">
        <v>2397</v>
      </c>
      <c r="CT177">
        <v>12</v>
      </c>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s="569">
        <v>760</v>
      </c>
      <c r="ET177" t="s">
        <v>1611</v>
      </c>
      <c r="EU177" t="s">
        <v>1612</v>
      </c>
      <c r="EV177" t="s">
        <v>3030</v>
      </c>
      <c r="EW177" t="s">
        <v>54</v>
      </c>
      <c r="EX177" s="600">
        <v>56542</v>
      </c>
      <c r="EY177">
        <v>1679528194</v>
      </c>
    </row>
    <row r="178" spans="1:155" x14ac:dyDescent="0.2">
      <c r="A178" s="598">
        <v>527</v>
      </c>
      <c r="B178" t="s">
        <v>1425</v>
      </c>
      <c r="C178" t="s">
        <v>1426</v>
      </c>
      <c r="D178" t="s">
        <v>1427</v>
      </c>
      <c r="E178"/>
      <c r="F178" t="s">
        <v>1024</v>
      </c>
      <c r="G178" t="s">
        <v>54</v>
      </c>
      <c r="H178" t="s">
        <v>2764</v>
      </c>
      <c r="I178" t="s">
        <v>2765</v>
      </c>
      <c r="J178" t="s">
        <v>1415</v>
      </c>
      <c r="K178" t="s">
        <v>1416</v>
      </c>
      <c r="L178" t="s">
        <v>764</v>
      </c>
      <c r="M178" t="s">
        <v>737</v>
      </c>
      <c r="N178" t="s">
        <v>54</v>
      </c>
      <c r="O178" t="s">
        <v>2416</v>
      </c>
      <c r="P178"/>
      <c r="Q178">
        <v>6128636175</v>
      </c>
      <c r="R178">
        <v>6128638887</v>
      </c>
      <c r="S178" t="s">
        <v>1264</v>
      </c>
      <c r="T178" t="s">
        <v>2758</v>
      </c>
      <c r="U178" t="s">
        <v>805</v>
      </c>
      <c r="V178" t="s">
        <v>2759</v>
      </c>
      <c r="W178" t="s">
        <v>1417</v>
      </c>
      <c r="X178" t="s">
        <v>1074</v>
      </c>
      <c r="Y178" t="s">
        <v>1075</v>
      </c>
      <c r="Z178" t="s">
        <v>761</v>
      </c>
      <c r="AA178" t="s">
        <v>1418</v>
      </c>
      <c r="AB178">
        <v>6125732233</v>
      </c>
      <c r="AC178"/>
      <c r="AD178">
        <v>6125732250</v>
      </c>
      <c r="AE178" t="s">
        <v>1077</v>
      </c>
      <c r="AF178" t="s">
        <v>1419</v>
      </c>
      <c r="AG178" t="s">
        <v>735</v>
      </c>
      <c r="AH178" t="s">
        <v>1049</v>
      </c>
      <c r="AI178" t="s">
        <v>737</v>
      </c>
      <c r="AJ178" t="s">
        <v>54</v>
      </c>
      <c r="AK178" t="s">
        <v>2760</v>
      </c>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t="s">
        <v>1066</v>
      </c>
      <c r="CH178" t="s">
        <v>141</v>
      </c>
      <c r="CI178" t="s">
        <v>768</v>
      </c>
      <c r="CJ178" t="s">
        <v>141</v>
      </c>
      <c r="CK178"/>
      <c r="CL178"/>
      <c r="CM178"/>
      <c r="CN178">
        <v>424</v>
      </c>
      <c r="CO178">
        <v>150</v>
      </c>
      <c r="CP178"/>
      <c r="CQ178"/>
      <c r="CR178"/>
      <c r="CS178" t="s">
        <v>2397</v>
      </c>
      <c r="CT178">
        <v>12</v>
      </c>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s="569">
        <v>1238</v>
      </c>
      <c r="ET178" t="s">
        <v>2185</v>
      </c>
      <c r="EU178" t="s">
        <v>1441</v>
      </c>
      <c r="EV178" t="s">
        <v>3031</v>
      </c>
      <c r="EW178" t="s">
        <v>54</v>
      </c>
      <c r="EX178" s="600">
        <v>55432</v>
      </c>
      <c r="EY178">
        <v>1629027594</v>
      </c>
    </row>
    <row r="179" spans="1:155" x14ac:dyDescent="0.2">
      <c r="A179" s="598">
        <v>726</v>
      </c>
      <c r="B179" t="s">
        <v>1430</v>
      </c>
      <c r="C179" t="s">
        <v>764</v>
      </c>
      <c r="D179" t="s">
        <v>1415</v>
      </c>
      <c r="E179" t="s">
        <v>1416</v>
      </c>
      <c r="F179" t="s">
        <v>737</v>
      </c>
      <c r="G179" t="s">
        <v>54</v>
      </c>
      <c r="H179" t="s">
        <v>2416</v>
      </c>
      <c r="I179"/>
      <c r="J179" t="s">
        <v>1415</v>
      </c>
      <c r="K179" t="s">
        <v>1416</v>
      </c>
      <c r="L179" t="s">
        <v>764</v>
      </c>
      <c r="M179" t="s">
        <v>737</v>
      </c>
      <c r="N179" t="s">
        <v>54</v>
      </c>
      <c r="O179" t="s">
        <v>2416</v>
      </c>
      <c r="P179"/>
      <c r="Q179">
        <v>6128636175</v>
      </c>
      <c r="R179">
        <v>6128638887</v>
      </c>
      <c r="S179" t="s">
        <v>1264</v>
      </c>
      <c r="T179" t="s">
        <v>2758</v>
      </c>
      <c r="U179" t="s">
        <v>805</v>
      </c>
      <c r="V179" t="s">
        <v>2759</v>
      </c>
      <c r="W179" t="s">
        <v>1417</v>
      </c>
      <c r="X179" t="s">
        <v>1074</v>
      </c>
      <c r="Y179" t="s">
        <v>1075</v>
      </c>
      <c r="Z179" t="s">
        <v>761</v>
      </c>
      <c r="AA179" t="s">
        <v>1418</v>
      </c>
      <c r="AB179">
        <v>6125732233</v>
      </c>
      <c r="AC179"/>
      <c r="AD179">
        <v>6125732250</v>
      </c>
      <c r="AE179" t="s">
        <v>1077</v>
      </c>
      <c r="AF179" t="s">
        <v>1419</v>
      </c>
      <c r="AG179" t="s">
        <v>735</v>
      </c>
      <c r="AH179" t="s">
        <v>1049</v>
      </c>
      <c r="AI179" t="s">
        <v>737</v>
      </c>
      <c r="AJ179" t="s">
        <v>54</v>
      </c>
      <c r="AK179" t="s">
        <v>2760</v>
      </c>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t="s">
        <v>1066</v>
      </c>
      <c r="CH179" t="s">
        <v>141</v>
      </c>
      <c r="CI179" t="s">
        <v>768</v>
      </c>
      <c r="CJ179" t="s">
        <v>141</v>
      </c>
      <c r="CK179"/>
      <c r="CL179"/>
      <c r="CM179">
        <v>1356458475</v>
      </c>
      <c r="CN179">
        <v>424</v>
      </c>
      <c r="CO179">
        <v>150</v>
      </c>
      <c r="CP179"/>
      <c r="CQ179"/>
      <c r="CR179"/>
      <c r="CS179" t="s">
        <v>2397</v>
      </c>
      <c r="CT179">
        <v>12</v>
      </c>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s="569">
        <v>51</v>
      </c>
      <c r="ET179" t="s">
        <v>1846</v>
      </c>
      <c r="EU179" t="s">
        <v>1423</v>
      </c>
      <c r="EV179" t="s">
        <v>2292</v>
      </c>
      <c r="EW179" t="s">
        <v>54</v>
      </c>
      <c r="EX179" s="599">
        <v>55336</v>
      </c>
      <c r="EY179">
        <v>1508885633</v>
      </c>
    </row>
    <row r="180" spans="1:155" ht="13.9" customHeight="1" x14ac:dyDescent="0.2">
      <c r="A180" s="598">
        <v>1396</v>
      </c>
      <c r="B180" t="s">
        <v>2766</v>
      </c>
      <c r="C180" t="s">
        <v>2767</v>
      </c>
      <c r="D180" t="s">
        <v>2768</v>
      </c>
      <c r="E180" t="s">
        <v>2769</v>
      </c>
      <c r="F180" t="s">
        <v>2770</v>
      </c>
      <c r="G180" t="s">
        <v>2111</v>
      </c>
      <c r="H180" t="s">
        <v>2771</v>
      </c>
      <c r="I180"/>
      <c r="J180" t="s">
        <v>2768</v>
      </c>
      <c r="K180" t="s">
        <v>2769</v>
      </c>
      <c r="L180" t="s">
        <v>2767</v>
      </c>
      <c r="M180" t="s">
        <v>2770</v>
      </c>
      <c r="N180" t="s">
        <v>2111</v>
      </c>
      <c r="O180" t="s">
        <v>2771</v>
      </c>
      <c r="P180"/>
      <c r="Q180">
        <v>8474897056</v>
      </c>
      <c r="R180">
        <v>8474388089</v>
      </c>
      <c r="S180" t="s">
        <v>2772</v>
      </c>
      <c r="T180" t="s">
        <v>2773</v>
      </c>
      <c r="U180" t="s">
        <v>873</v>
      </c>
      <c r="V180" t="s">
        <v>2774</v>
      </c>
      <c r="W180"/>
      <c r="X180" t="s">
        <v>2772</v>
      </c>
      <c r="Y180" t="s">
        <v>2773</v>
      </c>
      <c r="Z180"/>
      <c r="AA180" t="s">
        <v>2766</v>
      </c>
      <c r="AB180">
        <v>8474897056</v>
      </c>
      <c r="AC180"/>
      <c r="AD180"/>
      <c r="AE180" t="s">
        <v>2774</v>
      </c>
      <c r="AF180" t="s">
        <v>2768</v>
      </c>
      <c r="AG180" t="s">
        <v>2769</v>
      </c>
      <c r="AH180" t="s">
        <v>2767</v>
      </c>
      <c r="AI180" t="s">
        <v>2770</v>
      </c>
      <c r="AJ180" t="s">
        <v>2111</v>
      </c>
      <c r="AK180" t="s">
        <v>2771</v>
      </c>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t="s">
        <v>2775</v>
      </c>
      <c r="CG180" t="s">
        <v>755</v>
      </c>
      <c r="CH180"/>
      <c r="CI180"/>
      <c r="CJ180"/>
      <c r="CK180"/>
      <c r="CL180"/>
      <c r="CM180"/>
      <c r="CN180">
        <v>2431</v>
      </c>
      <c r="CO180">
        <v>2432</v>
      </c>
      <c r="CP180"/>
      <c r="CQ180"/>
      <c r="CR180"/>
      <c r="CS180" t="s">
        <v>2397</v>
      </c>
      <c r="CT180">
        <v>12</v>
      </c>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s="569">
        <v>582</v>
      </c>
      <c r="ET180" t="s">
        <v>1422</v>
      </c>
      <c r="EU180" t="s">
        <v>1423</v>
      </c>
      <c r="EV180" t="s">
        <v>3032</v>
      </c>
      <c r="EW180" t="s">
        <v>54</v>
      </c>
      <c r="EX180" s="600">
        <v>55336</v>
      </c>
      <c r="EY180"/>
    </row>
    <row r="181" spans="1:155" x14ac:dyDescent="0.2">
      <c r="A181" s="598">
        <v>562</v>
      </c>
      <c r="B181" t="s">
        <v>1431</v>
      </c>
      <c r="C181" t="s">
        <v>1067</v>
      </c>
      <c r="D181" t="s">
        <v>1432</v>
      </c>
      <c r="E181"/>
      <c r="F181" t="s">
        <v>737</v>
      </c>
      <c r="G181" t="s">
        <v>54</v>
      </c>
      <c r="H181" t="s">
        <v>2620</v>
      </c>
      <c r="I181"/>
      <c r="J181" t="s">
        <v>1432</v>
      </c>
      <c r="K181"/>
      <c r="L181" t="s">
        <v>1067</v>
      </c>
      <c r="M181" t="s">
        <v>737</v>
      </c>
      <c r="N181" t="s">
        <v>54</v>
      </c>
      <c r="O181" t="s">
        <v>2620</v>
      </c>
      <c r="P181"/>
      <c r="Q181">
        <v>7634172000</v>
      </c>
      <c r="R181">
        <v>7632442102</v>
      </c>
      <c r="S181" t="s">
        <v>1433</v>
      </c>
      <c r="T181" t="s">
        <v>1434</v>
      </c>
      <c r="U181" t="s">
        <v>729</v>
      </c>
      <c r="V181" t="s">
        <v>2076</v>
      </c>
      <c r="W181"/>
      <c r="X181" t="s">
        <v>1433</v>
      </c>
      <c r="Y181" t="s">
        <v>1434</v>
      </c>
      <c r="Z181" t="s">
        <v>1435</v>
      </c>
      <c r="AA181" t="s">
        <v>1431</v>
      </c>
      <c r="AB181">
        <v>7634172000</v>
      </c>
      <c r="AC181"/>
      <c r="AD181">
        <v>7632442102</v>
      </c>
      <c r="AE181" t="s">
        <v>2076</v>
      </c>
      <c r="AF181" t="s">
        <v>1432</v>
      </c>
      <c r="AG181"/>
      <c r="AH181" t="s">
        <v>1067</v>
      </c>
      <c r="AI181" t="s">
        <v>737</v>
      </c>
      <c r="AJ181" t="s">
        <v>54</v>
      </c>
      <c r="AK181" t="s">
        <v>2620</v>
      </c>
      <c r="AL181"/>
      <c r="AM181" t="s">
        <v>1436</v>
      </c>
      <c r="AN181" t="s">
        <v>1437</v>
      </c>
      <c r="AO181" t="s">
        <v>1438</v>
      </c>
      <c r="AP181" t="s">
        <v>1431</v>
      </c>
      <c r="AQ181">
        <v>7634172000</v>
      </c>
      <c r="AR181"/>
      <c r="AS181">
        <v>7632442102</v>
      </c>
      <c r="AT181" t="s">
        <v>1439</v>
      </c>
      <c r="AU181" t="s">
        <v>1432</v>
      </c>
      <c r="AV181"/>
      <c r="AW181" t="s">
        <v>1067</v>
      </c>
      <c r="AX181" t="s">
        <v>737</v>
      </c>
      <c r="AY181" t="s">
        <v>54</v>
      </c>
      <c r="AZ181" t="s">
        <v>2620</v>
      </c>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t="s">
        <v>1440</v>
      </c>
      <c r="CG181" t="s">
        <v>755</v>
      </c>
      <c r="CH181" t="s">
        <v>141</v>
      </c>
      <c r="CI181"/>
      <c r="CJ181"/>
      <c r="CK181"/>
      <c r="CL181"/>
      <c r="CM181">
        <v>1275509622</v>
      </c>
      <c r="CN181">
        <v>380</v>
      </c>
      <c r="CO181">
        <v>148</v>
      </c>
      <c r="CP181">
        <v>167</v>
      </c>
      <c r="CQ181"/>
      <c r="CR181"/>
      <c r="CS181" t="s">
        <v>2397</v>
      </c>
      <c r="CT181">
        <v>12</v>
      </c>
      <c r="CU181"/>
      <c r="CV181"/>
      <c r="CW181"/>
      <c r="CX181"/>
      <c r="CY181"/>
      <c r="CZ181"/>
      <c r="DA181"/>
      <c r="DB181"/>
      <c r="DC181"/>
      <c r="DD181"/>
      <c r="DE181"/>
      <c r="DF181"/>
      <c r="DG181"/>
      <c r="DH181"/>
      <c r="DI181"/>
      <c r="DJ181"/>
      <c r="DK181"/>
      <c r="DL181">
        <v>132</v>
      </c>
      <c r="DM181" t="s">
        <v>2776</v>
      </c>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s="569">
        <v>839</v>
      </c>
      <c r="ET181" t="s">
        <v>945</v>
      </c>
      <c r="EU181" t="s">
        <v>946</v>
      </c>
      <c r="EV181" t="s">
        <v>3033</v>
      </c>
      <c r="EW181" t="s">
        <v>54</v>
      </c>
      <c r="EX181" s="600">
        <v>56334</v>
      </c>
      <c r="EY181"/>
    </row>
    <row r="182" spans="1:155" x14ac:dyDescent="0.2">
      <c r="A182" s="598">
        <v>748</v>
      </c>
      <c r="B182" t="s">
        <v>1443</v>
      </c>
      <c r="C182" t="s">
        <v>812</v>
      </c>
      <c r="D182" t="s">
        <v>1444</v>
      </c>
      <c r="E182"/>
      <c r="F182" t="s">
        <v>814</v>
      </c>
      <c r="G182" t="s">
        <v>54</v>
      </c>
      <c r="H182" t="s">
        <v>2777</v>
      </c>
      <c r="I182"/>
      <c r="J182" t="s">
        <v>1445</v>
      </c>
      <c r="K182" t="s">
        <v>1446</v>
      </c>
      <c r="L182" t="s">
        <v>764</v>
      </c>
      <c r="M182" t="s">
        <v>737</v>
      </c>
      <c r="N182" t="s">
        <v>54</v>
      </c>
      <c r="O182" t="s">
        <v>2416</v>
      </c>
      <c r="P182"/>
      <c r="Q182">
        <v>6128791000</v>
      </c>
      <c r="R182">
        <v>6128742184</v>
      </c>
      <c r="S182" t="s">
        <v>1313</v>
      </c>
      <c r="T182" t="s">
        <v>1447</v>
      </c>
      <c r="U182" t="s">
        <v>1137</v>
      </c>
      <c r="V182" t="s">
        <v>1448</v>
      </c>
      <c r="W182" t="s">
        <v>1449</v>
      </c>
      <c r="X182" t="s">
        <v>1309</v>
      </c>
      <c r="Y182" t="s">
        <v>1450</v>
      </c>
      <c r="Z182" t="s">
        <v>731</v>
      </c>
      <c r="AA182" t="s">
        <v>1443</v>
      </c>
      <c r="AB182">
        <v>6128791592</v>
      </c>
      <c r="AC182"/>
      <c r="AD182">
        <v>6128791629</v>
      </c>
      <c r="AE182" t="s">
        <v>1451</v>
      </c>
      <c r="AF182" t="s">
        <v>1445</v>
      </c>
      <c r="AG182" t="s">
        <v>1446</v>
      </c>
      <c r="AH182" t="s">
        <v>764</v>
      </c>
      <c r="AI182" t="s">
        <v>737</v>
      </c>
      <c r="AJ182" t="s">
        <v>54</v>
      </c>
      <c r="AK182" t="s">
        <v>2416</v>
      </c>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t="s">
        <v>1309</v>
      </c>
      <c r="BR182" t="s">
        <v>1450</v>
      </c>
      <c r="BS182" t="s">
        <v>731</v>
      </c>
      <c r="BT182" t="s">
        <v>1443</v>
      </c>
      <c r="BU182">
        <v>6128791592</v>
      </c>
      <c r="BV182"/>
      <c r="BW182">
        <v>6128791629</v>
      </c>
      <c r="BX182" t="s">
        <v>1451</v>
      </c>
      <c r="BY182" t="s">
        <v>1445</v>
      </c>
      <c r="BZ182" t="s">
        <v>1446</v>
      </c>
      <c r="CA182" t="s">
        <v>764</v>
      </c>
      <c r="CB182" t="s">
        <v>737</v>
      </c>
      <c r="CC182" t="s">
        <v>54</v>
      </c>
      <c r="CD182" t="s">
        <v>2416</v>
      </c>
      <c r="CE182"/>
      <c r="CF182" t="s">
        <v>1452</v>
      </c>
      <c r="CG182" t="s">
        <v>1453</v>
      </c>
      <c r="CH182" t="s">
        <v>141</v>
      </c>
      <c r="CI182"/>
      <c r="CJ182"/>
      <c r="CK182"/>
      <c r="CL182"/>
      <c r="CM182">
        <v>1710098306</v>
      </c>
      <c r="CN182">
        <v>192</v>
      </c>
      <c r="CO182">
        <v>193</v>
      </c>
      <c r="CP182"/>
      <c r="CQ182"/>
      <c r="CR182">
        <v>193</v>
      </c>
      <c r="CS182" t="s">
        <v>2397</v>
      </c>
      <c r="CT182">
        <v>12</v>
      </c>
      <c r="CU182">
        <v>175</v>
      </c>
      <c r="CV182"/>
      <c r="CW182"/>
      <c r="CX182"/>
      <c r="CY182"/>
      <c r="CZ182"/>
      <c r="DA182"/>
      <c r="DB182"/>
      <c r="DC182"/>
      <c r="DD182">
        <v>128</v>
      </c>
      <c r="DE182" t="s">
        <v>2778</v>
      </c>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s="569">
        <v>50</v>
      </c>
      <c r="ET182" t="s">
        <v>1847</v>
      </c>
      <c r="EU182" t="s">
        <v>946</v>
      </c>
      <c r="EV182" t="s">
        <v>2293</v>
      </c>
      <c r="EW182" t="s">
        <v>54</v>
      </c>
      <c r="EX182" s="599">
        <v>56334</v>
      </c>
      <c r="EY182">
        <v>1538178520</v>
      </c>
    </row>
    <row r="183" spans="1:155" ht="12.75" customHeight="1" x14ac:dyDescent="0.2">
      <c r="A183" s="598">
        <v>1205</v>
      </c>
      <c r="B183" t="s">
        <v>1443</v>
      </c>
      <c r="C183" t="s">
        <v>1454</v>
      </c>
      <c r="D183" t="s">
        <v>1455</v>
      </c>
      <c r="E183"/>
      <c r="F183" t="s">
        <v>772</v>
      </c>
      <c r="G183" t="s">
        <v>54</v>
      </c>
      <c r="H183" t="s">
        <v>2779</v>
      </c>
      <c r="I183"/>
      <c r="J183" t="s">
        <v>1445</v>
      </c>
      <c r="K183" t="s">
        <v>1446</v>
      </c>
      <c r="L183" t="s">
        <v>764</v>
      </c>
      <c r="M183" t="s">
        <v>737</v>
      </c>
      <c r="N183" t="s">
        <v>54</v>
      </c>
      <c r="O183" t="s">
        <v>2416</v>
      </c>
      <c r="P183"/>
      <c r="Q183">
        <v>6128791000</v>
      </c>
      <c r="R183">
        <v>6128790722</v>
      </c>
      <c r="S183" t="s">
        <v>1313</v>
      </c>
      <c r="T183" t="s">
        <v>1447</v>
      </c>
      <c r="U183" t="s">
        <v>1137</v>
      </c>
      <c r="V183" t="s">
        <v>1448</v>
      </c>
      <c r="W183" t="s">
        <v>1449</v>
      </c>
      <c r="X183" t="s">
        <v>1309</v>
      </c>
      <c r="Y183" t="s">
        <v>1450</v>
      </c>
      <c r="Z183" t="s">
        <v>731</v>
      </c>
      <c r="AA183" t="s">
        <v>1443</v>
      </c>
      <c r="AB183">
        <v>6128791592</v>
      </c>
      <c r="AC183"/>
      <c r="AD183">
        <v>6128791629</v>
      </c>
      <c r="AE183" t="s">
        <v>1451</v>
      </c>
      <c r="AF183" t="s">
        <v>1445</v>
      </c>
      <c r="AG183" t="s">
        <v>1446</v>
      </c>
      <c r="AH183" t="s">
        <v>764</v>
      </c>
      <c r="AI183" t="s">
        <v>737</v>
      </c>
      <c r="AJ183" t="s">
        <v>54</v>
      </c>
      <c r="AK183" t="s">
        <v>2416</v>
      </c>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t="s">
        <v>1309</v>
      </c>
      <c r="BR183" t="s">
        <v>1450</v>
      </c>
      <c r="BS183" t="s">
        <v>731</v>
      </c>
      <c r="BT183" t="s">
        <v>1443</v>
      </c>
      <c r="BU183">
        <v>6128791592</v>
      </c>
      <c r="BV183"/>
      <c r="BW183">
        <v>6128791629</v>
      </c>
      <c r="BX183" t="s">
        <v>1451</v>
      </c>
      <c r="BY183" t="s">
        <v>1445</v>
      </c>
      <c r="BZ183" t="s">
        <v>1446</v>
      </c>
      <c r="CA183" t="s">
        <v>764</v>
      </c>
      <c r="CB183" t="s">
        <v>737</v>
      </c>
      <c r="CC183" t="s">
        <v>54</v>
      </c>
      <c r="CD183" t="s">
        <v>2416</v>
      </c>
      <c r="CE183"/>
      <c r="CF183" t="s">
        <v>1452</v>
      </c>
      <c r="CG183" t="s">
        <v>1453</v>
      </c>
      <c r="CH183" t="s">
        <v>141</v>
      </c>
      <c r="CI183"/>
      <c r="CJ183"/>
      <c r="CK183"/>
      <c r="CL183"/>
      <c r="CM183">
        <v>1710098306</v>
      </c>
      <c r="CN183">
        <v>192</v>
      </c>
      <c r="CO183">
        <v>193</v>
      </c>
      <c r="CP183"/>
      <c r="CQ183"/>
      <c r="CR183">
        <v>193</v>
      </c>
      <c r="CS183" t="s">
        <v>2397</v>
      </c>
      <c r="CT183">
        <v>12</v>
      </c>
      <c r="CU183"/>
      <c r="CV183"/>
      <c r="CW183"/>
      <c r="CX183"/>
      <c r="CY183"/>
      <c r="CZ183"/>
      <c r="DA183"/>
      <c r="DB183"/>
      <c r="DC183"/>
      <c r="DD183">
        <v>128</v>
      </c>
      <c r="DE183" t="s">
        <v>2780</v>
      </c>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s="569">
        <v>735</v>
      </c>
      <c r="ET183" t="s">
        <v>1378</v>
      </c>
      <c r="EU183" t="s">
        <v>1369</v>
      </c>
      <c r="EV183" t="s">
        <v>3034</v>
      </c>
      <c r="EW183" t="s">
        <v>54</v>
      </c>
      <c r="EX183" s="600">
        <v>55422</v>
      </c>
      <c r="EY183">
        <v>1992739247</v>
      </c>
    </row>
    <row r="184" spans="1:155" x14ac:dyDescent="0.2">
      <c r="A184" s="598">
        <v>701</v>
      </c>
      <c r="B184" t="s">
        <v>1443</v>
      </c>
      <c r="C184" t="s">
        <v>764</v>
      </c>
      <c r="D184" t="s">
        <v>1445</v>
      </c>
      <c r="E184" t="s">
        <v>1446</v>
      </c>
      <c r="F184" t="s">
        <v>737</v>
      </c>
      <c r="G184" t="s">
        <v>54</v>
      </c>
      <c r="H184" t="s">
        <v>2416</v>
      </c>
      <c r="I184"/>
      <c r="J184" t="s">
        <v>1445</v>
      </c>
      <c r="K184" t="s">
        <v>1446</v>
      </c>
      <c r="L184" t="s">
        <v>764</v>
      </c>
      <c r="M184" t="s">
        <v>737</v>
      </c>
      <c r="N184" t="s">
        <v>54</v>
      </c>
      <c r="O184" t="s">
        <v>2416</v>
      </c>
      <c r="P184"/>
      <c r="Q184">
        <v>6128791000</v>
      </c>
      <c r="R184">
        <v>6128790913</v>
      </c>
      <c r="S184" t="s">
        <v>1313</v>
      </c>
      <c r="T184" t="s">
        <v>1447</v>
      </c>
      <c r="U184" t="s">
        <v>1137</v>
      </c>
      <c r="V184" t="s">
        <v>1448</v>
      </c>
      <c r="W184" t="s">
        <v>1449</v>
      </c>
      <c r="X184" t="s">
        <v>1309</v>
      </c>
      <c r="Y184" t="s">
        <v>1450</v>
      </c>
      <c r="Z184" t="s">
        <v>731</v>
      </c>
      <c r="AA184" t="s">
        <v>1443</v>
      </c>
      <c r="AB184">
        <v>6128791592</v>
      </c>
      <c r="AC184"/>
      <c r="AD184">
        <v>6128791629</v>
      </c>
      <c r="AE184" t="s">
        <v>1451</v>
      </c>
      <c r="AF184" t="s">
        <v>1445</v>
      </c>
      <c r="AG184" t="s">
        <v>1446</v>
      </c>
      <c r="AH184" t="s">
        <v>764</v>
      </c>
      <c r="AI184" t="s">
        <v>737</v>
      </c>
      <c r="AJ184" t="s">
        <v>54</v>
      </c>
      <c r="AK184" t="s">
        <v>2416</v>
      </c>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t="s">
        <v>1452</v>
      </c>
      <c r="CG184" t="s">
        <v>1453</v>
      </c>
      <c r="CH184" t="s">
        <v>141</v>
      </c>
      <c r="CI184"/>
      <c r="CJ184"/>
      <c r="CK184"/>
      <c r="CL184"/>
      <c r="CM184">
        <v>1710098306</v>
      </c>
      <c r="CN184">
        <v>192</v>
      </c>
      <c r="CO184">
        <v>193</v>
      </c>
      <c r="CP184"/>
      <c r="CQ184"/>
      <c r="CR184"/>
      <c r="CS184" t="s">
        <v>2397</v>
      </c>
      <c r="CT184">
        <v>12</v>
      </c>
      <c r="CU184"/>
      <c r="CV184"/>
      <c r="CW184"/>
      <c r="CX184"/>
      <c r="CY184"/>
      <c r="CZ184"/>
      <c r="DA184"/>
      <c r="DB184"/>
      <c r="DC184"/>
      <c r="DD184">
        <v>128</v>
      </c>
      <c r="DE184" t="s">
        <v>2781</v>
      </c>
      <c r="DF184"/>
      <c r="DG184"/>
      <c r="DH184">
        <v>129</v>
      </c>
      <c r="DI184" t="s">
        <v>2782</v>
      </c>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s="569">
        <v>1045</v>
      </c>
      <c r="ET184" t="s">
        <v>1379</v>
      </c>
      <c r="EU184" t="s">
        <v>1369</v>
      </c>
      <c r="EV184" t="s">
        <v>3034</v>
      </c>
      <c r="EW184" t="s">
        <v>54</v>
      </c>
      <c r="EX184" s="600">
        <v>55422</v>
      </c>
      <c r="EY184">
        <v>1992739247</v>
      </c>
    </row>
    <row r="185" spans="1:155" x14ac:dyDescent="0.2">
      <c r="A185" s="598">
        <v>1256</v>
      </c>
      <c r="B185" t="s">
        <v>1456</v>
      </c>
      <c r="C185" t="s">
        <v>1046</v>
      </c>
      <c r="D185" t="s">
        <v>1457</v>
      </c>
      <c r="E185"/>
      <c r="F185"/>
      <c r="G185" t="s">
        <v>54</v>
      </c>
      <c r="H185" t="s">
        <v>2783</v>
      </c>
      <c r="I185"/>
      <c r="J185" t="s">
        <v>1457</v>
      </c>
      <c r="K185"/>
      <c r="L185" t="s">
        <v>1046</v>
      </c>
      <c r="M185" t="s">
        <v>737</v>
      </c>
      <c r="N185" t="s">
        <v>54</v>
      </c>
      <c r="O185" t="s">
        <v>2783</v>
      </c>
      <c r="P185"/>
      <c r="Q185">
        <v>7635818900</v>
      </c>
      <c r="R185"/>
      <c r="S185" t="s">
        <v>1494</v>
      </c>
      <c r="T185" t="s">
        <v>2077</v>
      </c>
      <c r="U185" t="s">
        <v>2078</v>
      </c>
      <c r="V185" t="s">
        <v>2079</v>
      </c>
      <c r="W185" t="s">
        <v>2080</v>
      </c>
      <c r="X185" t="s">
        <v>1074</v>
      </c>
      <c r="Y185" t="s">
        <v>2784</v>
      </c>
      <c r="Z185" t="s">
        <v>2785</v>
      </c>
      <c r="AA185" t="s">
        <v>1458</v>
      </c>
      <c r="AB185">
        <v>7635814573</v>
      </c>
      <c r="AC185"/>
      <c r="AD185"/>
      <c r="AE185" t="s">
        <v>2786</v>
      </c>
      <c r="AF185" t="s">
        <v>1909</v>
      </c>
      <c r="AG185"/>
      <c r="AH185" t="s">
        <v>1474</v>
      </c>
      <c r="AI185" t="s">
        <v>737</v>
      </c>
      <c r="AJ185" t="s">
        <v>54</v>
      </c>
      <c r="AK185" t="s">
        <v>2742</v>
      </c>
      <c r="AL185"/>
      <c r="AM185" t="s">
        <v>2787</v>
      </c>
      <c r="AN185" t="s">
        <v>2788</v>
      </c>
      <c r="AO185" t="s">
        <v>2789</v>
      </c>
      <c r="AP185" t="s">
        <v>1458</v>
      </c>
      <c r="AQ185">
        <v>7635814768</v>
      </c>
      <c r="AR185"/>
      <c r="AS185"/>
      <c r="AT185" t="s">
        <v>2790</v>
      </c>
      <c r="AU185" t="s">
        <v>1909</v>
      </c>
      <c r="AV185"/>
      <c r="AW185" t="s">
        <v>1474</v>
      </c>
      <c r="AX185" t="s">
        <v>737</v>
      </c>
      <c r="AY185" t="s">
        <v>54</v>
      </c>
      <c r="AZ185" t="s">
        <v>2742</v>
      </c>
      <c r="BA185"/>
      <c r="BB185"/>
      <c r="BC185"/>
      <c r="BD185"/>
      <c r="BE185"/>
      <c r="BF185"/>
      <c r="BG185"/>
      <c r="BH185"/>
      <c r="BI185"/>
      <c r="BJ185"/>
      <c r="BK185"/>
      <c r="BL185"/>
      <c r="BM185"/>
      <c r="BN185"/>
      <c r="BO185"/>
      <c r="BP185"/>
      <c r="BQ185" t="s">
        <v>1074</v>
      </c>
      <c r="BR185" t="s">
        <v>2784</v>
      </c>
      <c r="BS185" t="s">
        <v>2785</v>
      </c>
      <c r="BT185" t="s">
        <v>1458</v>
      </c>
      <c r="BU185">
        <v>7635814573</v>
      </c>
      <c r="BV185"/>
      <c r="BW185"/>
      <c r="BX185" t="s">
        <v>2786</v>
      </c>
      <c r="BY185" t="s">
        <v>1909</v>
      </c>
      <c r="BZ185"/>
      <c r="CA185" t="s">
        <v>1474</v>
      </c>
      <c r="CB185" t="s">
        <v>737</v>
      </c>
      <c r="CC185" t="s">
        <v>54</v>
      </c>
      <c r="CD185" t="s">
        <v>2742</v>
      </c>
      <c r="CE185"/>
      <c r="CF185" t="s">
        <v>2081</v>
      </c>
      <c r="CG185" t="s">
        <v>1201</v>
      </c>
      <c r="CH185" t="s">
        <v>141</v>
      </c>
      <c r="CI185"/>
      <c r="CJ185"/>
      <c r="CK185"/>
      <c r="CL185"/>
      <c r="CM185">
        <v>1952732729</v>
      </c>
      <c r="CN185">
        <v>2879</v>
      </c>
      <c r="CO185">
        <v>2881</v>
      </c>
      <c r="CP185">
        <v>2215</v>
      </c>
      <c r="CQ185"/>
      <c r="CR185">
        <v>2881</v>
      </c>
      <c r="CS185" t="s">
        <v>2397</v>
      </c>
      <c r="CT185">
        <v>12</v>
      </c>
      <c r="CU185"/>
      <c r="CV185"/>
      <c r="CW185"/>
      <c r="CX185"/>
      <c r="CY185"/>
      <c r="CZ185"/>
      <c r="DA185"/>
      <c r="DB185"/>
      <c r="DC185"/>
      <c r="DD185">
        <v>128</v>
      </c>
      <c r="DE185" t="s">
        <v>2791</v>
      </c>
      <c r="DF185"/>
      <c r="DG185"/>
      <c r="DH185">
        <v>129</v>
      </c>
      <c r="DI185" t="s">
        <v>2497</v>
      </c>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s="569">
        <v>183</v>
      </c>
      <c r="ET185" t="s">
        <v>1848</v>
      </c>
      <c r="EU185" t="s">
        <v>1369</v>
      </c>
      <c r="EV185" t="s">
        <v>2294</v>
      </c>
      <c r="EW185" t="s">
        <v>54</v>
      </c>
      <c r="EX185" s="599">
        <v>55422</v>
      </c>
      <c r="EY185">
        <v>1770585382</v>
      </c>
    </row>
    <row r="186" spans="1:155" ht="12.75" customHeight="1" x14ac:dyDescent="0.2">
      <c r="A186" s="598">
        <v>1219</v>
      </c>
      <c r="B186" t="s">
        <v>1471</v>
      </c>
      <c r="C186" t="s">
        <v>833</v>
      </c>
      <c r="D186" t="s">
        <v>1472</v>
      </c>
      <c r="E186" t="s">
        <v>1473</v>
      </c>
      <c r="F186"/>
      <c r="G186" t="s">
        <v>54</v>
      </c>
      <c r="H186" t="s">
        <v>2516</v>
      </c>
      <c r="I186"/>
      <c r="J186" t="s">
        <v>1465</v>
      </c>
      <c r="K186" t="s">
        <v>821</v>
      </c>
      <c r="L186" t="s">
        <v>1474</v>
      </c>
      <c r="M186" t="s">
        <v>737</v>
      </c>
      <c r="N186" t="s">
        <v>54</v>
      </c>
      <c r="O186" t="s">
        <v>2742</v>
      </c>
      <c r="P186"/>
      <c r="Q186">
        <v>7632335755</v>
      </c>
      <c r="R186">
        <v>7632335782</v>
      </c>
      <c r="S186" t="s">
        <v>2166</v>
      </c>
      <c r="T186" t="s">
        <v>2167</v>
      </c>
      <c r="U186" t="s">
        <v>729</v>
      </c>
      <c r="V186" t="s">
        <v>2168</v>
      </c>
      <c r="W186"/>
      <c r="X186" t="s">
        <v>2166</v>
      </c>
      <c r="Y186" t="s">
        <v>2167</v>
      </c>
      <c r="Z186" t="s">
        <v>729</v>
      </c>
      <c r="AA186" t="s">
        <v>1475</v>
      </c>
      <c r="AB186">
        <v>7632335755</v>
      </c>
      <c r="AC186">
        <v>5775</v>
      </c>
      <c r="AD186">
        <v>7632335782</v>
      </c>
      <c r="AE186" t="s">
        <v>2168</v>
      </c>
      <c r="AF186" t="s">
        <v>1465</v>
      </c>
      <c r="AG186" t="s">
        <v>821</v>
      </c>
      <c r="AH186" t="s">
        <v>1474</v>
      </c>
      <c r="AI186" t="s">
        <v>737</v>
      </c>
      <c r="AJ186" t="s">
        <v>54</v>
      </c>
      <c r="AK186" t="s">
        <v>2742</v>
      </c>
      <c r="AL186"/>
      <c r="AM186" t="s">
        <v>866</v>
      </c>
      <c r="AN186" t="s">
        <v>2169</v>
      </c>
      <c r="AO186" t="s">
        <v>729</v>
      </c>
      <c r="AP186" t="s">
        <v>1475</v>
      </c>
      <c r="AQ186">
        <v>7632335755</v>
      </c>
      <c r="AR186">
        <v>5761</v>
      </c>
      <c r="AS186">
        <v>7632335782</v>
      </c>
      <c r="AT186" t="s">
        <v>2170</v>
      </c>
      <c r="AU186" t="s">
        <v>1465</v>
      </c>
      <c r="AV186" t="s">
        <v>821</v>
      </c>
      <c r="AW186" t="s">
        <v>1474</v>
      </c>
      <c r="AX186" t="s">
        <v>737</v>
      </c>
      <c r="AY186" t="s">
        <v>54</v>
      </c>
      <c r="AZ186" t="s">
        <v>2742</v>
      </c>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t="s">
        <v>1476</v>
      </c>
      <c r="CG186" t="s">
        <v>1477</v>
      </c>
      <c r="CH186" t="s">
        <v>141</v>
      </c>
      <c r="CI186"/>
      <c r="CJ186"/>
      <c r="CK186"/>
      <c r="CL186"/>
      <c r="CM186">
        <v>1598976326</v>
      </c>
      <c r="CN186">
        <v>1845</v>
      </c>
      <c r="CO186">
        <v>2840</v>
      </c>
      <c r="CP186">
        <v>2311</v>
      </c>
      <c r="CQ186"/>
      <c r="CR186"/>
      <c r="CS186" t="s">
        <v>2397</v>
      </c>
      <c r="CT186">
        <v>12</v>
      </c>
      <c r="CU186"/>
      <c r="CV186"/>
      <c r="CW186"/>
      <c r="CX186"/>
      <c r="CY186"/>
      <c r="CZ186"/>
      <c r="DA186"/>
      <c r="DB186"/>
      <c r="DC186"/>
      <c r="DD186"/>
      <c r="DE186"/>
      <c r="DF186"/>
      <c r="DG186"/>
      <c r="DH186"/>
      <c r="DI186"/>
      <c r="DJ186"/>
      <c r="DK186"/>
      <c r="DL186"/>
      <c r="DM186"/>
      <c r="DN186">
        <v>133</v>
      </c>
      <c r="DO186" t="s">
        <v>2412</v>
      </c>
      <c r="DP186"/>
      <c r="DQ186"/>
      <c r="DR186"/>
      <c r="DS186"/>
      <c r="DT186"/>
      <c r="DU186"/>
      <c r="DV186"/>
      <c r="DW186"/>
      <c r="DX186"/>
      <c r="DY186"/>
      <c r="DZ186"/>
      <c r="EA186"/>
      <c r="EB186"/>
      <c r="EC186"/>
      <c r="ED186"/>
      <c r="EE186"/>
      <c r="EF186"/>
      <c r="EG186"/>
      <c r="EH186"/>
      <c r="EI186"/>
      <c r="EJ186"/>
      <c r="EK186"/>
      <c r="EL186"/>
      <c r="EM186"/>
      <c r="EN186"/>
      <c r="EO186"/>
      <c r="EP186"/>
      <c r="EQ186"/>
      <c r="ER186"/>
      <c r="ES186" s="569">
        <v>628</v>
      </c>
      <c r="ET186" t="s">
        <v>1693</v>
      </c>
      <c r="EU186" t="s">
        <v>1369</v>
      </c>
      <c r="EV186" t="s">
        <v>3035</v>
      </c>
      <c r="EW186" t="s">
        <v>54</v>
      </c>
      <c r="EX186" s="600">
        <v>55422</v>
      </c>
      <c r="EY186">
        <v>1679601553</v>
      </c>
    </row>
    <row r="187" spans="1:155" x14ac:dyDescent="0.2">
      <c r="A187" s="598">
        <v>1126</v>
      </c>
      <c r="B187" t="s">
        <v>1478</v>
      </c>
      <c r="C187" t="s">
        <v>1474</v>
      </c>
      <c r="D187" t="s">
        <v>1465</v>
      </c>
      <c r="E187" t="s">
        <v>821</v>
      </c>
      <c r="F187"/>
      <c r="G187" t="s">
        <v>54</v>
      </c>
      <c r="H187" t="s">
        <v>2742</v>
      </c>
      <c r="I187"/>
      <c r="J187" t="s">
        <v>1465</v>
      </c>
      <c r="K187" t="s">
        <v>821</v>
      </c>
      <c r="L187" t="s">
        <v>1474</v>
      </c>
      <c r="M187" t="s">
        <v>737</v>
      </c>
      <c r="N187" t="s">
        <v>54</v>
      </c>
      <c r="O187" t="s">
        <v>2742</v>
      </c>
      <c r="P187"/>
      <c r="Q187">
        <v>7632335755</v>
      </c>
      <c r="R187">
        <v>7632335782</v>
      </c>
      <c r="S187" t="s">
        <v>2166</v>
      </c>
      <c r="T187" t="s">
        <v>2167</v>
      </c>
      <c r="U187" t="s">
        <v>729</v>
      </c>
      <c r="V187" t="s">
        <v>2168</v>
      </c>
      <c r="W187"/>
      <c r="X187" t="s">
        <v>2166</v>
      </c>
      <c r="Y187" t="s">
        <v>2167</v>
      </c>
      <c r="Z187" t="s">
        <v>729</v>
      </c>
      <c r="AA187" t="s">
        <v>1475</v>
      </c>
      <c r="AB187">
        <v>7632335755</v>
      </c>
      <c r="AC187">
        <v>5775</v>
      </c>
      <c r="AD187">
        <v>7632335782</v>
      </c>
      <c r="AE187" t="s">
        <v>2168</v>
      </c>
      <c r="AF187" t="s">
        <v>1465</v>
      </c>
      <c r="AG187" t="s">
        <v>821</v>
      </c>
      <c r="AH187" t="s">
        <v>1474</v>
      </c>
      <c r="AI187" t="s">
        <v>737</v>
      </c>
      <c r="AJ187" t="s">
        <v>54</v>
      </c>
      <c r="AK187" t="s">
        <v>2742</v>
      </c>
      <c r="AL187"/>
      <c r="AM187" t="s">
        <v>866</v>
      </c>
      <c r="AN187" t="s">
        <v>2169</v>
      </c>
      <c r="AO187" t="s">
        <v>729</v>
      </c>
      <c r="AP187" t="s">
        <v>1475</v>
      </c>
      <c r="AQ187">
        <v>7632335755</v>
      </c>
      <c r="AR187">
        <v>5761</v>
      </c>
      <c r="AS187">
        <v>7632335782</v>
      </c>
      <c r="AT187" t="s">
        <v>2170</v>
      </c>
      <c r="AU187" t="s">
        <v>1465</v>
      </c>
      <c r="AV187" t="s">
        <v>821</v>
      </c>
      <c r="AW187" t="s">
        <v>1474</v>
      </c>
      <c r="AX187" t="s">
        <v>737</v>
      </c>
      <c r="AY187" t="s">
        <v>54</v>
      </c>
      <c r="AZ187" t="s">
        <v>2742</v>
      </c>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t="s">
        <v>1476</v>
      </c>
      <c r="CG187" t="s">
        <v>1477</v>
      </c>
      <c r="CH187" t="s">
        <v>141</v>
      </c>
      <c r="CI187"/>
      <c r="CJ187"/>
      <c r="CK187"/>
      <c r="CL187"/>
      <c r="CM187">
        <v>1598976326</v>
      </c>
      <c r="CN187">
        <v>1845</v>
      </c>
      <c r="CO187">
        <v>2840</v>
      </c>
      <c r="CP187">
        <v>2311</v>
      </c>
      <c r="CQ187"/>
      <c r="CR187"/>
      <c r="CS187" t="s">
        <v>2397</v>
      </c>
      <c r="CT187">
        <v>12</v>
      </c>
      <c r="CU187"/>
      <c r="CV187"/>
      <c r="CW187"/>
      <c r="CX187"/>
      <c r="CY187"/>
      <c r="CZ187"/>
      <c r="DA187"/>
      <c r="DB187"/>
      <c r="DC187"/>
      <c r="DD187"/>
      <c r="DE187"/>
      <c r="DF187"/>
      <c r="DG187"/>
      <c r="DH187"/>
      <c r="DI187"/>
      <c r="DJ187"/>
      <c r="DK187"/>
      <c r="DL187"/>
      <c r="DM187"/>
      <c r="DN187">
        <v>133</v>
      </c>
      <c r="DO187" t="s">
        <v>2412</v>
      </c>
      <c r="DP187"/>
      <c r="DQ187"/>
      <c r="DR187"/>
      <c r="DS187"/>
      <c r="DT187"/>
      <c r="DU187"/>
      <c r="DV187"/>
      <c r="DW187"/>
      <c r="DX187"/>
      <c r="DY187"/>
      <c r="DZ187"/>
      <c r="EA187"/>
      <c r="EB187"/>
      <c r="EC187"/>
      <c r="ED187"/>
      <c r="EE187"/>
      <c r="EF187"/>
      <c r="EG187"/>
      <c r="EH187"/>
      <c r="EI187"/>
      <c r="EJ187"/>
      <c r="EK187"/>
      <c r="EL187"/>
      <c r="EM187"/>
      <c r="EN187"/>
      <c r="EO187"/>
      <c r="EP187"/>
      <c r="EQ187"/>
      <c r="ER187"/>
      <c r="ES187" s="569">
        <v>906</v>
      </c>
      <c r="ET187" t="s">
        <v>1703</v>
      </c>
      <c r="EU187" t="s">
        <v>1369</v>
      </c>
      <c r="EV187" t="s">
        <v>3036</v>
      </c>
      <c r="EW187" t="s">
        <v>54</v>
      </c>
      <c r="EX187" s="600">
        <v>55422</v>
      </c>
      <c r="EY187">
        <v>1285890012</v>
      </c>
    </row>
    <row r="188" spans="1:155" x14ac:dyDescent="0.2">
      <c r="A188" s="598">
        <v>546</v>
      </c>
      <c r="B188" t="s">
        <v>1479</v>
      </c>
      <c r="C188" t="s">
        <v>1067</v>
      </c>
      <c r="D188" t="s">
        <v>1432</v>
      </c>
      <c r="E188"/>
      <c r="F188" t="s">
        <v>737</v>
      </c>
      <c r="G188" t="s">
        <v>54</v>
      </c>
      <c r="H188" t="s">
        <v>2620</v>
      </c>
      <c r="I188"/>
      <c r="J188" t="s">
        <v>1432</v>
      </c>
      <c r="K188"/>
      <c r="L188" t="s">
        <v>1067</v>
      </c>
      <c r="M188" t="s">
        <v>737</v>
      </c>
      <c r="N188" t="s">
        <v>54</v>
      </c>
      <c r="O188" t="s">
        <v>2620</v>
      </c>
      <c r="P188"/>
      <c r="Q188">
        <v>7637970077</v>
      </c>
      <c r="R188">
        <v>6129790513</v>
      </c>
      <c r="S188" t="s">
        <v>1480</v>
      </c>
      <c r="T188" t="s">
        <v>1186</v>
      </c>
      <c r="U188" t="s">
        <v>1442</v>
      </c>
      <c r="V188" t="s">
        <v>1188</v>
      </c>
      <c r="W188" t="s">
        <v>1189</v>
      </c>
      <c r="X188" t="s">
        <v>1481</v>
      </c>
      <c r="Y188" t="s">
        <v>1191</v>
      </c>
      <c r="Z188" t="s">
        <v>1290</v>
      </c>
      <c r="AA188" t="s">
        <v>1209</v>
      </c>
      <c r="AB188">
        <v>7633986618</v>
      </c>
      <c r="AC188"/>
      <c r="AD188">
        <v>7633986533</v>
      </c>
      <c r="AE188" t="s">
        <v>1194</v>
      </c>
      <c r="AF188" t="s">
        <v>1210</v>
      </c>
      <c r="AG188" t="s">
        <v>1196</v>
      </c>
      <c r="AH188" t="s">
        <v>1067</v>
      </c>
      <c r="AI188" t="s">
        <v>737</v>
      </c>
      <c r="AJ188" t="s">
        <v>54</v>
      </c>
      <c r="AK188" t="s">
        <v>2620</v>
      </c>
      <c r="AL188"/>
      <c r="AM188" t="s">
        <v>1197</v>
      </c>
      <c r="AN188" t="s">
        <v>1198</v>
      </c>
      <c r="AO188" t="s">
        <v>731</v>
      </c>
      <c r="AP188" t="s">
        <v>1209</v>
      </c>
      <c r="AQ188">
        <v>7633982208</v>
      </c>
      <c r="AR188"/>
      <c r="AS188">
        <v>7633986543</v>
      </c>
      <c r="AT188" t="s">
        <v>1199</v>
      </c>
      <c r="AU188" t="s">
        <v>1210</v>
      </c>
      <c r="AV188" t="s">
        <v>1196</v>
      </c>
      <c r="AW188" t="s">
        <v>1067</v>
      </c>
      <c r="AX188" t="s">
        <v>737</v>
      </c>
      <c r="AY188" t="s">
        <v>54</v>
      </c>
      <c r="AZ188" t="s">
        <v>2620</v>
      </c>
      <c r="BA188"/>
      <c r="BB188" t="s">
        <v>1185</v>
      </c>
      <c r="BC188" t="s">
        <v>1186</v>
      </c>
      <c r="BD188" t="s">
        <v>1084</v>
      </c>
      <c r="BE188" t="s">
        <v>1209</v>
      </c>
      <c r="BF188">
        <v>7633982201</v>
      </c>
      <c r="BG188"/>
      <c r="BH188">
        <v>7633986535</v>
      </c>
      <c r="BI188" t="s">
        <v>1188</v>
      </c>
      <c r="BJ188" t="s">
        <v>1210</v>
      </c>
      <c r="BK188" t="s">
        <v>1196</v>
      </c>
      <c r="BL188" t="s">
        <v>1067</v>
      </c>
      <c r="BM188" t="s">
        <v>737</v>
      </c>
      <c r="BN188" t="s">
        <v>54</v>
      </c>
      <c r="BO188" t="s">
        <v>2620</v>
      </c>
      <c r="BP188"/>
      <c r="BQ188" t="s">
        <v>1481</v>
      </c>
      <c r="BR188" t="s">
        <v>1191</v>
      </c>
      <c r="BS188" t="s">
        <v>1290</v>
      </c>
      <c r="BT188" t="s">
        <v>1209</v>
      </c>
      <c r="BU188">
        <v>7633986618</v>
      </c>
      <c r="BV188"/>
      <c r="BW188">
        <v>7633986533</v>
      </c>
      <c r="BX188" t="s">
        <v>1194</v>
      </c>
      <c r="BY188" t="s">
        <v>1210</v>
      </c>
      <c r="BZ188" t="s">
        <v>1196</v>
      </c>
      <c r="CA188" t="s">
        <v>1067</v>
      </c>
      <c r="CB188" t="s">
        <v>737</v>
      </c>
      <c r="CC188" t="s">
        <v>54</v>
      </c>
      <c r="CD188" t="s">
        <v>2620</v>
      </c>
      <c r="CE188"/>
      <c r="CF188" t="s">
        <v>1200</v>
      </c>
      <c r="CG188" t="s">
        <v>1202</v>
      </c>
      <c r="CH188" t="s">
        <v>141</v>
      </c>
      <c r="CI188"/>
      <c r="CJ188"/>
      <c r="CK188"/>
      <c r="CL188"/>
      <c r="CM188">
        <v>1831110865</v>
      </c>
      <c r="CN188">
        <v>374</v>
      </c>
      <c r="CO188">
        <v>372</v>
      </c>
      <c r="CP188">
        <v>371</v>
      </c>
      <c r="CQ188">
        <v>373</v>
      </c>
      <c r="CR188">
        <v>372</v>
      </c>
      <c r="CS188" t="s">
        <v>2397</v>
      </c>
      <c r="CT188">
        <v>12</v>
      </c>
      <c r="CU188"/>
      <c r="CV188"/>
      <c r="CW188"/>
      <c r="CX188"/>
      <c r="CY188"/>
      <c r="CZ188"/>
      <c r="DA188"/>
      <c r="DB188"/>
      <c r="DC188"/>
      <c r="DD188"/>
      <c r="DE188"/>
      <c r="DF188"/>
      <c r="DG188"/>
      <c r="DH188"/>
      <c r="DI188"/>
      <c r="DJ188"/>
      <c r="DK188"/>
      <c r="DL188">
        <v>132</v>
      </c>
      <c r="DM188" t="s">
        <v>2792</v>
      </c>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s="569">
        <v>1044</v>
      </c>
      <c r="ET188" t="s">
        <v>1743</v>
      </c>
      <c r="EU188" t="s">
        <v>1369</v>
      </c>
      <c r="EV188" t="s">
        <v>3037</v>
      </c>
      <c r="EW188" t="s">
        <v>54</v>
      </c>
      <c r="EX188" s="600">
        <v>55426</v>
      </c>
      <c r="EY188">
        <v>1073953451</v>
      </c>
    </row>
    <row r="189" spans="1:155" ht="13.9" customHeight="1" x14ac:dyDescent="0.2">
      <c r="A189" s="598">
        <v>737</v>
      </c>
      <c r="B189" t="s">
        <v>1483</v>
      </c>
      <c r="C189" t="s">
        <v>1119</v>
      </c>
      <c r="D189" t="s">
        <v>1484</v>
      </c>
      <c r="E189" t="s">
        <v>735</v>
      </c>
      <c r="F189" t="s">
        <v>912</v>
      </c>
      <c r="G189" t="s">
        <v>54</v>
      </c>
      <c r="H189" t="s">
        <v>2643</v>
      </c>
      <c r="I189" t="s">
        <v>2793</v>
      </c>
      <c r="J189" t="s">
        <v>1484</v>
      </c>
      <c r="K189" t="s">
        <v>735</v>
      </c>
      <c r="L189" t="s">
        <v>1119</v>
      </c>
      <c r="M189" t="s">
        <v>912</v>
      </c>
      <c r="N189" t="s">
        <v>54</v>
      </c>
      <c r="O189" t="s">
        <v>2643</v>
      </c>
      <c r="P189" t="s">
        <v>2793</v>
      </c>
      <c r="Q189">
        <v>2187225513</v>
      </c>
      <c r="R189">
        <v>2186252757</v>
      </c>
      <c r="S189" t="s">
        <v>2082</v>
      </c>
      <c r="T189" t="s">
        <v>2083</v>
      </c>
      <c r="U189" t="s">
        <v>1150</v>
      </c>
      <c r="V189" t="s">
        <v>2084</v>
      </c>
      <c r="W189" t="s">
        <v>2209</v>
      </c>
      <c r="X189" t="s">
        <v>2794</v>
      </c>
      <c r="Y189" t="s">
        <v>2795</v>
      </c>
      <c r="Z189" t="s">
        <v>2796</v>
      </c>
      <c r="AA189" t="s">
        <v>1483</v>
      </c>
      <c r="AB189">
        <v>2186252722</v>
      </c>
      <c r="AC189"/>
      <c r="AD189">
        <v>2186252757</v>
      </c>
      <c r="AE189" t="s">
        <v>2797</v>
      </c>
      <c r="AF189" t="s">
        <v>1484</v>
      </c>
      <c r="AG189" t="s">
        <v>735</v>
      </c>
      <c r="AH189" t="s">
        <v>1119</v>
      </c>
      <c r="AI189" t="s">
        <v>912</v>
      </c>
      <c r="AJ189" t="s">
        <v>54</v>
      </c>
      <c r="AK189" t="s">
        <v>2643</v>
      </c>
      <c r="AL189" t="s">
        <v>2793</v>
      </c>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t="s">
        <v>1485</v>
      </c>
      <c r="CG189" t="s">
        <v>755</v>
      </c>
      <c r="CH189" t="s">
        <v>56</v>
      </c>
      <c r="CI189"/>
      <c r="CJ189"/>
      <c r="CK189"/>
      <c r="CL189"/>
      <c r="CM189">
        <v>1225033715</v>
      </c>
      <c r="CN189">
        <v>303</v>
      </c>
      <c r="CO189">
        <v>222</v>
      </c>
      <c r="CP189"/>
      <c r="CQ189"/>
      <c r="CR189"/>
      <c r="CS189" t="s">
        <v>2397</v>
      </c>
      <c r="CT189">
        <v>12</v>
      </c>
      <c r="CU189"/>
      <c r="CV189"/>
      <c r="CW189"/>
      <c r="CX189"/>
      <c r="CY189"/>
      <c r="CZ189"/>
      <c r="DA189"/>
      <c r="DB189"/>
      <c r="DC189"/>
      <c r="DD189"/>
      <c r="DE189"/>
      <c r="DF189"/>
      <c r="DG189"/>
      <c r="DH189"/>
      <c r="DI189"/>
      <c r="DJ189"/>
      <c r="DK189"/>
      <c r="DL189">
        <v>132</v>
      </c>
      <c r="DM189" t="s">
        <v>2702</v>
      </c>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s="569">
        <v>907</v>
      </c>
      <c r="ET189" t="s">
        <v>1800</v>
      </c>
      <c r="EU189" t="s">
        <v>1369</v>
      </c>
      <c r="EV189" t="s">
        <v>3038</v>
      </c>
      <c r="EW189" t="s">
        <v>54</v>
      </c>
      <c r="EX189" s="600">
        <v>55422</v>
      </c>
      <c r="EY189">
        <v>1568561546</v>
      </c>
    </row>
    <row r="190" spans="1:155" x14ac:dyDescent="0.2">
      <c r="A190" s="598">
        <v>744</v>
      </c>
      <c r="B190" t="s">
        <v>1486</v>
      </c>
      <c r="C190" t="s">
        <v>823</v>
      </c>
      <c r="D190" t="s">
        <v>1487</v>
      </c>
      <c r="E190" t="s">
        <v>1126</v>
      </c>
      <c r="F190" t="s">
        <v>814</v>
      </c>
      <c r="G190" t="s">
        <v>54</v>
      </c>
      <c r="H190" t="s">
        <v>2500</v>
      </c>
      <c r="I190"/>
      <c r="J190" t="s">
        <v>1487</v>
      </c>
      <c r="K190" t="s">
        <v>1126</v>
      </c>
      <c r="L190" t="s">
        <v>823</v>
      </c>
      <c r="M190" t="s">
        <v>814</v>
      </c>
      <c r="N190" t="s">
        <v>54</v>
      </c>
      <c r="O190" t="s">
        <v>2500</v>
      </c>
      <c r="P190"/>
      <c r="Q190">
        <v>7634277300</v>
      </c>
      <c r="R190">
        <v>7634272802</v>
      </c>
      <c r="S190" t="s">
        <v>1488</v>
      </c>
      <c r="T190" t="s">
        <v>1145</v>
      </c>
      <c r="U190" t="s">
        <v>729</v>
      </c>
      <c r="V190" t="s">
        <v>1489</v>
      </c>
      <c r="W190"/>
      <c r="X190" t="s">
        <v>1120</v>
      </c>
      <c r="Y190" t="s">
        <v>2085</v>
      </c>
      <c r="Z190" t="s">
        <v>2190</v>
      </c>
      <c r="AA190" t="s">
        <v>1469</v>
      </c>
      <c r="AB190">
        <v>9524567059</v>
      </c>
      <c r="AC190"/>
      <c r="AD190">
        <v>9528320477</v>
      </c>
      <c r="AE190" t="s">
        <v>2086</v>
      </c>
      <c r="AF190" t="s">
        <v>1761</v>
      </c>
      <c r="AG190"/>
      <c r="AH190" t="s">
        <v>1049</v>
      </c>
      <c r="AI190" t="s">
        <v>737</v>
      </c>
      <c r="AJ190" t="s">
        <v>54</v>
      </c>
      <c r="AK190" t="s">
        <v>2433</v>
      </c>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t="s">
        <v>1185</v>
      </c>
      <c r="BR190" t="s">
        <v>1751</v>
      </c>
      <c r="BS190" t="s">
        <v>729</v>
      </c>
      <c r="BT190" t="s">
        <v>1469</v>
      </c>
      <c r="BU190">
        <v>9525125639</v>
      </c>
      <c r="BV190"/>
      <c r="BW190">
        <v>9525125650</v>
      </c>
      <c r="BX190" t="s">
        <v>1752</v>
      </c>
      <c r="BY190" t="s">
        <v>1753</v>
      </c>
      <c r="BZ190"/>
      <c r="CA190" t="s">
        <v>1369</v>
      </c>
      <c r="CB190" t="s">
        <v>737</v>
      </c>
      <c r="CC190" t="s">
        <v>54</v>
      </c>
      <c r="CD190" t="s">
        <v>2742</v>
      </c>
      <c r="CE190"/>
      <c r="CF190" t="s">
        <v>1470</v>
      </c>
      <c r="CG190" t="s">
        <v>1469</v>
      </c>
      <c r="CH190" t="s">
        <v>141</v>
      </c>
      <c r="CI190"/>
      <c r="CJ190"/>
      <c r="CK190"/>
      <c r="CL190"/>
      <c r="CM190">
        <v>1164474250</v>
      </c>
      <c r="CN190">
        <v>305</v>
      </c>
      <c r="CO190">
        <v>306</v>
      </c>
      <c r="CP190"/>
      <c r="CQ190"/>
      <c r="CR190">
        <v>218</v>
      </c>
      <c r="CS190" t="s">
        <v>2397</v>
      </c>
      <c r="CT190">
        <v>12</v>
      </c>
      <c r="CU190"/>
      <c r="CV190"/>
      <c r="CW190"/>
      <c r="CX190"/>
      <c r="CY190"/>
      <c r="CZ190"/>
      <c r="DA190"/>
      <c r="DB190"/>
      <c r="DC190"/>
      <c r="DD190"/>
      <c r="DE190"/>
      <c r="DF190"/>
      <c r="DG190"/>
      <c r="DH190"/>
      <c r="DI190"/>
      <c r="DJ190"/>
      <c r="DK190"/>
      <c r="DL190">
        <v>132</v>
      </c>
      <c r="DM190" t="s">
        <v>2391</v>
      </c>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s="569">
        <v>61</v>
      </c>
      <c r="ET190" t="s">
        <v>1849</v>
      </c>
      <c r="EU190" t="s">
        <v>1850</v>
      </c>
      <c r="EV190" t="s">
        <v>2295</v>
      </c>
      <c r="EW190" t="s">
        <v>54</v>
      </c>
      <c r="EX190" s="599">
        <v>56240</v>
      </c>
      <c r="EY190">
        <v>1982673620</v>
      </c>
    </row>
    <row r="191" spans="1:155" x14ac:dyDescent="0.2">
      <c r="A191" s="598">
        <v>1321</v>
      </c>
      <c r="B191" t="s">
        <v>2798</v>
      </c>
      <c r="C191" t="s">
        <v>1123</v>
      </c>
      <c r="D191" t="s">
        <v>2087</v>
      </c>
      <c r="E191"/>
      <c r="F191" t="s">
        <v>784</v>
      </c>
      <c r="G191" t="s">
        <v>54</v>
      </c>
      <c r="H191" t="s">
        <v>2799</v>
      </c>
      <c r="I191"/>
      <c r="J191" t="s">
        <v>2087</v>
      </c>
      <c r="K191"/>
      <c r="L191" t="s">
        <v>1123</v>
      </c>
      <c r="M191"/>
      <c r="N191" t="s">
        <v>54</v>
      </c>
      <c r="O191" t="s">
        <v>2799</v>
      </c>
      <c r="P191"/>
      <c r="Q191">
        <v>6517020750</v>
      </c>
      <c r="R191">
        <v>6517701226</v>
      </c>
      <c r="S191" t="s">
        <v>1637</v>
      </c>
      <c r="T191" t="s">
        <v>2088</v>
      </c>
      <c r="U191" t="s">
        <v>1137</v>
      </c>
      <c r="V191" t="s">
        <v>2089</v>
      </c>
      <c r="W191" t="s">
        <v>1493</v>
      </c>
      <c r="X191" t="s">
        <v>1494</v>
      </c>
      <c r="Y191" t="s">
        <v>1495</v>
      </c>
      <c r="Z191" t="s">
        <v>1496</v>
      </c>
      <c r="AA191" t="s">
        <v>1491</v>
      </c>
      <c r="AB191">
        <v>6515015530</v>
      </c>
      <c r="AC191"/>
      <c r="AD191">
        <v>6517701226</v>
      </c>
      <c r="AE191" t="s">
        <v>1497</v>
      </c>
      <c r="AF191" t="s">
        <v>2800</v>
      </c>
      <c r="AG191" t="s">
        <v>2368</v>
      </c>
      <c r="AH191" t="s">
        <v>757</v>
      </c>
      <c r="AI191" t="s">
        <v>752</v>
      </c>
      <c r="AJ191" t="s">
        <v>54</v>
      </c>
      <c r="AK191" t="s">
        <v>2801</v>
      </c>
      <c r="AL191"/>
      <c r="AM191" t="s">
        <v>1499</v>
      </c>
      <c r="AN191" t="s">
        <v>1500</v>
      </c>
      <c r="AO191" t="s">
        <v>1501</v>
      </c>
      <c r="AP191" t="s">
        <v>1491</v>
      </c>
      <c r="AQ191">
        <v>6517020750</v>
      </c>
      <c r="AR191"/>
      <c r="AS191">
        <v>6517701226</v>
      </c>
      <c r="AT191" t="s">
        <v>1502</v>
      </c>
      <c r="AU191" t="s">
        <v>1498</v>
      </c>
      <c r="AV191" t="s">
        <v>1124</v>
      </c>
      <c r="AW191" t="s">
        <v>778</v>
      </c>
      <c r="AX191" t="s">
        <v>772</v>
      </c>
      <c r="AY191" t="s">
        <v>54</v>
      </c>
      <c r="AZ191" t="s">
        <v>2428</v>
      </c>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t="s">
        <v>1503</v>
      </c>
      <c r="CG191" t="s">
        <v>1491</v>
      </c>
      <c r="CH191" t="s">
        <v>141</v>
      </c>
      <c r="CI191"/>
      <c r="CJ191"/>
      <c r="CK191"/>
      <c r="CL191"/>
      <c r="CM191">
        <v>1821195959</v>
      </c>
      <c r="CN191">
        <v>2282</v>
      </c>
      <c r="CO191">
        <v>231</v>
      </c>
      <c r="CP191">
        <v>233</v>
      </c>
      <c r="CQ191"/>
      <c r="CR191"/>
      <c r="CS191" t="s">
        <v>2397</v>
      </c>
      <c r="CT191">
        <v>12</v>
      </c>
      <c r="CU191"/>
      <c r="CV191"/>
      <c r="CW191"/>
      <c r="CX191"/>
      <c r="CY191"/>
      <c r="CZ191"/>
      <c r="DA191"/>
      <c r="DB191"/>
      <c r="DC191"/>
      <c r="DD191"/>
      <c r="DE191"/>
      <c r="DF191"/>
      <c r="DG191"/>
      <c r="DH191"/>
      <c r="DI191"/>
      <c r="DJ191"/>
      <c r="DK191"/>
      <c r="DL191"/>
      <c r="DM191"/>
      <c r="DN191">
        <v>133</v>
      </c>
      <c r="DO191" t="s">
        <v>2802</v>
      </c>
      <c r="DP191"/>
      <c r="DQ191"/>
      <c r="DR191"/>
      <c r="DS191"/>
      <c r="DT191"/>
      <c r="DU191"/>
      <c r="DV191"/>
      <c r="DW191"/>
      <c r="DX191"/>
      <c r="DY191"/>
      <c r="DZ191"/>
      <c r="EA191"/>
      <c r="EB191"/>
      <c r="EC191"/>
      <c r="ED191"/>
      <c r="EE191"/>
      <c r="EF191"/>
      <c r="EG191"/>
      <c r="EH191"/>
      <c r="EI191"/>
      <c r="EJ191"/>
      <c r="EK191"/>
      <c r="EL191"/>
      <c r="EM191"/>
      <c r="EN191"/>
      <c r="EO191"/>
      <c r="EP191"/>
      <c r="EQ191"/>
      <c r="ER191"/>
      <c r="ES191" s="569">
        <v>30</v>
      </c>
      <c r="ET191" t="s">
        <v>2296</v>
      </c>
      <c r="EU191" t="s">
        <v>908</v>
      </c>
      <c r="EV191" t="s">
        <v>2297</v>
      </c>
      <c r="EW191" t="s">
        <v>54</v>
      </c>
      <c r="EX191" s="599">
        <v>55604</v>
      </c>
      <c r="EY191">
        <v>1487712493</v>
      </c>
    </row>
    <row r="192" spans="1:155" x14ac:dyDescent="0.2">
      <c r="A192" s="598">
        <v>1385</v>
      </c>
      <c r="B192" t="s">
        <v>2803</v>
      </c>
      <c r="C192" t="s">
        <v>757</v>
      </c>
      <c r="D192" t="s">
        <v>2800</v>
      </c>
      <c r="E192"/>
      <c r="F192" t="s">
        <v>752</v>
      </c>
      <c r="G192" t="s">
        <v>54</v>
      </c>
      <c r="H192" t="s">
        <v>2801</v>
      </c>
      <c r="I192"/>
      <c r="J192" t="s">
        <v>2800</v>
      </c>
      <c r="K192" t="s">
        <v>2368</v>
      </c>
      <c r="L192" t="s">
        <v>757</v>
      </c>
      <c r="M192" t="s">
        <v>752</v>
      </c>
      <c r="N192" t="s">
        <v>54</v>
      </c>
      <c r="O192" t="s">
        <v>2801</v>
      </c>
      <c r="P192"/>
      <c r="Q192">
        <v>6517020750</v>
      </c>
      <c r="R192">
        <v>6517701226</v>
      </c>
      <c r="S192" t="s">
        <v>1637</v>
      </c>
      <c r="T192" t="s">
        <v>2088</v>
      </c>
      <c r="U192" t="s">
        <v>1137</v>
      </c>
      <c r="V192" t="s">
        <v>2089</v>
      </c>
      <c r="W192" t="s">
        <v>1493</v>
      </c>
      <c r="X192" t="s">
        <v>1494</v>
      </c>
      <c r="Y192" t="s">
        <v>1495</v>
      </c>
      <c r="Z192" t="s">
        <v>1496</v>
      </c>
      <c r="AA192" t="s">
        <v>1491</v>
      </c>
      <c r="AB192">
        <v>6515015530</v>
      </c>
      <c r="AC192"/>
      <c r="AD192">
        <v>6517701226</v>
      </c>
      <c r="AE192" t="s">
        <v>1497</v>
      </c>
      <c r="AF192" t="s">
        <v>2800</v>
      </c>
      <c r="AG192" t="s">
        <v>2368</v>
      </c>
      <c r="AH192" t="s">
        <v>757</v>
      </c>
      <c r="AI192" t="s">
        <v>752</v>
      </c>
      <c r="AJ192" t="s">
        <v>54</v>
      </c>
      <c r="AK192" t="s">
        <v>2801</v>
      </c>
      <c r="AL192"/>
      <c r="AM192" t="s">
        <v>1499</v>
      </c>
      <c r="AN192" t="s">
        <v>1500</v>
      </c>
      <c r="AO192" t="s">
        <v>1501</v>
      </c>
      <c r="AP192" t="s">
        <v>1491</v>
      </c>
      <c r="AQ192">
        <v>6517020750</v>
      </c>
      <c r="AR192"/>
      <c r="AS192">
        <v>6517701226</v>
      </c>
      <c r="AT192" t="s">
        <v>1502</v>
      </c>
      <c r="AU192" t="s">
        <v>1498</v>
      </c>
      <c r="AV192" t="s">
        <v>1124</v>
      </c>
      <c r="AW192" t="s">
        <v>778</v>
      </c>
      <c r="AX192" t="s">
        <v>772</v>
      </c>
      <c r="AY192" t="s">
        <v>54</v>
      </c>
      <c r="AZ192" t="s">
        <v>2428</v>
      </c>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t="s">
        <v>1503</v>
      </c>
      <c r="CG192" t="s">
        <v>1491</v>
      </c>
      <c r="CH192" t="s">
        <v>141</v>
      </c>
      <c r="CI192"/>
      <c r="CJ192"/>
      <c r="CK192"/>
      <c r="CL192"/>
      <c r="CM192">
        <v>1821195959</v>
      </c>
      <c r="CN192">
        <v>232</v>
      </c>
      <c r="CO192">
        <v>231</v>
      </c>
      <c r="CP192">
        <v>233</v>
      </c>
      <c r="CQ192"/>
      <c r="CR192"/>
      <c r="CS192" t="s">
        <v>2397</v>
      </c>
      <c r="CT192">
        <v>2</v>
      </c>
      <c r="CU192"/>
      <c r="CV192"/>
      <c r="CW192"/>
      <c r="CX192"/>
      <c r="CY192"/>
      <c r="CZ192"/>
      <c r="DA192"/>
      <c r="DB192"/>
      <c r="DC192"/>
      <c r="DD192"/>
      <c r="DE192"/>
      <c r="DF192"/>
      <c r="DG192"/>
      <c r="DH192"/>
      <c r="DI192"/>
      <c r="DJ192"/>
      <c r="DK192"/>
      <c r="DL192"/>
      <c r="DM192"/>
      <c r="DN192">
        <v>133</v>
      </c>
      <c r="DO192" t="s">
        <v>2802</v>
      </c>
      <c r="DP192"/>
      <c r="DQ192"/>
      <c r="DR192"/>
      <c r="DS192"/>
      <c r="DT192"/>
      <c r="DU192"/>
      <c r="DV192"/>
      <c r="DW192"/>
      <c r="DX192"/>
      <c r="DY192"/>
      <c r="DZ192"/>
      <c r="EA192"/>
      <c r="EB192"/>
      <c r="EC192"/>
      <c r="ED192"/>
      <c r="EE192"/>
      <c r="EF192"/>
      <c r="EG192"/>
      <c r="EH192"/>
      <c r="EI192"/>
      <c r="EJ192"/>
      <c r="EK192"/>
      <c r="EL192"/>
      <c r="EM192"/>
      <c r="EN192"/>
      <c r="EO192"/>
      <c r="EP192"/>
      <c r="EQ192"/>
      <c r="ER192"/>
      <c r="ES192" s="569">
        <v>1121</v>
      </c>
      <c r="ET192" t="s">
        <v>798</v>
      </c>
      <c r="EU192" t="s">
        <v>799</v>
      </c>
      <c r="EV192" t="s">
        <v>3039</v>
      </c>
      <c r="EW192" t="s">
        <v>54</v>
      </c>
      <c r="EX192" s="600">
        <v>55744</v>
      </c>
      <c r="EY192"/>
    </row>
    <row r="193" spans="1:155" x14ac:dyDescent="0.2">
      <c r="A193" s="598">
        <v>1398</v>
      </c>
      <c r="B193" t="s">
        <v>2804</v>
      </c>
      <c r="C193" t="s">
        <v>2805</v>
      </c>
      <c r="D193" t="s">
        <v>2806</v>
      </c>
      <c r="E193" t="s">
        <v>2368</v>
      </c>
      <c r="F193"/>
      <c r="G193" t="s">
        <v>2075</v>
      </c>
      <c r="H193" t="s">
        <v>2807</v>
      </c>
      <c r="I193"/>
      <c r="J193" t="s">
        <v>2806</v>
      </c>
      <c r="K193"/>
      <c r="L193" t="s">
        <v>2805</v>
      </c>
      <c r="M193"/>
      <c r="N193" t="s">
        <v>2075</v>
      </c>
      <c r="O193" t="s">
        <v>2807</v>
      </c>
      <c r="P193"/>
      <c r="Q193">
        <v>8883231316</v>
      </c>
      <c r="R193"/>
      <c r="S193" t="s">
        <v>2808</v>
      </c>
      <c r="T193" t="s">
        <v>2809</v>
      </c>
      <c r="U193"/>
      <c r="V193" t="s">
        <v>2810</v>
      </c>
      <c r="W193"/>
      <c r="X193" t="s">
        <v>2808</v>
      </c>
      <c r="Y193" t="s">
        <v>2809</v>
      </c>
      <c r="Z193"/>
      <c r="AA193" t="s">
        <v>2804</v>
      </c>
      <c r="AB193"/>
      <c r="AC193"/>
      <c r="AD193"/>
      <c r="AE193"/>
      <c r="AF193" t="s">
        <v>2806</v>
      </c>
      <c r="AG193"/>
      <c r="AH193" t="s">
        <v>2805</v>
      </c>
      <c r="AI193"/>
      <c r="AJ193" t="s">
        <v>2075</v>
      </c>
      <c r="AK193" t="s">
        <v>2807</v>
      </c>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t="s">
        <v>2811</v>
      </c>
      <c r="CG193" t="s">
        <v>755</v>
      </c>
      <c r="CH193"/>
      <c r="CI193"/>
      <c r="CJ193"/>
      <c r="CK193"/>
      <c r="CL193"/>
      <c r="CM193"/>
      <c r="CN193">
        <v>2433</v>
      </c>
      <c r="CO193">
        <v>2434</v>
      </c>
      <c r="CP193"/>
      <c r="CQ193"/>
      <c r="CR193"/>
      <c r="CS193" t="s">
        <v>2397</v>
      </c>
      <c r="CT193">
        <v>12</v>
      </c>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s="569">
        <v>64</v>
      </c>
      <c r="ET193" t="s">
        <v>1851</v>
      </c>
      <c r="EU193" t="s">
        <v>799</v>
      </c>
      <c r="EV193" t="s">
        <v>800</v>
      </c>
      <c r="EW193" t="s">
        <v>54</v>
      </c>
      <c r="EX193" s="599">
        <v>55744</v>
      </c>
      <c r="EY193">
        <v>1669426631</v>
      </c>
    </row>
    <row r="194" spans="1:155" x14ac:dyDescent="0.2">
      <c r="A194" s="598">
        <v>515</v>
      </c>
      <c r="B194" t="s">
        <v>1504</v>
      </c>
      <c r="C194" t="s">
        <v>819</v>
      </c>
      <c r="D194" t="s">
        <v>1505</v>
      </c>
      <c r="E194"/>
      <c r="F194" t="s">
        <v>784</v>
      </c>
      <c r="G194" t="s">
        <v>54</v>
      </c>
      <c r="H194" t="s">
        <v>2498</v>
      </c>
      <c r="I194"/>
      <c r="J194" t="s">
        <v>1505</v>
      </c>
      <c r="K194"/>
      <c r="L194" t="s">
        <v>819</v>
      </c>
      <c r="M194" t="s">
        <v>784</v>
      </c>
      <c r="N194" t="s">
        <v>54</v>
      </c>
      <c r="O194" t="s">
        <v>2498</v>
      </c>
      <c r="P194"/>
      <c r="Q194">
        <v>9529938673</v>
      </c>
      <c r="R194">
        <v>9529930388</v>
      </c>
      <c r="S194" t="s">
        <v>1359</v>
      </c>
      <c r="T194" t="s">
        <v>1506</v>
      </c>
      <c r="U194" t="s">
        <v>1507</v>
      </c>
      <c r="V194" t="s">
        <v>1508</v>
      </c>
      <c r="W194" t="s">
        <v>1509</v>
      </c>
      <c r="X194" t="s">
        <v>1494</v>
      </c>
      <c r="Y194" t="s">
        <v>1510</v>
      </c>
      <c r="Z194" t="s">
        <v>1511</v>
      </c>
      <c r="AA194" t="s">
        <v>1512</v>
      </c>
      <c r="AB194">
        <v>9529935533</v>
      </c>
      <c r="AC194"/>
      <c r="AD194">
        <v>9529936531</v>
      </c>
      <c r="AE194" t="s">
        <v>1513</v>
      </c>
      <c r="AF194" t="s">
        <v>1514</v>
      </c>
      <c r="AG194"/>
      <c r="AH194" t="s">
        <v>736</v>
      </c>
      <c r="AI194" t="s">
        <v>737</v>
      </c>
      <c r="AJ194" t="s">
        <v>54</v>
      </c>
      <c r="AK194" t="s">
        <v>2812</v>
      </c>
      <c r="AL194"/>
      <c r="AM194" t="s">
        <v>1515</v>
      </c>
      <c r="AN194" t="s">
        <v>1516</v>
      </c>
      <c r="AO194" t="s">
        <v>1121</v>
      </c>
      <c r="AP194" t="s">
        <v>1512</v>
      </c>
      <c r="AQ194">
        <v>9529933646</v>
      </c>
      <c r="AR194"/>
      <c r="AS194">
        <v>9529930388</v>
      </c>
      <c r="AT194" t="s">
        <v>1517</v>
      </c>
      <c r="AU194" t="s">
        <v>1514</v>
      </c>
      <c r="AV194"/>
      <c r="AW194" t="s">
        <v>736</v>
      </c>
      <c r="AX194" t="s">
        <v>737</v>
      </c>
      <c r="AY194" t="s">
        <v>54</v>
      </c>
      <c r="AZ194" t="s">
        <v>2812</v>
      </c>
      <c r="BA194"/>
      <c r="BB194" t="s">
        <v>1481</v>
      </c>
      <c r="BC194" t="s">
        <v>1518</v>
      </c>
      <c r="BD194" t="s">
        <v>867</v>
      </c>
      <c r="BE194" t="s">
        <v>1512</v>
      </c>
      <c r="BF194">
        <v>9529932743</v>
      </c>
      <c r="BG194"/>
      <c r="BH194">
        <v>9529930388</v>
      </c>
      <c r="BI194" t="s">
        <v>1519</v>
      </c>
      <c r="BJ194" t="s">
        <v>1514</v>
      </c>
      <c r="BK194"/>
      <c r="BL194" t="s">
        <v>736</v>
      </c>
      <c r="BM194" t="s">
        <v>737</v>
      </c>
      <c r="BN194" t="s">
        <v>54</v>
      </c>
      <c r="BO194" t="s">
        <v>2812</v>
      </c>
      <c r="BP194"/>
      <c r="BQ194" t="s">
        <v>1394</v>
      </c>
      <c r="BR194" t="s">
        <v>1520</v>
      </c>
      <c r="BS194" t="s">
        <v>1192</v>
      </c>
      <c r="BT194" t="s">
        <v>1521</v>
      </c>
      <c r="BU194">
        <v>9529939255</v>
      </c>
      <c r="BV194"/>
      <c r="BW194">
        <v>9529931808</v>
      </c>
      <c r="BX194" t="s">
        <v>1522</v>
      </c>
      <c r="BY194" t="s">
        <v>1523</v>
      </c>
      <c r="BZ194"/>
      <c r="CA194" t="s">
        <v>736</v>
      </c>
      <c r="CB194" t="s">
        <v>737</v>
      </c>
      <c r="CC194" t="s">
        <v>54</v>
      </c>
      <c r="CD194" t="s">
        <v>2812</v>
      </c>
      <c r="CE194"/>
      <c r="CF194"/>
      <c r="CG194" t="s">
        <v>1521</v>
      </c>
      <c r="CH194" t="s">
        <v>141</v>
      </c>
      <c r="CI194"/>
      <c r="CJ194"/>
      <c r="CK194"/>
      <c r="CL194"/>
      <c r="CM194">
        <v>1780621904</v>
      </c>
      <c r="CN194">
        <v>342</v>
      </c>
      <c r="CO194">
        <v>156</v>
      </c>
      <c r="CP194">
        <v>3173</v>
      </c>
      <c r="CQ194">
        <v>3179</v>
      </c>
      <c r="CR194">
        <v>3174</v>
      </c>
      <c r="CS194" t="s">
        <v>2397</v>
      </c>
      <c r="CT194">
        <v>12</v>
      </c>
      <c r="CU194"/>
      <c r="CV194"/>
      <c r="CW194"/>
      <c r="CX194"/>
      <c r="CY194"/>
      <c r="CZ194"/>
      <c r="DA194"/>
      <c r="DB194"/>
      <c r="DC194"/>
      <c r="DD194">
        <v>128</v>
      </c>
      <c r="DE194" t="s">
        <v>2813</v>
      </c>
      <c r="DF194"/>
      <c r="DG194"/>
      <c r="DH194">
        <v>129</v>
      </c>
      <c r="DI194" t="s">
        <v>2814</v>
      </c>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s="569">
        <v>1204</v>
      </c>
      <c r="ET194" t="s">
        <v>949</v>
      </c>
      <c r="EU194" t="s">
        <v>950</v>
      </c>
      <c r="EV194" t="s">
        <v>3040</v>
      </c>
      <c r="EW194" t="s">
        <v>54</v>
      </c>
      <c r="EX194" s="600">
        <v>56241</v>
      </c>
      <c r="EY194"/>
    </row>
    <row r="195" spans="1:155" x14ac:dyDescent="0.2">
      <c r="A195" s="598">
        <v>550</v>
      </c>
      <c r="B195" t="s">
        <v>1524</v>
      </c>
      <c r="C195" t="s">
        <v>833</v>
      </c>
      <c r="D195" t="s">
        <v>1525</v>
      </c>
      <c r="E195"/>
      <c r="F195" t="s">
        <v>737</v>
      </c>
      <c r="G195" t="s">
        <v>54</v>
      </c>
      <c r="H195" t="s">
        <v>2516</v>
      </c>
      <c r="I195"/>
      <c r="J195" t="s">
        <v>1525</v>
      </c>
      <c r="K195"/>
      <c r="L195" t="s">
        <v>833</v>
      </c>
      <c r="M195" t="s">
        <v>737</v>
      </c>
      <c r="N195" t="s">
        <v>54</v>
      </c>
      <c r="O195" t="s">
        <v>2516</v>
      </c>
      <c r="P195"/>
      <c r="Q195">
        <v>9529931360</v>
      </c>
      <c r="R195">
        <v>9529930388</v>
      </c>
      <c r="S195" t="s">
        <v>1359</v>
      </c>
      <c r="T195" t="s">
        <v>1506</v>
      </c>
      <c r="U195" t="s">
        <v>1507</v>
      </c>
      <c r="V195" t="s">
        <v>1526</v>
      </c>
      <c r="W195" t="s">
        <v>1509</v>
      </c>
      <c r="X195" t="s">
        <v>1494</v>
      </c>
      <c r="Y195" t="s">
        <v>1510</v>
      </c>
      <c r="Z195" t="s">
        <v>1511</v>
      </c>
      <c r="AA195" t="s">
        <v>1512</v>
      </c>
      <c r="AB195">
        <v>9529935533</v>
      </c>
      <c r="AC195"/>
      <c r="AD195">
        <v>9529936531</v>
      </c>
      <c r="AE195" t="s">
        <v>1513</v>
      </c>
      <c r="AF195" t="s">
        <v>1514</v>
      </c>
      <c r="AG195"/>
      <c r="AH195" t="s">
        <v>736</v>
      </c>
      <c r="AI195" t="s">
        <v>737</v>
      </c>
      <c r="AJ195" t="s">
        <v>54</v>
      </c>
      <c r="AK195" t="s">
        <v>2812</v>
      </c>
      <c r="AL195"/>
      <c r="AM195" t="s">
        <v>1515</v>
      </c>
      <c r="AN195" t="s">
        <v>1516</v>
      </c>
      <c r="AO195" t="s">
        <v>1121</v>
      </c>
      <c r="AP195" t="s">
        <v>1512</v>
      </c>
      <c r="AQ195">
        <v>9529933646</v>
      </c>
      <c r="AR195"/>
      <c r="AS195">
        <v>9529930388</v>
      </c>
      <c r="AT195" t="s">
        <v>1517</v>
      </c>
      <c r="AU195" t="s">
        <v>1514</v>
      </c>
      <c r="AV195"/>
      <c r="AW195" t="s">
        <v>736</v>
      </c>
      <c r="AX195" t="s">
        <v>737</v>
      </c>
      <c r="AY195" t="s">
        <v>54</v>
      </c>
      <c r="AZ195" t="s">
        <v>2812</v>
      </c>
      <c r="BA195"/>
      <c r="BB195" t="s">
        <v>1481</v>
      </c>
      <c r="BC195" t="s">
        <v>1518</v>
      </c>
      <c r="BD195" t="s">
        <v>867</v>
      </c>
      <c r="BE195" t="s">
        <v>1512</v>
      </c>
      <c r="BF195">
        <v>9529932743</v>
      </c>
      <c r="BG195"/>
      <c r="BH195">
        <v>9529930388</v>
      </c>
      <c r="BI195" t="s">
        <v>1519</v>
      </c>
      <c r="BJ195" t="s">
        <v>1514</v>
      </c>
      <c r="BK195"/>
      <c r="BL195" t="s">
        <v>736</v>
      </c>
      <c r="BM195" t="s">
        <v>737</v>
      </c>
      <c r="BN195" t="s">
        <v>54</v>
      </c>
      <c r="BO195" t="s">
        <v>2812</v>
      </c>
      <c r="BP195"/>
      <c r="BQ195" t="s">
        <v>1394</v>
      </c>
      <c r="BR195" t="s">
        <v>1520</v>
      </c>
      <c r="BS195" t="s">
        <v>1192</v>
      </c>
      <c r="BT195" t="s">
        <v>1521</v>
      </c>
      <c r="BU195">
        <v>9529939255</v>
      </c>
      <c r="BV195"/>
      <c r="BW195">
        <v>9529931808</v>
      </c>
      <c r="BX195" t="s">
        <v>1522</v>
      </c>
      <c r="BY195" t="s">
        <v>1523</v>
      </c>
      <c r="BZ195"/>
      <c r="CA195" t="s">
        <v>736</v>
      </c>
      <c r="CB195" t="s">
        <v>737</v>
      </c>
      <c r="CC195" t="s">
        <v>54</v>
      </c>
      <c r="CD195" t="s">
        <v>2812</v>
      </c>
      <c r="CE195"/>
      <c r="CF195"/>
      <c r="CG195" t="s">
        <v>1521</v>
      </c>
      <c r="CH195" t="s">
        <v>141</v>
      </c>
      <c r="CI195"/>
      <c r="CJ195"/>
      <c r="CK195"/>
      <c r="CL195"/>
      <c r="CM195">
        <v>1780621904</v>
      </c>
      <c r="CN195">
        <v>344</v>
      </c>
      <c r="CO195">
        <v>156</v>
      </c>
      <c r="CP195">
        <v>3173</v>
      </c>
      <c r="CQ195">
        <v>3179</v>
      </c>
      <c r="CR195">
        <v>3174</v>
      </c>
      <c r="CS195" t="s">
        <v>2397</v>
      </c>
      <c r="CT195">
        <v>12</v>
      </c>
      <c r="CU195"/>
      <c r="CV195"/>
      <c r="CW195"/>
      <c r="CX195"/>
      <c r="CY195"/>
      <c r="CZ195"/>
      <c r="DA195"/>
      <c r="DB195"/>
      <c r="DC195"/>
      <c r="DD195">
        <v>128</v>
      </c>
      <c r="DE195" t="s">
        <v>2815</v>
      </c>
      <c r="DF195"/>
      <c r="DG195"/>
      <c r="DH195">
        <v>129</v>
      </c>
      <c r="DI195" t="s">
        <v>2816</v>
      </c>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s="569">
        <v>53</v>
      </c>
      <c r="ET195" t="s">
        <v>1852</v>
      </c>
      <c r="EU195" t="s">
        <v>950</v>
      </c>
      <c r="EV195" t="s">
        <v>951</v>
      </c>
      <c r="EW195" t="s">
        <v>54</v>
      </c>
      <c r="EX195" s="599">
        <v>56241</v>
      </c>
      <c r="EY195">
        <v>1780654962</v>
      </c>
    </row>
    <row r="196" spans="1:155" x14ac:dyDescent="0.2">
      <c r="A196" s="598">
        <v>575</v>
      </c>
      <c r="B196" t="s">
        <v>1527</v>
      </c>
      <c r="C196" t="s">
        <v>736</v>
      </c>
      <c r="D196" t="s">
        <v>1528</v>
      </c>
      <c r="E196"/>
      <c r="F196" t="s">
        <v>737</v>
      </c>
      <c r="G196" t="s">
        <v>54</v>
      </c>
      <c r="H196" t="s">
        <v>2396</v>
      </c>
      <c r="I196"/>
      <c r="J196" t="s">
        <v>1528</v>
      </c>
      <c r="K196"/>
      <c r="L196" t="s">
        <v>736</v>
      </c>
      <c r="M196" t="s">
        <v>737</v>
      </c>
      <c r="N196" t="s">
        <v>54</v>
      </c>
      <c r="O196" t="s">
        <v>2396</v>
      </c>
      <c r="P196"/>
      <c r="Q196">
        <v>9529931785</v>
      </c>
      <c r="R196">
        <v>9529930388</v>
      </c>
      <c r="S196" t="s">
        <v>1359</v>
      </c>
      <c r="T196" t="s">
        <v>1506</v>
      </c>
      <c r="U196" t="s">
        <v>1507</v>
      </c>
      <c r="V196" t="s">
        <v>1526</v>
      </c>
      <c r="W196" t="s">
        <v>1509</v>
      </c>
      <c r="X196" t="s">
        <v>1494</v>
      </c>
      <c r="Y196" t="s">
        <v>1510</v>
      </c>
      <c r="Z196" t="s">
        <v>1511</v>
      </c>
      <c r="AA196" t="s">
        <v>1512</v>
      </c>
      <c r="AB196">
        <v>9529935533</v>
      </c>
      <c r="AC196"/>
      <c r="AD196">
        <v>9529936531</v>
      </c>
      <c r="AE196" t="s">
        <v>1513</v>
      </c>
      <c r="AF196" t="s">
        <v>1514</v>
      </c>
      <c r="AG196"/>
      <c r="AH196" t="s">
        <v>736</v>
      </c>
      <c r="AI196" t="s">
        <v>737</v>
      </c>
      <c r="AJ196" t="s">
        <v>54</v>
      </c>
      <c r="AK196" t="s">
        <v>2812</v>
      </c>
      <c r="AL196"/>
      <c r="AM196" t="s">
        <v>1515</v>
      </c>
      <c r="AN196" t="s">
        <v>1516</v>
      </c>
      <c r="AO196" t="s">
        <v>1121</v>
      </c>
      <c r="AP196" t="s">
        <v>1512</v>
      </c>
      <c r="AQ196">
        <v>9529933646</v>
      </c>
      <c r="AR196"/>
      <c r="AS196">
        <v>9529930388</v>
      </c>
      <c r="AT196" t="s">
        <v>1517</v>
      </c>
      <c r="AU196" t="s">
        <v>1514</v>
      </c>
      <c r="AV196"/>
      <c r="AW196" t="s">
        <v>736</v>
      </c>
      <c r="AX196" t="s">
        <v>737</v>
      </c>
      <c r="AY196" t="s">
        <v>54</v>
      </c>
      <c r="AZ196" t="s">
        <v>2812</v>
      </c>
      <c r="BA196"/>
      <c r="BB196" t="s">
        <v>1481</v>
      </c>
      <c r="BC196" t="s">
        <v>1518</v>
      </c>
      <c r="BD196" t="s">
        <v>867</v>
      </c>
      <c r="BE196" t="s">
        <v>1512</v>
      </c>
      <c r="BF196">
        <v>9529932743</v>
      </c>
      <c r="BG196"/>
      <c r="BH196">
        <v>9529930388</v>
      </c>
      <c r="BI196" t="s">
        <v>1519</v>
      </c>
      <c r="BJ196" t="s">
        <v>1514</v>
      </c>
      <c r="BK196"/>
      <c r="BL196" t="s">
        <v>736</v>
      </c>
      <c r="BM196" t="s">
        <v>737</v>
      </c>
      <c r="BN196" t="s">
        <v>54</v>
      </c>
      <c r="BO196" t="s">
        <v>2812</v>
      </c>
      <c r="BP196"/>
      <c r="BQ196" t="s">
        <v>1394</v>
      </c>
      <c r="BR196" t="s">
        <v>1520</v>
      </c>
      <c r="BS196" t="s">
        <v>1192</v>
      </c>
      <c r="BT196" t="s">
        <v>1521</v>
      </c>
      <c r="BU196">
        <v>9529939255</v>
      </c>
      <c r="BV196"/>
      <c r="BW196">
        <v>9529931808</v>
      </c>
      <c r="BX196" t="s">
        <v>1522</v>
      </c>
      <c r="BY196" t="s">
        <v>1523</v>
      </c>
      <c r="BZ196"/>
      <c r="CA196" t="s">
        <v>736</v>
      </c>
      <c r="CB196" t="s">
        <v>737</v>
      </c>
      <c r="CC196" t="s">
        <v>54</v>
      </c>
      <c r="CD196" t="s">
        <v>2812</v>
      </c>
      <c r="CE196"/>
      <c r="CF196"/>
      <c r="CG196" t="s">
        <v>1521</v>
      </c>
      <c r="CH196" t="s">
        <v>141</v>
      </c>
      <c r="CI196"/>
      <c r="CJ196"/>
      <c r="CK196"/>
      <c r="CL196"/>
      <c r="CM196">
        <v>1780621904</v>
      </c>
      <c r="CN196">
        <v>345</v>
      </c>
      <c r="CO196">
        <v>156</v>
      </c>
      <c r="CP196">
        <v>3173</v>
      </c>
      <c r="CQ196">
        <v>3179</v>
      </c>
      <c r="CR196">
        <v>3174</v>
      </c>
      <c r="CS196" t="s">
        <v>2397</v>
      </c>
      <c r="CT196">
        <v>12</v>
      </c>
      <c r="CU196"/>
      <c r="CV196"/>
      <c r="CW196"/>
      <c r="CX196"/>
      <c r="CY196"/>
      <c r="CZ196"/>
      <c r="DA196"/>
      <c r="DB196"/>
      <c r="DC196"/>
      <c r="DD196">
        <v>128</v>
      </c>
      <c r="DE196" t="s">
        <v>2817</v>
      </c>
      <c r="DF196"/>
      <c r="DG196"/>
      <c r="DH196">
        <v>129</v>
      </c>
      <c r="DI196" t="s">
        <v>2740</v>
      </c>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s="569">
        <v>69</v>
      </c>
      <c r="ET196" t="s">
        <v>1853</v>
      </c>
      <c r="EU196" t="s">
        <v>1854</v>
      </c>
      <c r="EV196" t="s">
        <v>2298</v>
      </c>
      <c r="EW196" t="s">
        <v>54</v>
      </c>
      <c r="EX196" s="599">
        <v>56728</v>
      </c>
      <c r="EY196">
        <v>1669403846</v>
      </c>
    </row>
    <row r="197" spans="1:155" x14ac:dyDescent="0.2">
      <c r="A197" s="598">
        <v>592</v>
      </c>
      <c r="B197" t="s">
        <v>1529</v>
      </c>
      <c r="C197" t="s">
        <v>1530</v>
      </c>
      <c r="D197" t="s">
        <v>1531</v>
      </c>
      <c r="E197" t="s">
        <v>1532</v>
      </c>
      <c r="F197" t="s">
        <v>737</v>
      </c>
      <c r="G197" t="s">
        <v>54</v>
      </c>
      <c r="H197" t="s">
        <v>2818</v>
      </c>
      <c r="I197"/>
      <c r="J197" t="s">
        <v>1531</v>
      </c>
      <c r="K197" t="s">
        <v>1532</v>
      </c>
      <c r="L197" t="s">
        <v>1530</v>
      </c>
      <c r="M197" t="s">
        <v>737</v>
      </c>
      <c r="N197" t="s">
        <v>54</v>
      </c>
      <c r="O197" t="s">
        <v>2818</v>
      </c>
      <c r="P197"/>
      <c r="Q197">
        <v>9523398290</v>
      </c>
      <c r="R197">
        <v>9529930388</v>
      </c>
      <c r="S197" t="s">
        <v>1359</v>
      </c>
      <c r="T197" t="s">
        <v>1506</v>
      </c>
      <c r="U197" t="s">
        <v>1507</v>
      </c>
      <c r="V197" t="s">
        <v>1526</v>
      </c>
      <c r="W197" t="s">
        <v>1509</v>
      </c>
      <c r="X197" t="s">
        <v>1494</v>
      </c>
      <c r="Y197" t="s">
        <v>1510</v>
      </c>
      <c r="Z197" t="s">
        <v>1511</v>
      </c>
      <c r="AA197" t="s">
        <v>1512</v>
      </c>
      <c r="AB197">
        <v>9529935533</v>
      </c>
      <c r="AC197"/>
      <c r="AD197">
        <v>9529936531</v>
      </c>
      <c r="AE197" t="s">
        <v>1513</v>
      </c>
      <c r="AF197" t="s">
        <v>1514</v>
      </c>
      <c r="AG197"/>
      <c r="AH197" t="s">
        <v>736</v>
      </c>
      <c r="AI197" t="s">
        <v>737</v>
      </c>
      <c r="AJ197" t="s">
        <v>54</v>
      </c>
      <c r="AK197" t="s">
        <v>2812</v>
      </c>
      <c r="AL197"/>
      <c r="AM197" t="s">
        <v>1515</v>
      </c>
      <c r="AN197" t="s">
        <v>1516</v>
      </c>
      <c r="AO197" t="s">
        <v>1121</v>
      </c>
      <c r="AP197" t="s">
        <v>1512</v>
      </c>
      <c r="AQ197">
        <v>9529933646</v>
      </c>
      <c r="AR197"/>
      <c r="AS197">
        <v>9529930388</v>
      </c>
      <c r="AT197" t="s">
        <v>1517</v>
      </c>
      <c r="AU197" t="s">
        <v>1514</v>
      </c>
      <c r="AV197"/>
      <c r="AW197" t="s">
        <v>736</v>
      </c>
      <c r="AX197" t="s">
        <v>737</v>
      </c>
      <c r="AY197" t="s">
        <v>54</v>
      </c>
      <c r="AZ197" t="s">
        <v>2812</v>
      </c>
      <c r="BA197"/>
      <c r="BB197" t="s">
        <v>1481</v>
      </c>
      <c r="BC197" t="s">
        <v>1518</v>
      </c>
      <c r="BD197" t="s">
        <v>867</v>
      </c>
      <c r="BE197" t="s">
        <v>1512</v>
      </c>
      <c r="BF197">
        <v>9529932743</v>
      </c>
      <c r="BG197"/>
      <c r="BH197">
        <v>9529930388</v>
      </c>
      <c r="BI197" t="s">
        <v>1519</v>
      </c>
      <c r="BJ197" t="s">
        <v>1514</v>
      </c>
      <c r="BK197"/>
      <c r="BL197" t="s">
        <v>736</v>
      </c>
      <c r="BM197" t="s">
        <v>737</v>
      </c>
      <c r="BN197" t="s">
        <v>54</v>
      </c>
      <c r="BO197" t="s">
        <v>2812</v>
      </c>
      <c r="BP197"/>
      <c r="BQ197" t="s">
        <v>1394</v>
      </c>
      <c r="BR197" t="s">
        <v>1520</v>
      </c>
      <c r="BS197" t="s">
        <v>1192</v>
      </c>
      <c r="BT197" t="s">
        <v>1521</v>
      </c>
      <c r="BU197">
        <v>9529939255</v>
      </c>
      <c r="BV197"/>
      <c r="BW197">
        <v>9529931808</v>
      </c>
      <c r="BX197" t="s">
        <v>1522</v>
      </c>
      <c r="BY197" t="s">
        <v>1523</v>
      </c>
      <c r="BZ197"/>
      <c r="CA197" t="s">
        <v>736</v>
      </c>
      <c r="CB197" t="s">
        <v>737</v>
      </c>
      <c r="CC197" t="s">
        <v>54</v>
      </c>
      <c r="CD197" t="s">
        <v>2812</v>
      </c>
      <c r="CE197"/>
      <c r="CF197"/>
      <c r="CG197" t="s">
        <v>1521</v>
      </c>
      <c r="CH197" t="s">
        <v>141</v>
      </c>
      <c r="CI197"/>
      <c r="CJ197"/>
      <c r="CK197"/>
      <c r="CL197"/>
      <c r="CM197">
        <v>1780621904</v>
      </c>
      <c r="CN197">
        <v>346</v>
      </c>
      <c r="CO197">
        <v>156</v>
      </c>
      <c r="CP197">
        <v>3173</v>
      </c>
      <c r="CQ197">
        <v>3179</v>
      </c>
      <c r="CR197">
        <v>3174</v>
      </c>
      <c r="CS197" t="s">
        <v>2397</v>
      </c>
      <c r="CT197">
        <v>12</v>
      </c>
      <c r="CU197">
        <v>63</v>
      </c>
      <c r="CV197"/>
      <c r="CW197"/>
      <c r="CX197"/>
      <c r="CY197"/>
      <c r="CZ197"/>
      <c r="DA197"/>
      <c r="DB197"/>
      <c r="DC197"/>
      <c r="DD197">
        <v>128</v>
      </c>
      <c r="DE197" t="s">
        <v>2819</v>
      </c>
      <c r="DF197"/>
      <c r="DG197"/>
      <c r="DH197">
        <v>129</v>
      </c>
      <c r="DI197" t="s">
        <v>2820</v>
      </c>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s="569">
        <v>115</v>
      </c>
      <c r="ET197" t="s">
        <v>1855</v>
      </c>
      <c r="EU197" t="s">
        <v>1428</v>
      </c>
      <c r="EV197" t="s">
        <v>1429</v>
      </c>
      <c r="EW197" t="s">
        <v>54</v>
      </c>
      <c r="EX197" s="599">
        <v>55033</v>
      </c>
      <c r="EY197">
        <v>1326066085</v>
      </c>
    </row>
    <row r="198" spans="1:155" ht="13.5" customHeight="1" x14ac:dyDescent="0.2">
      <c r="A198" s="598">
        <v>819</v>
      </c>
      <c r="B198" t="s">
        <v>1533</v>
      </c>
      <c r="C198" t="s">
        <v>764</v>
      </c>
      <c r="D198" t="s">
        <v>1534</v>
      </c>
      <c r="E198"/>
      <c r="F198" t="s">
        <v>737</v>
      </c>
      <c r="G198" t="s">
        <v>54</v>
      </c>
      <c r="H198" t="s">
        <v>2821</v>
      </c>
      <c r="I198"/>
      <c r="J198" t="s">
        <v>1534</v>
      </c>
      <c r="K198"/>
      <c r="L198" t="s">
        <v>764</v>
      </c>
      <c r="M198" t="s">
        <v>737</v>
      </c>
      <c r="N198" t="s">
        <v>54</v>
      </c>
      <c r="O198" t="s">
        <v>2821</v>
      </c>
      <c r="P198"/>
      <c r="Q198">
        <v>6124553395</v>
      </c>
      <c r="R198">
        <v>6124553396</v>
      </c>
      <c r="S198" t="s">
        <v>815</v>
      </c>
      <c r="T198" t="s">
        <v>2090</v>
      </c>
      <c r="U198" t="s">
        <v>729</v>
      </c>
      <c r="V198" t="s">
        <v>2091</v>
      </c>
      <c r="W198" t="s">
        <v>1535</v>
      </c>
      <c r="X198" t="s">
        <v>1536</v>
      </c>
      <c r="Y198" t="s">
        <v>1537</v>
      </c>
      <c r="Z198" t="s">
        <v>1538</v>
      </c>
      <c r="AA198" t="s">
        <v>1533</v>
      </c>
      <c r="AB198">
        <v>9413210999</v>
      </c>
      <c r="AC198"/>
      <c r="AD198">
        <v>9413658635</v>
      </c>
      <c r="AE198" t="s">
        <v>2225</v>
      </c>
      <c r="AF198" t="s">
        <v>1539</v>
      </c>
      <c r="AG198"/>
      <c r="AH198" t="s">
        <v>1540</v>
      </c>
      <c r="AI198"/>
      <c r="AJ198" t="s">
        <v>1541</v>
      </c>
      <c r="AK198" t="s">
        <v>2822</v>
      </c>
      <c r="AL198"/>
      <c r="AM198" t="s">
        <v>815</v>
      </c>
      <c r="AN198" t="s">
        <v>2090</v>
      </c>
      <c r="AO198" t="s">
        <v>729</v>
      </c>
      <c r="AP198" t="s">
        <v>1533</v>
      </c>
      <c r="AQ198">
        <v>9415521189</v>
      </c>
      <c r="AR198"/>
      <c r="AS198">
        <v>6512096063</v>
      </c>
      <c r="AT198" t="s">
        <v>2091</v>
      </c>
      <c r="AU198" t="s">
        <v>1542</v>
      </c>
      <c r="AV198" t="s">
        <v>1543</v>
      </c>
      <c r="AW198" t="s">
        <v>787</v>
      </c>
      <c r="AX198" t="s">
        <v>752</v>
      </c>
      <c r="AY198" t="s">
        <v>54</v>
      </c>
      <c r="AZ198" t="s">
        <v>2823</v>
      </c>
      <c r="BA198"/>
      <c r="BB198" t="s">
        <v>1459</v>
      </c>
      <c r="BC198" t="s">
        <v>1544</v>
      </c>
      <c r="BD198" t="s">
        <v>1545</v>
      </c>
      <c r="BE198" t="s">
        <v>1533</v>
      </c>
      <c r="BF198">
        <v>6124553395</v>
      </c>
      <c r="BG198"/>
      <c r="BH198">
        <v>6124553396</v>
      </c>
      <c r="BI198" t="s">
        <v>1546</v>
      </c>
      <c r="BJ198" t="s">
        <v>1542</v>
      </c>
      <c r="BK198" t="s">
        <v>1543</v>
      </c>
      <c r="BL198" t="s">
        <v>787</v>
      </c>
      <c r="BM198" t="s">
        <v>752</v>
      </c>
      <c r="BN198" t="s">
        <v>54</v>
      </c>
      <c r="BO198" t="s">
        <v>2823</v>
      </c>
      <c r="BP198"/>
      <c r="BQ198"/>
      <c r="BR198"/>
      <c r="BS198"/>
      <c r="BT198"/>
      <c r="BU198"/>
      <c r="BV198"/>
      <c r="BW198"/>
      <c r="BX198"/>
      <c r="BY198"/>
      <c r="BZ198"/>
      <c r="CA198"/>
      <c r="CB198"/>
      <c r="CC198"/>
      <c r="CD198"/>
      <c r="CE198"/>
      <c r="CF198" t="s">
        <v>1547</v>
      </c>
      <c r="CG198" t="s">
        <v>1533</v>
      </c>
      <c r="CH198" t="s">
        <v>141</v>
      </c>
      <c r="CI198"/>
      <c r="CJ198"/>
      <c r="CK198"/>
      <c r="CL198"/>
      <c r="CM198"/>
      <c r="CN198">
        <v>412</v>
      </c>
      <c r="CO198">
        <v>2976</v>
      </c>
      <c r="CP198">
        <v>284</v>
      </c>
      <c r="CQ198">
        <v>285</v>
      </c>
      <c r="CR198"/>
      <c r="CS198" t="s">
        <v>2397</v>
      </c>
      <c r="CT198">
        <v>12</v>
      </c>
      <c r="CU198"/>
      <c r="CV198"/>
      <c r="CW198"/>
      <c r="CX198"/>
      <c r="CY198"/>
      <c r="CZ198"/>
      <c r="DA198"/>
      <c r="DB198"/>
      <c r="DC198"/>
      <c r="DD198"/>
      <c r="DE198"/>
      <c r="DF198"/>
      <c r="DG198"/>
      <c r="DH198"/>
      <c r="DI198"/>
      <c r="DJ198"/>
      <c r="DK198"/>
      <c r="DL198"/>
      <c r="DM198"/>
      <c r="DN198"/>
      <c r="DO198"/>
      <c r="DP198"/>
      <c r="DQ198"/>
      <c r="DR198"/>
      <c r="DS198"/>
      <c r="DT198">
        <v>141</v>
      </c>
      <c r="DU198" t="s">
        <v>2824</v>
      </c>
      <c r="DV198"/>
      <c r="DW198"/>
      <c r="DX198"/>
      <c r="DY198"/>
      <c r="DZ198"/>
      <c r="EA198"/>
      <c r="EB198"/>
      <c r="EC198"/>
      <c r="ED198"/>
      <c r="EE198"/>
      <c r="EF198">
        <v>138</v>
      </c>
      <c r="EG198" t="s">
        <v>2824</v>
      </c>
      <c r="EH198"/>
      <c r="EI198"/>
      <c r="EJ198"/>
      <c r="EK198"/>
      <c r="EL198"/>
      <c r="EM198"/>
      <c r="EN198"/>
      <c r="EO198"/>
      <c r="EP198"/>
      <c r="EQ198"/>
      <c r="ER198"/>
      <c r="ES198" s="569">
        <v>58</v>
      </c>
      <c r="ET198" t="s">
        <v>1856</v>
      </c>
      <c r="EU198" t="s">
        <v>1857</v>
      </c>
      <c r="EV198" t="s">
        <v>2299</v>
      </c>
      <c r="EW198" t="s">
        <v>54</v>
      </c>
      <c r="EX198" s="599">
        <v>56136</v>
      </c>
      <c r="EY198">
        <v>1316026370</v>
      </c>
    </row>
    <row r="199" spans="1:155" s="561" customFormat="1" x14ac:dyDescent="0.2">
      <c r="A199" s="598">
        <v>583</v>
      </c>
      <c r="B199" t="s">
        <v>1548</v>
      </c>
      <c r="C199" t="s">
        <v>928</v>
      </c>
      <c r="D199" t="s">
        <v>1549</v>
      </c>
      <c r="E199"/>
      <c r="F199" t="s">
        <v>1052</v>
      </c>
      <c r="G199" t="s">
        <v>54</v>
      </c>
      <c r="H199" t="s">
        <v>2568</v>
      </c>
      <c r="I199" t="s">
        <v>2825</v>
      </c>
      <c r="J199" t="s">
        <v>1549</v>
      </c>
      <c r="K199"/>
      <c r="L199" t="s">
        <v>928</v>
      </c>
      <c r="M199" t="s">
        <v>1052</v>
      </c>
      <c r="N199" t="s">
        <v>54</v>
      </c>
      <c r="O199" t="s">
        <v>2568</v>
      </c>
      <c r="P199"/>
      <c r="Q199">
        <v>2188462000</v>
      </c>
      <c r="R199">
        <v>2188462144</v>
      </c>
      <c r="S199" t="s">
        <v>1159</v>
      </c>
      <c r="T199" t="s">
        <v>1550</v>
      </c>
      <c r="U199" t="s">
        <v>1551</v>
      </c>
      <c r="V199" t="s">
        <v>1552</v>
      </c>
      <c r="W199" t="s">
        <v>1553</v>
      </c>
      <c r="X199" t="s">
        <v>2505</v>
      </c>
      <c r="Y199" t="s">
        <v>2826</v>
      </c>
      <c r="Z199" t="s">
        <v>1092</v>
      </c>
      <c r="AA199" t="s">
        <v>1554</v>
      </c>
      <c r="AB199">
        <v>7012341269</v>
      </c>
      <c r="AC199"/>
      <c r="AD199">
        <v>7012345412</v>
      </c>
      <c r="AE199" t="s">
        <v>2827</v>
      </c>
      <c r="AF199" t="s">
        <v>1555</v>
      </c>
      <c r="AG199"/>
      <c r="AH199" t="s">
        <v>1060</v>
      </c>
      <c r="AI199" t="s">
        <v>1061</v>
      </c>
      <c r="AJ199" t="s">
        <v>1062</v>
      </c>
      <c r="AK199" t="s">
        <v>2633</v>
      </c>
      <c r="AL199"/>
      <c r="AM199" t="s">
        <v>2092</v>
      </c>
      <c r="AN199" t="s">
        <v>2093</v>
      </c>
      <c r="AO199" t="s">
        <v>1462</v>
      </c>
      <c r="AP199" t="s">
        <v>1554</v>
      </c>
      <c r="AQ199">
        <v>7012348168</v>
      </c>
      <c r="AR199"/>
      <c r="AS199">
        <v>7012345412</v>
      </c>
      <c r="AT199" t="s">
        <v>2094</v>
      </c>
      <c r="AU199" t="s">
        <v>1555</v>
      </c>
      <c r="AV199"/>
      <c r="AW199" t="s">
        <v>1060</v>
      </c>
      <c r="AX199" t="s">
        <v>1061</v>
      </c>
      <c r="AY199" t="s">
        <v>1062</v>
      </c>
      <c r="AZ199" t="s">
        <v>2633</v>
      </c>
      <c r="BA199"/>
      <c r="BB199" t="s">
        <v>2095</v>
      </c>
      <c r="BC199" t="s">
        <v>2096</v>
      </c>
      <c r="BD199" t="s">
        <v>766</v>
      </c>
      <c r="BE199" t="s">
        <v>1554</v>
      </c>
      <c r="BF199">
        <v>7012341051</v>
      </c>
      <c r="BG199"/>
      <c r="BH199">
        <v>7012345412</v>
      </c>
      <c r="BI199" t="s">
        <v>2097</v>
      </c>
      <c r="BJ199" t="s">
        <v>1555</v>
      </c>
      <c r="BK199"/>
      <c r="BL199" t="s">
        <v>1060</v>
      </c>
      <c r="BM199" t="s">
        <v>1061</v>
      </c>
      <c r="BN199" t="s">
        <v>1062</v>
      </c>
      <c r="BO199" t="s">
        <v>2633</v>
      </c>
      <c r="BP199"/>
      <c r="BQ199" t="s">
        <v>2505</v>
      </c>
      <c r="BR199" t="s">
        <v>2826</v>
      </c>
      <c r="BS199" t="s">
        <v>1092</v>
      </c>
      <c r="BT199" t="s">
        <v>1554</v>
      </c>
      <c r="BU199">
        <v>7012341269</v>
      </c>
      <c r="BV199"/>
      <c r="BW199">
        <v>7012345412</v>
      </c>
      <c r="BX199" t="s">
        <v>2827</v>
      </c>
      <c r="BY199" t="s">
        <v>1555</v>
      </c>
      <c r="BZ199"/>
      <c r="CA199" t="s">
        <v>1060</v>
      </c>
      <c r="CB199" t="s">
        <v>1061</v>
      </c>
      <c r="CC199" t="s">
        <v>1062</v>
      </c>
      <c r="CD199" t="s">
        <v>2633</v>
      </c>
      <c r="CE199"/>
      <c r="CF199" t="s">
        <v>1556</v>
      </c>
      <c r="CG199" t="s">
        <v>1554</v>
      </c>
      <c r="CH199" t="s">
        <v>141</v>
      </c>
      <c r="CI199"/>
      <c r="CJ199"/>
      <c r="CK199"/>
      <c r="CL199"/>
      <c r="CM199">
        <v>1235170747</v>
      </c>
      <c r="CN199">
        <v>3023</v>
      </c>
      <c r="CO199">
        <v>186</v>
      </c>
      <c r="CP199">
        <v>89</v>
      </c>
      <c r="CQ199">
        <v>187</v>
      </c>
      <c r="CR199">
        <v>186</v>
      </c>
      <c r="CS199" t="s">
        <v>2386</v>
      </c>
      <c r="CT199">
        <v>12</v>
      </c>
      <c r="CU199"/>
      <c r="CV199"/>
      <c r="CW199"/>
      <c r="CX199"/>
      <c r="CY199"/>
      <c r="CZ199"/>
      <c r="DA199"/>
      <c r="DB199"/>
      <c r="DC199"/>
      <c r="DD199"/>
      <c r="DE199"/>
      <c r="DF199"/>
      <c r="DG199"/>
      <c r="DH199">
        <v>129</v>
      </c>
      <c r="DI199" t="s">
        <v>2828</v>
      </c>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s="569">
        <v>862</v>
      </c>
      <c r="ET199" t="s">
        <v>938</v>
      </c>
      <c r="EU199" t="s">
        <v>939</v>
      </c>
      <c r="EV199" t="s">
        <v>3041</v>
      </c>
      <c r="EW199" t="s">
        <v>54</v>
      </c>
      <c r="EX199" s="600">
        <v>55746</v>
      </c>
      <c r="EY199"/>
    </row>
    <row r="200" spans="1:155" x14ac:dyDescent="0.2">
      <c r="A200" s="598">
        <v>679</v>
      </c>
      <c r="B200" t="s">
        <v>1557</v>
      </c>
      <c r="C200" t="s">
        <v>1558</v>
      </c>
      <c r="D200" t="s">
        <v>1559</v>
      </c>
      <c r="E200"/>
      <c r="F200" t="s">
        <v>1560</v>
      </c>
      <c r="G200" t="s">
        <v>54</v>
      </c>
      <c r="H200" t="s">
        <v>2829</v>
      </c>
      <c r="I200"/>
      <c r="J200" t="s">
        <v>1561</v>
      </c>
      <c r="K200"/>
      <c r="L200" t="s">
        <v>1558</v>
      </c>
      <c r="M200" t="s">
        <v>1560</v>
      </c>
      <c r="N200" t="s">
        <v>54</v>
      </c>
      <c r="O200" t="s">
        <v>2829</v>
      </c>
      <c r="P200"/>
      <c r="Q200">
        <v>2187736800</v>
      </c>
      <c r="R200"/>
      <c r="S200" t="s">
        <v>1159</v>
      </c>
      <c r="T200" t="s">
        <v>1550</v>
      </c>
      <c r="U200" t="s">
        <v>1551</v>
      </c>
      <c r="V200" t="s">
        <v>1552</v>
      </c>
      <c r="W200" t="s">
        <v>1553</v>
      </c>
      <c r="X200" t="s">
        <v>2505</v>
      </c>
      <c r="Y200" t="s">
        <v>2826</v>
      </c>
      <c r="Z200" t="s">
        <v>1092</v>
      </c>
      <c r="AA200" t="s">
        <v>1554</v>
      </c>
      <c r="AB200">
        <v>7012341269</v>
      </c>
      <c r="AC200"/>
      <c r="AD200">
        <v>7012345412</v>
      </c>
      <c r="AE200" t="s">
        <v>2827</v>
      </c>
      <c r="AF200" t="s">
        <v>1555</v>
      </c>
      <c r="AG200"/>
      <c r="AH200" t="s">
        <v>1060</v>
      </c>
      <c r="AI200" t="s">
        <v>1061</v>
      </c>
      <c r="AJ200" t="s">
        <v>1062</v>
      </c>
      <c r="AK200" t="s">
        <v>2633</v>
      </c>
      <c r="AL200"/>
      <c r="AM200" t="s">
        <v>2092</v>
      </c>
      <c r="AN200" t="s">
        <v>2093</v>
      </c>
      <c r="AO200" t="s">
        <v>1462</v>
      </c>
      <c r="AP200" t="s">
        <v>1554</v>
      </c>
      <c r="AQ200">
        <v>7012348168</v>
      </c>
      <c r="AR200"/>
      <c r="AS200">
        <v>7012345412</v>
      </c>
      <c r="AT200" t="s">
        <v>2094</v>
      </c>
      <c r="AU200" t="s">
        <v>1555</v>
      </c>
      <c r="AV200"/>
      <c r="AW200" t="s">
        <v>1060</v>
      </c>
      <c r="AX200" t="s">
        <v>1061</v>
      </c>
      <c r="AY200" t="s">
        <v>1062</v>
      </c>
      <c r="AZ200" t="s">
        <v>2633</v>
      </c>
      <c r="BA200"/>
      <c r="BB200" t="s">
        <v>2095</v>
      </c>
      <c r="BC200" t="s">
        <v>2096</v>
      </c>
      <c r="BD200" t="s">
        <v>766</v>
      </c>
      <c r="BE200" t="s">
        <v>1554</v>
      </c>
      <c r="BF200">
        <v>7012341051</v>
      </c>
      <c r="BG200"/>
      <c r="BH200">
        <v>7012345412</v>
      </c>
      <c r="BI200" t="s">
        <v>2097</v>
      </c>
      <c r="BJ200" t="s">
        <v>1555</v>
      </c>
      <c r="BK200"/>
      <c r="BL200" t="s">
        <v>1060</v>
      </c>
      <c r="BM200" t="s">
        <v>1061</v>
      </c>
      <c r="BN200" t="s">
        <v>1062</v>
      </c>
      <c r="BO200" t="s">
        <v>2633</v>
      </c>
      <c r="BP200"/>
      <c r="BQ200" t="s">
        <v>2505</v>
      </c>
      <c r="BR200" t="s">
        <v>2826</v>
      </c>
      <c r="BS200" t="s">
        <v>1092</v>
      </c>
      <c r="BT200" t="s">
        <v>1554</v>
      </c>
      <c r="BU200">
        <v>7012341269</v>
      </c>
      <c r="BV200"/>
      <c r="BW200">
        <v>7012345412</v>
      </c>
      <c r="BX200" t="s">
        <v>2827</v>
      </c>
      <c r="BY200" t="s">
        <v>1555</v>
      </c>
      <c r="BZ200"/>
      <c r="CA200" t="s">
        <v>1060</v>
      </c>
      <c r="CB200" t="s">
        <v>1061</v>
      </c>
      <c r="CC200" t="s">
        <v>1062</v>
      </c>
      <c r="CD200" t="s">
        <v>2633</v>
      </c>
      <c r="CE200"/>
      <c r="CF200" t="s">
        <v>1556</v>
      </c>
      <c r="CG200" t="s">
        <v>1554</v>
      </c>
      <c r="CH200" t="s">
        <v>141</v>
      </c>
      <c r="CI200"/>
      <c r="CJ200"/>
      <c r="CK200"/>
      <c r="CL200"/>
      <c r="CM200">
        <v>1437355393</v>
      </c>
      <c r="CN200">
        <v>437</v>
      </c>
      <c r="CO200">
        <v>186</v>
      </c>
      <c r="CP200">
        <v>89</v>
      </c>
      <c r="CQ200">
        <v>187</v>
      </c>
      <c r="CR200">
        <v>186</v>
      </c>
      <c r="CS200" t="s">
        <v>2386</v>
      </c>
      <c r="CT200">
        <v>12</v>
      </c>
      <c r="CU200"/>
      <c r="CV200"/>
      <c r="CW200"/>
      <c r="CX200"/>
      <c r="CY200"/>
      <c r="CZ200"/>
      <c r="DA200"/>
      <c r="DB200"/>
      <c r="DC200"/>
      <c r="DD200">
        <v>128</v>
      </c>
      <c r="DE200" t="s">
        <v>2830</v>
      </c>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s="569">
        <v>596</v>
      </c>
      <c r="ET200" t="s">
        <v>1138</v>
      </c>
      <c r="EU200" t="s">
        <v>939</v>
      </c>
      <c r="EV200" t="s">
        <v>3042</v>
      </c>
      <c r="EW200" t="s">
        <v>54</v>
      </c>
      <c r="EX200" s="600">
        <v>55746</v>
      </c>
      <c r="EY200">
        <v>1780621508</v>
      </c>
    </row>
    <row r="201" spans="1:155" x14ac:dyDescent="0.2">
      <c r="A201" s="598">
        <v>613</v>
      </c>
      <c r="B201" t="s">
        <v>1562</v>
      </c>
      <c r="C201" t="s">
        <v>1563</v>
      </c>
      <c r="D201" t="s">
        <v>1564</v>
      </c>
      <c r="E201"/>
      <c r="F201"/>
      <c r="G201" t="s">
        <v>1565</v>
      </c>
      <c r="H201" t="s">
        <v>2831</v>
      </c>
      <c r="I201" t="s">
        <v>2832</v>
      </c>
      <c r="J201" t="s">
        <v>1566</v>
      </c>
      <c r="K201"/>
      <c r="L201" t="s">
        <v>1563</v>
      </c>
      <c r="M201"/>
      <c r="N201" t="s">
        <v>1565</v>
      </c>
      <c r="O201" t="s">
        <v>2831</v>
      </c>
      <c r="P201" t="s">
        <v>2832</v>
      </c>
      <c r="Q201">
        <v>6053331000</v>
      </c>
      <c r="R201">
        <v>6053331531</v>
      </c>
      <c r="S201" t="s">
        <v>1567</v>
      </c>
      <c r="T201" t="s">
        <v>1568</v>
      </c>
      <c r="U201" t="s">
        <v>873</v>
      </c>
      <c r="V201" t="s">
        <v>1569</v>
      </c>
      <c r="W201" t="s">
        <v>1570</v>
      </c>
      <c r="X201" t="s">
        <v>1571</v>
      </c>
      <c r="Y201" t="s">
        <v>1572</v>
      </c>
      <c r="Z201" t="s">
        <v>867</v>
      </c>
      <c r="AA201" t="s">
        <v>1554</v>
      </c>
      <c r="AB201">
        <v>6053333770</v>
      </c>
      <c r="AC201"/>
      <c r="AD201"/>
      <c r="AE201" t="s">
        <v>1573</v>
      </c>
      <c r="AF201" t="s">
        <v>1564</v>
      </c>
      <c r="AG201"/>
      <c r="AH201" t="s">
        <v>1563</v>
      </c>
      <c r="AI201" t="s">
        <v>1574</v>
      </c>
      <c r="AJ201" t="s">
        <v>1565</v>
      </c>
      <c r="AK201" t="s">
        <v>2831</v>
      </c>
      <c r="AL201" t="s">
        <v>2832</v>
      </c>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t="s">
        <v>1556</v>
      </c>
      <c r="CG201" t="s">
        <v>1554</v>
      </c>
      <c r="CH201" t="s">
        <v>141</v>
      </c>
      <c r="CI201"/>
      <c r="CJ201"/>
      <c r="CK201"/>
      <c r="CL201"/>
      <c r="CM201">
        <v>1821017880</v>
      </c>
      <c r="CN201">
        <v>258</v>
      </c>
      <c r="CO201">
        <v>145</v>
      </c>
      <c r="CP201"/>
      <c r="CQ201"/>
      <c r="CR201"/>
      <c r="CS201" t="s">
        <v>2386</v>
      </c>
      <c r="CT201">
        <v>12</v>
      </c>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s="569">
        <v>85</v>
      </c>
      <c r="ET201" t="s">
        <v>1858</v>
      </c>
      <c r="EU201" t="s">
        <v>939</v>
      </c>
      <c r="EV201" t="s">
        <v>940</v>
      </c>
      <c r="EW201" t="s">
        <v>54</v>
      </c>
      <c r="EX201" s="599">
        <v>55746</v>
      </c>
      <c r="EY201">
        <v>1356321699</v>
      </c>
    </row>
    <row r="202" spans="1:155" x14ac:dyDescent="0.2">
      <c r="A202" s="598">
        <v>614</v>
      </c>
      <c r="B202" t="s">
        <v>1575</v>
      </c>
      <c r="C202" t="s">
        <v>1563</v>
      </c>
      <c r="D202" t="s">
        <v>1564</v>
      </c>
      <c r="E202"/>
      <c r="F202"/>
      <c r="G202" t="s">
        <v>1565</v>
      </c>
      <c r="H202" t="s">
        <v>2831</v>
      </c>
      <c r="I202" t="s">
        <v>2832</v>
      </c>
      <c r="J202" t="s">
        <v>1566</v>
      </c>
      <c r="K202"/>
      <c r="L202" t="s">
        <v>1563</v>
      </c>
      <c r="M202"/>
      <c r="N202" t="s">
        <v>1565</v>
      </c>
      <c r="O202" t="s">
        <v>2831</v>
      </c>
      <c r="P202" t="s">
        <v>2832</v>
      </c>
      <c r="Q202">
        <v>6053331000</v>
      </c>
      <c r="R202">
        <v>6053331531</v>
      </c>
      <c r="S202" t="s">
        <v>1567</v>
      </c>
      <c r="T202" t="s">
        <v>1568</v>
      </c>
      <c r="U202" t="s">
        <v>873</v>
      </c>
      <c r="V202" t="s">
        <v>1569</v>
      </c>
      <c r="W202" t="s">
        <v>1570</v>
      </c>
      <c r="X202" t="s">
        <v>1571</v>
      </c>
      <c r="Y202" t="s">
        <v>1572</v>
      </c>
      <c r="Z202" t="s">
        <v>867</v>
      </c>
      <c r="AA202" t="s">
        <v>1554</v>
      </c>
      <c r="AB202">
        <v>6053333770</v>
      </c>
      <c r="AC202"/>
      <c r="AD202"/>
      <c r="AE202" t="s">
        <v>1573</v>
      </c>
      <c r="AF202" t="s">
        <v>1564</v>
      </c>
      <c r="AG202"/>
      <c r="AH202" t="s">
        <v>1563</v>
      </c>
      <c r="AI202" t="s">
        <v>1574</v>
      </c>
      <c r="AJ202" t="s">
        <v>1565</v>
      </c>
      <c r="AK202" t="s">
        <v>2831</v>
      </c>
      <c r="AL202" t="s">
        <v>2832</v>
      </c>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t="s">
        <v>1556</v>
      </c>
      <c r="CG202" t="s">
        <v>1554</v>
      </c>
      <c r="CH202" t="s">
        <v>141</v>
      </c>
      <c r="CI202"/>
      <c r="CJ202"/>
      <c r="CK202"/>
      <c r="CL202"/>
      <c r="CM202">
        <v>1821017880</v>
      </c>
      <c r="CN202">
        <v>162</v>
      </c>
      <c r="CO202">
        <v>145</v>
      </c>
      <c r="CP202"/>
      <c r="CQ202"/>
      <c r="CR202"/>
      <c r="CS202" t="s">
        <v>2386</v>
      </c>
      <c r="CT202">
        <v>12</v>
      </c>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s="569">
        <v>553</v>
      </c>
      <c r="ET202" t="s">
        <v>953</v>
      </c>
      <c r="EU202" t="s">
        <v>954</v>
      </c>
      <c r="EV202" t="s">
        <v>3043</v>
      </c>
      <c r="EW202" t="s">
        <v>54</v>
      </c>
      <c r="EX202" s="600">
        <v>55350</v>
      </c>
      <c r="EY202"/>
    </row>
    <row r="203" spans="1:155" x14ac:dyDescent="0.2">
      <c r="A203" s="598">
        <v>615</v>
      </c>
      <c r="B203" t="s">
        <v>1576</v>
      </c>
      <c r="C203" t="s">
        <v>1563</v>
      </c>
      <c r="D203" t="s">
        <v>1564</v>
      </c>
      <c r="E203"/>
      <c r="F203"/>
      <c r="G203" t="s">
        <v>1565</v>
      </c>
      <c r="H203" t="s">
        <v>2831</v>
      </c>
      <c r="I203" t="s">
        <v>2832</v>
      </c>
      <c r="J203" t="s">
        <v>1566</v>
      </c>
      <c r="K203"/>
      <c r="L203" t="s">
        <v>1563</v>
      </c>
      <c r="M203"/>
      <c r="N203" t="s">
        <v>1565</v>
      </c>
      <c r="O203" t="s">
        <v>2831</v>
      </c>
      <c r="P203" t="s">
        <v>2832</v>
      </c>
      <c r="Q203">
        <v>6053331000</v>
      </c>
      <c r="R203">
        <v>6053331531</v>
      </c>
      <c r="S203" t="s">
        <v>1567</v>
      </c>
      <c r="T203" t="s">
        <v>1568</v>
      </c>
      <c r="U203" t="s">
        <v>873</v>
      </c>
      <c r="V203" t="s">
        <v>1569</v>
      </c>
      <c r="W203" t="s">
        <v>1570</v>
      </c>
      <c r="X203" t="s">
        <v>1571</v>
      </c>
      <c r="Y203" t="s">
        <v>1572</v>
      </c>
      <c r="Z203" t="s">
        <v>867</v>
      </c>
      <c r="AA203" t="s">
        <v>1554</v>
      </c>
      <c r="AB203">
        <v>6053333770</v>
      </c>
      <c r="AC203"/>
      <c r="AD203"/>
      <c r="AE203" t="s">
        <v>1573</v>
      </c>
      <c r="AF203" t="s">
        <v>1564</v>
      </c>
      <c r="AG203"/>
      <c r="AH203" t="s">
        <v>1563</v>
      </c>
      <c r="AI203" t="s">
        <v>1574</v>
      </c>
      <c r="AJ203" t="s">
        <v>1565</v>
      </c>
      <c r="AK203" t="s">
        <v>2831</v>
      </c>
      <c r="AL203" t="s">
        <v>2832</v>
      </c>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t="s">
        <v>1556</v>
      </c>
      <c r="CG203" t="s">
        <v>1554</v>
      </c>
      <c r="CH203" t="s">
        <v>141</v>
      </c>
      <c r="CI203"/>
      <c r="CJ203"/>
      <c r="CK203"/>
      <c r="CL203"/>
      <c r="CM203">
        <v>1821017880</v>
      </c>
      <c r="CN203">
        <v>163</v>
      </c>
      <c r="CO203">
        <v>145</v>
      </c>
      <c r="CP203"/>
      <c r="CQ203"/>
      <c r="CR203"/>
      <c r="CS203" t="s">
        <v>2386</v>
      </c>
      <c r="CT203">
        <v>12</v>
      </c>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s="569">
        <v>62</v>
      </c>
      <c r="ET203" t="s">
        <v>1859</v>
      </c>
      <c r="EU203" t="s">
        <v>954</v>
      </c>
      <c r="EV203" t="s">
        <v>2300</v>
      </c>
      <c r="EW203" t="s">
        <v>54</v>
      </c>
      <c r="EX203" s="599">
        <v>55350</v>
      </c>
      <c r="EY203">
        <v>1053508820</v>
      </c>
    </row>
    <row r="204" spans="1:155" x14ac:dyDescent="0.2">
      <c r="A204" s="598">
        <v>1394</v>
      </c>
      <c r="B204" t="s">
        <v>2833</v>
      </c>
      <c r="C204" t="s">
        <v>2834</v>
      </c>
      <c r="D204" t="s">
        <v>2835</v>
      </c>
      <c r="E204" t="s">
        <v>2836</v>
      </c>
      <c r="F204"/>
      <c r="G204" t="s">
        <v>2837</v>
      </c>
      <c r="H204" t="s">
        <v>2838</v>
      </c>
      <c r="I204"/>
      <c r="J204" t="s">
        <v>2835</v>
      </c>
      <c r="K204" t="s">
        <v>2836</v>
      </c>
      <c r="L204" t="s">
        <v>2834</v>
      </c>
      <c r="M204"/>
      <c r="N204" t="s">
        <v>2837</v>
      </c>
      <c r="O204" t="s">
        <v>2838</v>
      </c>
      <c r="P204"/>
      <c r="Q204">
        <v>3036802502</v>
      </c>
      <c r="R204">
        <v>3036802713</v>
      </c>
      <c r="S204" t="s">
        <v>2839</v>
      </c>
      <c r="T204" t="s">
        <v>2840</v>
      </c>
      <c r="U204"/>
      <c r="V204" t="s">
        <v>2841</v>
      </c>
      <c r="W204"/>
      <c r="X204" t="s">
        <v>2842</v>
      </c>
      <c r="Y204" t="s">
        <v>2840</v>
      </c>
      <c r="Z204"/>
      <c r="AA204" t="s">
        <v>2833</v>
      </c>
      <c r="AB204">
        <v>3036802502</v>
      </c>
      <c r="AC204"/>
      <c r="AD204">
        <v>30368027136</v>
      </c>
      <c r="AE204" t="s">
        <v>2841</v>
      </c>
      <c r="AF204" t="s">
        <v>2835</v>
      </c>
      <c r="AG204" t="s">
        <v>2836</v>
      </c>
      <c r="AH204" t="s">
        <v>2834</v>
      </c>
      <c r="AI204"/>
      <c r="AJ204" t="s">
        <v>2837</v>
      </c>
      <c r="AK204" t="s">
        <v>2838</v>
      </c>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t="s">
        <v>2843</v>
      </c>
      <c r="CG204" t="s">
        <v>755</v>
      </c>
      <c r="CH204"/>
      <c r="CI204"/>
      <c r="CJ204"/>
      <c r="CK204"/>
      <c r="CL204"/>
      <c r="CM204"/>
      <c r="CN204">
        <v>2429</v>
      </c>
      <c r="CO204">
        <v>2430</v>
      </c>
      <c r="CP204"/>
      <c r="CQ204"/>
      <c r="CR204"/>
      <c r="CS204" t="s">
        <v>2397</v>
      </c>
      <c r="CT204">
        <v>12</v>
      </c>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s="569">
        <v>841</v>
      </c>
      <c r="ET204" t="s">
        <v>992</v>
      </c>
      <c r="EU204" t="s">
        <v>993</v>
      </c>
      <c r="EV204" t="s">
        <v>3044</v>
      </c>
      <c r="EW204" t="s">
        <v>54</v>
      </c>
      <c r="EX204" s="600">
        <v>56649</v>
      </c>
      <c r="EY204"/>
    </row>
    <row r="205" spans="1:155" s="561" customFormat="1" x14ac:dyDescent="0.2">
      <c r="A205" s="598">
        <v>1050</v>
      </c>
      <c r="B205" t="s">
        <v>1577</v>
      </c>
      <c r="C205" t="s">
        <v>1578</v>
      </c>
      <c r="D205" t="s">
        <v>1579</v>
      </c>
      <c r="E205"/>
      <c r="F205"/>
      <c r="G205" t="s">
        <v>1580</v>
      </c>
      <c r="H205" t="s">
        <v>2844</v>
      </c>
      <c r="I205"/>
      <c r="J205" t="s">
        <v>1579</v>
      </c>
      <c r="K205"/>
      <c r="L205" t="s">
        <v>1578</v>
      </c>
      <c r="M205" t="s">
        <v>1581</v>
      </c>
      <c r="N205" t="s">
        <v>1580</v>
      </c>
      <c r="O205" t="s">
        <v>2844</v>
      </c>
      <c r="P205"/>
      <c r="Q205">
        <v>6088399050</v>
      </c>
      <c r="R205">
        <v>6088398950</v>
      </c>
      <c r="S205" t="s">
        <v>1492</v>
      </c>
      <c r="T205" t="s">
        <v>1582</v>
      </c>
      <c r="U205" t="s">
        <v>1084</v>
      </c>
      <c r="V205" t="s">
        <v>1583</v>
      </c>
      <c r="W205" t="s">
        <v>1584</v>
      </c>
      <c r="X205" t="s">
        <v>1585</v>
      </c>
      <c r="Y205" t="s">
        <v>1586</v>
      </c>
      <c r="Z205" t="s">
        <v>2098</v>
      </c>
      <c r="AA205" t="s">
        <v>1587</v>
      </c>
      <c r="AB205">
        <v>6088399050</v>
      </c>
      <c r="AC205">
        <v>1113</v>
      </c>
      <c r="AD205">
        <v>6088398950</v>
      </c>
      <c r="AE205" t="s">
        <v>1588</v>
      </c>
      <c r="AF205" t="s">
        <v>1579</v>
      </c>
      <c r="AG205"/>
      <c r="AH205" t="s">
        <v>1578</v>
      </c>
      <c r="AI205" t="s">
        <v>1581</v>
      </c>
      <c r="AJ205" t="s">
        <v>1580</v>
      </c>
      <c r="AK205" t="s">
        <v>2844</v>
      </c>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t="s">
        <v>1589</v>
      </c>
      <c r="CG205" t="s">
        <v>1587</v>
      </c>
      <c r="CH205" t="s">
        <v>142</v>
      </c>
      <c r="CI205"/>
      <c r="CJ205"/>
      <c r="CK205"/>
      <c r="CL205"/>
      <c r="CM205">
        <v>1295785079</v>
      </c>
      <c r="CN205">
        <v>425</v>
      </c>
      <c r="CO205">
        <v>157</v>
      </c>
      <c r="CP205"/>
      <c r="CQ205"/>
      <c r="CR205"/>
      <c r="CS205" t="s">
        <v>2397</v>
      </c>
      <c r="CT205">
        <v>12</v>
      </c>
      <c r="CU205"/>
      <c r="CV205"/>
      <c r="CW205"/>
      <c r="CX205"/>
      <c r="CY205"/>
      <c r="CZ205"/>
      <c r="DA205"/>
      <c r="DB205"/>
      <c r="DC205"/>
      <c r="DD205"/>
      <c r="DE205"/>
      <c r="DF205"/>
      <c r="DG205"/>
      <c r="DH205"/>
      <c r="DI205"/>
      <c r="DJ205"/>
      <c r="DK205"/>
      <c r="DL205"/>
      <c r="DM205"/>
      <c r="DN205"/>
      <c r="DO205"/>
      <c r="DP205"/>
      <c r="DQ205"/>
      <c r="DR205"/>
      <c r="DS205"/>
      <c r="DT205"/>
      <c r="DU205"/>
      <c r="DV205">
        <v>143</v>
      </c>
      <c r="DW205" t="s">
        <v>2845</v>
      </c>
      <c r="DX205"/>
      <c r="DY205"/>
      <c r="DZ205"/>
      <c r="EA205"/>
      <c r="EB205"/>
      <c r="EC205"/>
      <c r="ED205"/>
      <c r="EE205"/>
      <c r="EF205">
        <v>138</v>
      </c>
      <c r="EG205" t="s">
        <v>2845</v>
      </c>
      <c r="EH205"/>
      <c r="EI205"/>
      <c r="EJ205"/>
      <c r="EK205"/>
      <c r="EL205"/>
      <c r="EM205"/>
      <c r="EN205"/>
      <c r="EO205"/>
      <c r="EP205"/>
      <c r="EQ205"/>
      <c r="ER205"/>
      <c r="ES205" s="569">
        <v>1266</v>
      </c>
      <c r="ET205" t="s">
        <v>2053</v>
      </c>
      <c r="EU205" t="s">
        <v>993</v>
      </c>
      <c r="EV205" t="s">
        <v>3045</v>
      </c>
      <c r="EW205" t="s">
        <v>54</v>
      </c>
      <c r="EX205" s="600">
        <v>56649</v>
      </c>
      <c r="EY205"/>
    </row>
    <row r="206" spans="1:155" x14ac:dyDescent="0.2">
      <c r="A206" s="598">
        <v>1411</v>
      </c>
      <c r="B206" t="s">
        <v>2846</v>
      </c>
      <c r="C206" t="s">
        <v>1578</v>
      </c>
      <c r="D206" t="s">
        <v>1579</v>
      </c>
      <c r="E206"/>
      <c r="F206"/>
      <c r="G206" t="s">
        <v>1580</v>
      </c>
      <c r="H206" t="s">
        <v>2844</v>
      </c>
      <c r="I206"/>
      <c r="J206" t="s">
        <v>1579</v>
      </c>
      <c r="K206"/>
      <c r="L206" t="s">
        <v>1578</v>
      </c>
      <c r="M206" t="s">
        <v>1581</v>
      </c>
      <c r="N206" t="s">
        <v>1580</v>
      </c>
      <c r="O206" t="s">
        <v>2844</v>
      </c>
      <c r="P206"/>
      <c r="Q206">
        <v>6088399050</v>
      </c>
      <c r="R206">
        <v>6088398950</v>
      </c>
      <c r="S206" t="s">
        <v>1492</v>
      </c>
      <c r="T206" t="s">
        <v>1582</v>
      </c>
      <c r="U206" t="s">
        <v>1084</v>
      </c>
      <c r="V206" t="s">
        <v>1583</v>
      </c>
      <c r="W206" t="s">
        <v>1584</v>
      </c>
      <c r="X206" t="s">
        <v>1585</v>
      </c>
      <c r="Y206" t="s">
        <v>1586</v>
      </c>
      <c r="Z206" t="s">
        <v>2098</v>
      </c>
      <c r="AA206" t="s">
        <v>1587</v>
      </c>
      <c r="AB206">
        <v>6088399050</v>
      </c>
      <c r="AC206">
        <v>1113</v>
      </c>
      <c r="AD206">
        <v>6088398950</v>
      </c>
      <c r="AE206" t="s">
        <v>1588</v>
      </c>
      <c r="AF206" t="s">
        <v>1579</v>
      </c>
      <c r="AG206"/>
      <c r="AH206" t="s">
        <v>1578</v>
      </c>
      <c r="AI206" t="s">
        <v>1581</v>
      </c>
      <c r="AJ206" t="s">
        <v>1580</v>
      </c>
      <c r="AK206" t="s">
        <v>2844</v>
      </c>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t="s">
        <v>1589</v>
      </c>
      <c r="CG206" t="s">
        <v>1587</v>
      </c>
      <c r="CH206" t="s">
        <v>142</v>
      </c>
      <c r="CI206"/>
      <c r="CJ206"/>
      <c r="CK206"/>
      <c r="CL206"/>
      <c r="CM206">
        <v>1295785079</v>
      </c>
      <c r="CN206">
        <v>425</v>
      </c>
      <c r="CO206">
        <v>157</v>
      </c>
      <c r="CP206"/>
      <c r="CQ206"/>
      <c r="CR206"/>
      <c r="CS206" t="s">
        <v>2397</v>
      </c>
      <c r="CT206">
        <v>12</v>
      </c>
      <c r="CU206"/>
      <c r="CV206"/>
      <c r="CW206"/>
      <c r="CX206"/>
      <c r="CY206"/>
      <c r="CZ206"/>
      <c r="DA206"/>
      <c r="DB206"/>
      <c r="DC206"/>
      <c r="DD206"/>
      <c r="DE206"/>
      <c r="DF206"/>
      <c r="DG206"/>
      <c r="DH206"/>
      <c r="DI206"/>
      <c r="DJ206"/>
      <c r="DK206"/>
      <c r="DL206"/>
      <c r="DM206"/>
      <c r="DN206"/>
      <c r="DO206"/>
      <c r="DP206"/>
      <c r="DQ206"/>
      <c r="DR206"/>
      <c r="DS206"/>
      <c r="DT206">
        <v>141</v>
      </c>
      <c r="DU206" t="s">
        <v>2845</v>
      </c>
      <c r="DV206"/>
      <c r="DW206"/>
      <c r="DX206"/>
      <c r="DY206"/>
      <c r="DZ206"/>
      <c r="EA206"/>
      <c r="EB206"/>
      <c r="EC206"/>
      <c r="ED206"/>
      <c r="EE206"/>
      <c r="EF206">
        <v>138</v>
      </c>
      <c r="EG206" t="s">
        <v>2845</v>
      </c>
      <c r="EH206"/>
      <c r="EI206"/>
      <c r="EJ206"/>
      <c r="EK206"/>
      <c r="EL206"/>
      <c r="EM206"/>
      <c r="EN206"/>
      <c r="EO206"/>
      <c r="EP206"/>
      <c r="EQ206"/>
      <c r="ER206"/>
      <c r="ES206" s="569">
        <v>45</v>
      </c>
      <c r="ET206" t="s">
        <v>1860</v>
      </c>
      <c r="EU206" t="s">
        <v>993</v>
      </c>
      <c r="EV206" t="s">
        <v>994</v>
      </c>
      <c r="EW206" t="s">
        <v>54</v>
      </c>
      <c r="EX206" s="599">
        <v>56649</v>
      </c>
      <c r="EY206">
        <v>1528041183</v>
      </c>
    </row>
    <row r="207" spans="1:155" x14ac:dyDescent="0.2">
      <c r="A207" s="598">
        <v>1330</v>
      </c>
      <c r="B207" t="s">
        <v>2173</v>
      </c>
      <c r="C207" t="s">
        <v>1578</v>
      </c>
      <c r="D207" t="s">
        <v>1579</v>
      </c>
      <c r="E207"/>
      <c r="F207"/>
      <c r="G207" t="s">
        <v>1580</v>
      </c>
      <c r="H207" t="s">
        <v>2844</v>
      </c>
      <c r="I207"/>
      <c r="J207" t="s">
        <v>1579</v>
      </c>
      <c r="K207"/>
      <c r="L207" t="s">
        <v>1578</v>
      </c>
      <c r="M207" t="s">
        <v>1581</v>
      </c>
      <c r="N207" t="s">
        <v>1580</v>
      </c>
      <c r="O207" t="s">
        <v>2844</v>
      </c>
      <c r="P207"/>
      <c r="Q207">
        <v>6088399050</v>
      </c>
      <c r="R207">
        <v>6088398950</v>
      </c>
      <c r="S207" t="s">
        <v>1492</v>
      </c>
      <c r="T207" t="s">
        <v>1582</v>
      </c>
      <c r="U207" t="s">
        <v>1084</v>
      </c>
      <c r="V207" t="s">
        <v>1583</v>
      </c>
      <c r="W207" t="s">
        <v>1584</v>
      </c>
      <c r="X207" t="s">
        <v>1585</v>
      </c>
      <c r="Y207" t="s">
        <v>1586</v>
      </c>
      <c r="Z207" t="s">
        <v>2098</v>
      </c>
      <c r="AA207" t="s">
        <v>1587</v>
      </c>
      <c r="AB207">
        <v>6088399050</v>
      </c>
      <c r="AC207">
        <v>1113</v>
      </c>
      <c r="AD207">
        <v>6088398950</v>
      </c>
      <c r="AE207" t="s">
        <v>1588</v>
      </c>
      <c r="AF207" t="s">
        <v>1579</v>
      </c>
      <c r="AG207"/>
      <c r="AH207" t="s">
        <v>1578</v>
      </c>
      <c r="AI207" t="s">
        <v>1581</v>
      </c>
      <c r="AJ207" t="s">
        <v>1580</v>
      </c>
      <c r="AK207" t="s">
        <v>2844</v>
      </c>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t="s">
        <v>1589</v>
      </c>
      <c r="CG207" t="s">
        <v>1587</v>
      </c>
      <c r="CH207" t="s">
        <v>142</v>
      </c>
      <c r="CI207"/>
      <c r="CJ207"/>
      <c r="CK207"/>
      <c r="CL207"/>
      <c r="CM207">
        <v>1295785079</v>
      </c>
      <c r="CN207">
        <v>425</v>
      </c>
      <c r="CO207">
        <v>157</v>
      </c>
      <c r="CP207"/>
      <c r="CQ207"/>
      <c r="CR207"/>
      <c r="CS207" t="s">
        <v>2397</v>
      </c>
      <c r="CT207">
        <v>12</v>
      </c>
      <c r="CU207"/>
      <c r="CV207"/>
      <c r="CW207"/>
      <c r="CX207"/>
      <c r="CY207"/>
      <c r="CZ207"/>
      <c r="DA207"/>
      <c r="DB207"/>
      <c r="DC207"/>
      <c r="DD207"/>
      <c r="DE207"/>
      <c r="DF207"/>
      <c r="DG207"/>
      <c r="DH207"/>
      <c r="DI207"/>
      <c r="DJ207"/>
      <c r="DK207"/>
      <c r="DL207"/>
      <c r="DM207"/>
      <c r="DN207"/>
      <c r="DO207"/>
      <c r="DP207"/>
      <c r="DQ207"/>
      <c r="DR207"/>
      <c r="DS207"/>
      <c r="DT207">
        <v>141</v>
      </c>
      <c r="DU207" t="s">
        <v>2845</v>
      </c>
      <c r="DV207"/>
      <c r="DW207"/>
      <c r="DX207"/>
      <c r="DY207"/>
      <c r="DZ207"/>
      <c r="EA207"/>
      <c r="EB207"/>
      <c r="EC207"/>
      <c r="ED207"/>
      <c r="EE207"/>
      <c r="EF207">
        <v>138</v>
      </c>
      <c r="EG207" t="s">
        <v>2845</v>
      </c>
      <c r="EH207"/>
      <c r="EI207"/>
      <c r="EJ207"/>
      <c r="EK207"/>
      <c r="EL207"/>
      <c r="EM207"/>
      <c r="EN207"/>
      <c r="EO207"/>
      <c r="EP207"/>
      <c r="EQ207"/>
      <c r="ER207"/>
      <c r="ES207" s="569">
        <v>1023</v>
      </c>
      <c r="ET207" t="s">
        <v>781</v>
      </c>
      <c r="EU207" t="s">
        <v>782</v>
      </c>
      <c r="EV207" t="s">
        <v>3046</v>
      </c>
      <c r="EW207" t="s">
        <v>54</v>
      </c>
      <c r="EX207" s="600">
        <v>55076</v>
      </c>
      <c r="EY207">
        <v>1578807491</v>
      </c>
    </row>
    <row r="208" spans="1:155" x14ac:dyDescent="0.2">
      <c r="A208" s="598">
        <v>1412</v>
      </c>
      <c r="B208" t="s">
        <v>2847</v>
      </c>
      <c r="C208" t="s">
        <v>1578</v>
      </c>
      <c r="D208" t="s">
        <v>1579</v>
      </c>
      <c r="E208"/>
      <c r="F208"/>
      <c r="G208" t="s">
        <v>1580</v>
      </c>
      <c r="H208" t="s">
        <v>2844</v>
      </c>
      <c r="I208"/>
      <c r="J208" t="s">
        <v>1579</v>
      </c>
      <c r="K208"/>
      <c r="L208" t="s">
        <v>1578</v>
      </c>
      <c r="M208" t="s">
        <v>1581</v>
      </c>
      <c r="N208" t="s">
        <v>1580</v>
      </c>
      <c r="O208" t="s">
        <v>2844</v>
      </c>
      <c r="P208"/>
      <c r="Q208">
        <v>6088399050</v>
      </c>
      <c r="R208">
        <v>6088398950</v>
      </c>
      <c r="S208" t="s">
        <v>1492</v>
      </c>
      <c r="T208" t="s">
        <v>1582</v>
      </c>
      <c r="U208" t="s">
        <v>1084</v>
      </c>
      <c r="V208" t="s">
        <v>1583</v>
      </c>
      <c r="W208" t="s">
        <v>1584</v>
      </c>
      <c r="X208" t="s">
        <v>1585</v>
      </c>
      <c r="Y208" t="s">
        <v>1586</v>
      </c>
      <c r="Z208" t="s">
        <v>2098</v>
      </c>
      <c r="AA208" t="s">
        <v>1587</v>
      </c>
      <c r="AB208">
        <v>6088399050</v>
      </c>
      <c r="AC208">
        <v>1113</v>
      </c>
      <c r="AD208">
        <v>6088398950</v>
      </c>
      <c r="AE208" t="s">
        <v>1588</v>
      </c>
      <c r="AF208" t="s">
        <v>1579</v>
      </c>
      <c r="AG208"/>
      <c r="AH208" t="s">
        <v>1578</v>
      </c>
      <c r="AI208" t="s">
        <v>1581</v>
      </c>
      <c r="AJ208" t="s">
        <v>1580</v>
      </c>
      <c r="AK208" t="s">
        <v>2844</v>
      </c>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t="s">
        <v>1589</v>
      </c>
      <c r="CG208" t="s">
        <v>1587</v>
      </c>
      <c r="CH208" t="s">
        <v>142</v>
      </c>
      <c r="CI208"/>
      <c r="CJ208"/>
      <c r="CK208"/>
      <c r="CL208"/>
      <c r="CM208">
        <v>1295785079</v>
      </c>
      <c r="CN208">
        <v>425</v>
      </c>
      <c r="CO208">
        <v>157</v>
      </c>
      <c r="CP208"/>
      <c r="CQ208"/>
      <c r="CR208"/>
      <c r="CS208" t="s">
        <v>2397</v>
      </c>
      <c r="CT208">
        <v>12</v>
      </c>
      <c r="CU208"/>
      <c r="CV208"/>
      <c r="CW208"/>
      <c r="CX208"/>
      <c r="CY208"/>
      <c r="CZ208"/>
      <c r="DA208"/>
      <c r="DB208"/>
      <c r="DC208"/>
      <c r="DD208"/>
      <c r="DE208"/>
      <c r="DF208"/>
      <c r="DG208"/>
      <c r="DH208"/>
      <c r="DI208"/>
      <c r="DJ208"/>
      <c r="DK208"/>
      <c r="DL208"/>
      <c r="DM208"/>
      <c r="DN208"/>
      <c r="DO208"/>
      <c r="DP208"/>
      <c r="DQ208"/>
      <c r="DR208"/>
      <c r="DS208"/>
      <c r="DT208">
        <v>141</v>
      </c>
      <c r="DU208" t="s">
        <v>2845</v>
      </c>
      <c r="DV208"/>
      <c r="DW208"/>
      <c r="DX208"/>
      <c r="DY208"/>
      <c r="DZ208"/>
      <c r="EA208"/>
      <c r="EB208"/>
      <c r="EC208"/>
      <c r="ED208"/>
      <c r="EE208"/>
      <c r="EF208">
        <v>138</v>
      </c>
      <c r="EG208" t="s">
        <v>2845</v>
      </c>
      <c r="EH208"/>
      <c r="EI208"/>
      <c r="EJ208"/>
      <c r="EK208"/>
      <c r="EL208"/>
      <c r="EM208"/>
      <c r="EN208"/>
      <c r="EO208"/>
      <c r="EP208"/>
      <c r="EQ208"/>
      <c r="ER208"/>
      <c r="ES208" s="569">
        <v>1342</v>
      </c>
      <c r="ET208" t="s">
        <v>2210</v>
      </c>
      <c r="EU208" t="s">
        <v>2211</v>
      </c>
      <c r="EV208" t="s">
        <v>3047</v>
      </c>
      <c r="EW208" t="s">
        <v>2213</v>
      </c>
      <c r="EX208" s="600">
        <v>92612</v>
      </c>
      <c r="EY208"/>
    </row>
    <row r="209" spans="1:155" x14ac:dyDescent="0.2">
      <c r="A209" s="598">
        <v>1008</v>
      </c>
      <c r="B209" t="s">
        <v>2174</v>
      </c>
      <c r="C209" t="s">
        <v>1578</v>
      </c>
      <c r="D209" t="s">
        <v>1579</v>
      </c>
      <c r="E209"/>
      <c r="F209"/>
      <c r="G209" t="s">
        <v>1580</v>
      </c>
      <c r="H209" t="s">
        <v>2844</v>
      </c>
      <c r="I209"/>
      <c r="J209" t="s">
        <v>1579</v>
      </c>
      <c r="K209"/>
      <c r="L209" t="s">
        <v>1578</v>
      </c>
      <c r="M209" t="s">
        <v>1581</v>
      </c>
      <c r="N209" t="s">
        <v>1580</v>
      </c>
      <c r="O209" t="s">
        <v>2844</v>
      </c>
      <c r="P209"/>
      <c r="Q209">
        <v>6088399050</v>
      </c>
      <c r="R209">
        <v>6088398950</v>
      </c>
      <c r="S209" t="s">
        <v>1492</v>
      </c>
      <c r="T209" t="s">
        <v>1582</v>
      </c>
      <c r="U209" t="s">
        <v>1084</v>
      </c>
      <c r="V209" t="s">
        <v>1583</v>
      </c>
      <c r="W209" t="s">
        <v>1584</v>
      </c>
      <c r="X209" t="s">
        <v>1585</v>
      </c>
      <c r="Y209" t="s">
        <v>1586</v>
      </c>
      <c r="Z209" t="s">
        <v>2098</v>
      </c>
      <c r="AA209" t="s">
        <v>1587</v>
      </c>
      <c r="AB209">
        <v>6088399050</v>
      </c>
      <c r="AC209">
        <v>1113</v>
      </c>
      <c r="AD209">
        <v>6088398950</v>
      </c>
      <c r="AE209" t="s">
        <v>1588</v>
      </c>
      <c r="AF209" t="s">
        <v>1579</v>
      </c>
      <c r="AG209"/>
      <c r="AH209" t="s">
        <v>1578</v>
      </c>
      <c r="AI209" t="s">
        <v>1581</v>
      </c>
      <c r="AJ209" t="s">
        <v>1580</v>
      </c>
      <c r="AK209" t="s">
        <v>2844</v>
      </c>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t="s">
        <v>1589</v>
      </c>
      <c r="CG209" t="s">
        <v>1587</v>
      </c>
      <c r="CH209" t="s">
        <v>142</v>
      </c>
      <c r="CI209"/>
      <c r="CJ209"/>
      <c r="CK209"/>
      <c r="CL209"/>
      <c r="CM209">
        <v>1295785079</v>
      </c>
      <c r="CN209">
        <v>425</v>
      </c>
      <c r="CO209">
        <v>157</v>
      </c>
      <c r="CP209"/>
      <c r="CQ209"/>
      <c r="CR209"/>
      <c r="CS209" t="s">
        <v>2397</v>
      </c>
      <c r="CT209">
        <v>12</v>
      </c>
      <c r="CU209"/>
      <c r="CV209"/>
      <c r="CW209"/>
      <c r="CX209"/>
      <c r="CY209"/>
      <c r="CZ209"/>
      <c r="DA209"/>
      <c r="DB209"/>
      <c r="DC209"/>
      <c r="DD209"/>
      <c r="DE209"/>
      <c r="DF209"/>
      <c r="DG209"/>
      <c r="DH209"/>
      <c r="DI209"/>
      <c r="DJ209"/>
      <c r="DK209"/>
      <c r="DL209"/>
      <c r="DM209"/>
      <c r="DN209"/>
      <c r="DO209"/>
      <c r="DP209"/>
      <c r="DQ209"/>
      <c r="DR209"/>
      <c r="DS209"/>
      <c r="DT209">
        <v>141</v>
      </c>
      <c r="DU209" t="s">
        <v>2845</v>
      </c>
      <c r="DV209"/>
      <c r="DW209"/>
      <c r="DX209"/>
      <c r="DY209"/>
      <c r="DZ209"/>
      <c r="EA209"/>
      <c r="EB209"/>
      <c r="EC209"/>
      <c r="ED209"/>
      <c r="EE209"/>
      <c r="EF209">
        <v>138</v>
      </c>
      <c r="EG209" t="s">
        <v>2845</v>
      </c>
      <c r="EH209"/>
      <c r="EI209"/>
      <c r="EJ209"/>
      <c r="EK209"/>
      <c r="EL209"/>
      <c r="EM209"/>
      <c r="EN209"/>
      <c r="EO209"/>
      <c r="EP209"/>
      <c r="EQ209"/>
      <c r="ER209"/>
      <c r="ES209" s="569">
        <v>65</v>
      </c>
      <c r="ET209" t="s">
        <v>1861</v>
      </c>
      <c r="EU209" t="s">
        <v>1862</v>
      </c>
      <c r="EV209" t="s">
        <v>2301</v>
      </c>
      <c r="EW209" t="s">
        <v>54</v>
      </c>
      <c r="EX209" s="599">
        <v>56143</v>
      </c>
      <c r="EY209">
        <v>1326069097</v>
      </c>
    </row>
    <row r="210" spans="1:155" x14ac:dyDescent="0.2">
      <c r="A210" s="598">
        <v>1208</v>
      </c>
      <c r="B210" t="s">
        <v>1590</v>
      </c>
      <c r="C210" t="s">
        <v>1578</v>
      </c>
      <c r="D210" t="s">
        <v>1579</v>
      </c>
      <c r="E210"/>
      <c r="F210"/>
      <c r="G210" t="s">
        <v>1580</v>
      </c>
      <c r="H210" t="s">
        <v>2844</v>
      </c>
      <c r="I210"/>
      <c r="J210" t="s">
        <v>1579</v>
      </c>
      <c r="K210"/>
      <c r="L210" t="s">
        <v>1578</v>
      </c>
      <c r="M210" t="s">
        <v>1581</v>
      </c>
      <c r="N210" t="s">
        <v>1580</v>
      </c>
      <c r="O210" t="s">
        <v>2844</v>
      </c>
      <c r="P210"/>
      <c r="Q210">
        <v>6088399050</v>
      </c>
      <c r="R210">
        <v>6088398950</v>
      </c>
      <c r="S210" t="s">
        <v>1492</v>
      </c>
      <c r="T210" t="s">
        <v>1582</v>
      </c>
      <c r="U210" t="s">
        <v>1084</v>
      </c>
      <c r="V210" t="s">
        <v>1583</v>
      </c>
      <c r="W210" t="s">
        <v>1584</v>
      </c>
      <c r="X210" t="s">
        <v>1585</v>
      </c>
      <c r="Y210" t="s">
        <v>1586</v>
      </c>
      <c r="Z210" t="s">
        <v>2098</v>
      </c>
      <c r="AA210" t="s">
        <v>1587</v>
      </c>
      <c r="AB210">
        <v>6088399050</v>
      </c>
      <c r="AC210">
        <v>1113</v>
      </c>
      <c r="AD210">
        <v>6088398950</v>
      </c>
      <c r="AE210" t="s">
        <v>1588</v>
      </c>
      <c r="AF210" t="s">
        <v>1579</v>
      </c>
      <c r="AG210"/>
      <c r="AH210" t="s">
        <v>1578</v>
      </c>
      <c r="AI210" t="s">
        <v>1581</v>
      </c>
      <c r="AJ210" t="s">
        <v>1580</v>
      </c>
      <c r="AK210" t="s">
        <v>2844</v>
      </c>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t="s">
        <v>1589</v>
      </c>
      <c r="CG210" t="s">
        <v>1587</v>
      </c>
      <c r="CH210" t="s">
        <v>142</v>
      </c>
      <c r="CI210"/>
      <c r="CJ210"/>
      <c r="CK210"/>
      <c r="CL210"/>
      <c r="CM210">
        <v>1295785079</v>
      </c>
      <c r="CN210">
        <v>425</v>
      </c>
      <c r="CO210">
        <v>157</v>
      </c>
      <c r="CP210"/>
      <c r="CQ210"/>
      <c r="CR210"/>
      <c r="CS210" t="s">
        <v>2397</v>
      </c>
      <c r="CT210">
        <v>12</v>
      </c>
      <c r="CU210"/>
      <c r="CV210"/>
      <c r="CW210"/>
      <c r="CX210"/>
      <c r="CY210"/>
      <c r="CZ210"/>
      <c r="DA210"/>
      <c r="DB210"/>
      <c r="DC210"/>
      <c r="DD210"/>
      <c r="DE210"/>
      <c r="DF210"/>
      <c r="DG210"/>
      <c r="DH210"/>
      <c r="DI210"/>
      <c r="DJ210"/>
      <c r="DK210"/>
      <c r="DL210"/>
      <c r="DM210"/>
      <c r="DN210"/>
      <c r="DO210"/>
      <c r="DP210"/>
      <c r="DQ210"/>
      <c r="DR210"/>
      <c r="DS210"/>
      <c r="DT210"/>
      <c r="DU210"/>
      <c r="DV210">
        <v>143</v>
      </c>
      <c r="DW210" t="s">
        <v>2845</v>
      </c>
      <c r="DX210"/>
      <c r="DY210"/>
      <c r="DZ210"/>
      <c r="EA210"/>
      <c r="EB210"/>
      <c r="EC210"/>
      <c r="ED210"/>
      <c r="EE210"/>
      <c r="EF210">
        <v>138</v>
      </c>
      <c r="EG210" t="s">
        <v>2845</v>
      </c>
      <c r="EH210"/>
      <c r="EI210"/>
      <c r="EJ210"/>
      <c r="EK210"/>
      <c r="EL210"/>
      <c r="EM210"/>
      <c r="EN210"/>
      <c r="EO210"/>
      <c r="EP210"/>
      <c r="EQ210"/>
      <c r="ER210"/>
      <c r="ES210" s="569">
        <v>70</v>
      </c>
      <c r="ET210" t="s">
        <v>1863</v>
      </c>
      <c r="EU210" t="s">
        <v>1864</v>
      </c>
      <c r="EV210" t="s">
        <v>2302</v>
      </c>
      <c r="EW210" t="s">
        <v>54</v>
      </c>
      <c r="EX210" s="599">
        <v>55041</v>
      </c>
      <c r="EY210">
        <v>1538113022</v>
      </c>
    </row>
    <row r="211" spans="1:155" x14ac:dyDescent="0.2">
      <c r="A211" s="598">
        <v>1131</v>
      </c>
      <c r="B211" t="s">
        <v>1591</v>
      </c>
      <c r="C211" t="s">
        <v>1578</v>
      </c>
      <c r="D211" t="s">
        <v>1579</v>
      </c>
      <c r="E211"/>
      <c r="F211"/>
      <c r="G211" t="s">
        <v>1580</v>
      </c>
      <c r="H211" t="s">
        <v>2844</v>
      </c>
      <c r="I211"/>
      <c r="J211" t="s">
        <v>1579</v>
      </c>
      <c r="K211"/>
      <c r="L211" t="s">
        <v>1578</v>
      </c>
      <c r="M211" t="s">
        <v>1581</v>
      </c>
      <c r="N211" t="s">
        <v>1580</v>
      </c>
      <c r="O211" t="s">
        <v>2844</v>
      </c>
      <c r="P211"/>
      <c r="Q211">
        <v>6088399050</v>
      </c>
      <c r="R211">
        <v>6088398950</v>
      </c>
      <c r="S211" t="s">
        <v>1492</v>
      </c>
      <c r="T211" t="s">
        <v>1582</v>
      </c>
      <c r="U211" t="s">
        <v>1084</v>
      </c>
      <c r="V211" t="s">
        <v>1583</v>
      </c>
      <c r="W211" t="s">
        <v>1584</v>
      </c>
      <c r="X211" t="s">
        <v>1585</v>
      </c>
      <c r="Y211" t="s">
        <v>1586</v>
      </c>
      <c r="Z211" t="s">
        <v>2098</v>
      </c>
      <c r="AA211" t="s">
        <v>1587</v>
      </c>
      <c r="AB211">
        <v>6088399050</v>
      </c>
      <c r="AC211">
        <v>1113</v>
      </c>
      <c r="AD211">
        <v>6088398950</v>
      </c>
      <c r="AE211" t="s">
        <v>1588</v>
      </c>
      <c r="AF211" t="s">
        <v>1579</v>
      </c>
      <c r="AG211"/>
      <c r="AH211" t="s">
        <v>1578</v>
      </c>
      <c r="AI211" t="s">
        <v>1581</v>
      </c>
      <c r="AJ211" t="s">
        <v>1580</v>
      </c>
      <c r="AK211" t="s">
        <v>2844</v>
      </c>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t="s">
        <v>1589</v>
      </c>
      <c r="CG211" t="s">
        <v>1587</v>
      </c>
      <c r="CH211" t="s">
        <v>142</v>
      </c>
      <c r="CI211"/>
      <c r="CJ211"/>
      <c r="CK211"/>
      <c r="CL211"/>
      <c r="CM211">
        <v>1295785079</v>
      </c>
      <c r="CN211">
        <v>425</v>
      </c>
      <c r="CO211">
        <v>157</v>
      </c>
      <c r="CP211"/>
      <c r="CQ211"/>
      <c r="CR211"/>
      <c r="CS211" t="s">
        <v>2397</v>
      </c>
      <c r="CT211">
        <v>12</v>
      </c>
      <c r="CU211"/>
      <c r="CV211"/>
      <c r="CW211"/>
      <c r="CX211"/>
      <c r="CY211"/>
      <c r="CZ211"/>
      <c r="DA211"/>
      <c r="DB211"/>
      <c r="DC211"/>
      <c r="DD211"/>
      <c r="DE211"/>
      <c r="DF211"/>
      <c r="DG211"/>
      <c r="DH211"/>
      <c r="DI211"/>
      <c r="DJ211"/>
      <c r="DK211"/>
      <c r="DL211"/>
      <c r="DM211"/>
      <c r="DN211"/>
      <c r="DO211"/>
      <c r="DP211"/>
      <c r="DQ211"/>
      <c r="DR211"/>
      <c r="DS211"/>
      <c r="DT211"/>
      <c r="DU211"/>
      <c r="DV211">
        <v>143</v>
      </c>
      <c r="DW211" t="s">
        <v>2845</v>
      </c>
      <c r="DX211"/>
      <c r="DY211"/>
      <c r="DZ211"/>
      <c r="EA211"/>
      <c r="EB211"/>
      <c r="EC211"/>
      <c r="ED211"/>
      <c r="EE211"/>
      <c r="EF211">
        <v>138</v>
      </c>
      <c r="EG211" t="s">
        <v>2845</v>
      </c>
      <c r="EH211"/>
      <c r="EI211"/>
      <c r="EJ211"/>
      <c r="EK211"/>
      <c r="EL211"/>
      <c r="EM211"/>
      <c r="EN211"/>
      <c r="EO211"/>
      <c r="EP211"/>
      <c r="EQ211"/>
      <c r="ER211"/>
      <c r="ES211" s="569">
        <v>1205</v>
      </c>
      <c r="ET211" t="s">
        <v>1443</v>
      </c>
      <c r="EU211" t="s">
        <v>1454</v>
      </c>
      <c r="EV211" t="s">
        <v>3048</v>
      </c>
      <c r="EW211" t="s">
        <v>54</v>
      </c>
      <c r="EX211" s="600">
        <v>55042</v>
      </c>
      <c r="EY211">
        <v>1710098306</v>
      </c>
    </row>
    <row r="212" spans="1:155" x14ac:dyDescent="0.2">
      <c r="A212" s="598">
        <v>1267</v>
      </c>
      <c r="B212" t="s">
        <v>2099</v>
      </c>
      <c r="C212" t="s">
        <v>1578</v>
      </c>
      <c r="D212" t="s">
        <v>1579</v>
      </c>
      <c r="E212"/>
      <c r="F212"/>
      <c r="G212" t="s">
        <v>1580</v>
      </c>
      <c r="H212" t="s">
        <v>2844</v>
      </c>
      <c r="I212"/>
      <c r="J212" t="s">
        <v>1579</v>
      </c>
      <c r="K212"/>
      <c r="L212" t="s">
        <v>1578</v>
      </c>
      <c r="M212" t="s">
        <v>1581</v>
      </c>
      <c r="N212" t="s">
        <v>1580</v>
      </c>
      <c r="O212" t="s">
        <v>2844</v>
      </c>
      <c r="P212"/>
      <c r="Q212">
        <v>6088399050</v>
      </c>
      <c r="R212">
        <v>6088398950</v>
      </c>
      <c r="S212" t="s">
        <v>1492</v>
      </c>
      <c r="T212" t="s">
        <v>1582</v>
      </c>
      <c r="U212" t="s">
        <v>1084</v>
      </c>
      <c r="V212" t="s">
        <v>1583</v>
      </c>
      <c r="W212" t="s">
        <v>1584</v>
      </c>
      <c r="X212" t="s">
        <v>1585</v>
      </c>
      <c r="Y212" t="s">
        <v>1586</v>
      </c>
      <c r="Z212" t="s">
        <v>2098</v>
      </c>
      <c r="AA212" t="s">
        <v>1587</v>
      </c>
      <c r="AB212">
        <v>6088399050</v>
      </c>
      <c r="AC212">
        <v>1113</v>
      </c>
      <c r="AD212">
        <v>6088398950</v>
      </c>
      <c r="AE212" t="s">
        <v>1588</v>
      </c>
      <c r="AF212" t="s">
        <v>1579</v>
      </c>
      <c r="AG212"/>
      <c r="AH212" t="s">
        <v>1578</v>
      </c>
      <c r="AI212" t="s">
        <v>1581</v>
      </c>
      <c r="AJ212" t="s">
        <v>1580</v>
      </c>
      <c r="AK212" t="s">
        <v>2844</v>
      </c>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t="s">
        <v>1589</v>
      </c>
      <c r="CG212" t="s">
        <v>1587</v>
      </c>
      <c r="CH212" t="s">
        <v>142</v>
      </c>
      <c r="CI212"/>
      <c r="CJ212"/>
      <c r="CK212"/>
      <c r="CL212"/>
      <c r="CM212">
        <v>1295785079</v>
      </c>
      <c r="CN212">
        <v>425</v>
      </c>
      <c r="CO212">
        <v>157</v>
      </c>
      <c r="CP212"/>
      <c r="CQ212"/>
      <c r="CR212"/>
      <c r="CS212" t="s">
        <v>2397</v>
      </c>
      <c r="CT212">
        <v>12</v>
      </c>
      <c r="CU212"/>
      <c r="CV212"/>
      <c r="CW212"/>
      <c r="CX212"/>
      <c r="CY212"/>
      <c r="CZ212"/>
      <c r="DA212"/>
      <c r="DB212"/>
      <c r="DC212"/>
      <c r="DD212"/>
      <c r="DE212"/>
      <c r="DF212"/>
      <c r="DG212"/>
      <c r="DH212"/>
      <c r="DI212"/>
      <c r="DJ212"/>
      <c r="DK212"/>
      <c r="DL212"/>
      <c r="DM212"/>
      <c r="DN212"/>
      <c r="DO212"/>
      <c r="DP212"/>
      <c r="DQ212"/>
      <c r="DR212"/>
      <c r="DS212"/>
      <c r="DT212">
        <v>141</v>
      </c>
      <c r="DU212" t="s">
        <v>2845</v>
      </c>
      <c r="DV212"/>
      <c r="DW212"/>
      <c r="DX212"/>
      <c r="DY212"/>
      <c r="DZ212"/>
      <c r="EA212"/>
      <c r="EB212"/>
      <c r="EC212"/>
      <c r="ED212"/>
      <c r="EE212"/>
      <c r="EF212">
        <v>138</v>
      </c>
      <c r="EG212" t="s">
        <v>2845</v>
      </c>
      <c r="EH212"/>
      <c r="EI212"/>
      <c r="EJ212"/>
      <c r="EK212"/>
      <c r="EL212"/>
      <c r="EM212"/>
      <c r="EN212"/>
      <c r="EO212"/>
      <c r="EP212"/>
      <c r="EQ212"/>
      <c r="ER212"/>
      <c r="ES212" s="569">
        <v>1122</v>
      </c>
      <c r="ET212" t="s">
        <v>1758</v>
      </c>
      <c r="EU212" t="s">
        <v>1454</v>
      </c>
      <c r="EV212" t="s">
        <v>3049</v>
      </c>
      <c r="EW212" t="s">
        <v>54</v>
      </c>
      <c r="EX212" s="600">
        <v>55042</v>
      </c>
      <c r="EY212">
        <v>1164474250</v>
      </c>
    </row>
    <row r="213" spans="1:155" x14ac:dyDescent="0.2">
      <c r="A213" s="598">
        <v>988</v>
      </c>
      <c r="B213" t="s">
        <v>2848</v>
      </c>
      <c r="C213" t="s">
        <v>1578</v>
      </c>
      <c r="D213" t="s">
        <v>1579</v>
      </c>
      <c r="E213"/>
      <c r="F213"/>
      <c r="G213" t="s">
        <v>1580</v>
      </c>
      <c r="H213" t="s">
        <v>2844</v>
      </c>
      <c r="I213"/>
      <c r="J213" t="s">
        <v>1579</v>
      </c>
      <c r="K213"/>
      <c r="L213" t="s">
        <v>1578</v>
      </c>
      <c r="M213" t="s">
        <v>1581</v>
      </c>
      <c r="N213" t="s">
        <v>1580</v>
      </c>
      <c r="O213" t="s">
        <v>2844</v>
      </c>
      <c r="P213"/>
      <c r="Q213">
        <v>6088399050</v>
      </c>
      <c r="R213">
        <v>6088398950</v>
      </c>
      <c r="S213" t="s">
        <v>1492</v>
      </c>
      <c r="T213" t="s">
        <v>1582</v>
      </c>
      <c r="U213" t="s">
        <v>1084</v>
      </c>
      <c r="V213" t="s">
        <v>1583</v>
      </c>
      <c r="W213" t="s">
        <v>1584</v>
      </c>
      <c r="X213" t="s">
        <v>1585</v>
      </c>
      <c r="Y213" t="s">
        <v>1586</v>
      </c>
      <c r="Z213" t="s">
        <v>2098</v>
      </c>
      <c r="AA213" t="s">
        <v>1587</v>
      </c>
      <c r="AB213">
        <v>6088399050</v>
      </c>
      <c r="AC213">
        <v>1113</v>
      </c>
      <c r="AD213">
        <v>6088398950</v>
      </c>
      <c r="AE213" t="s">
        <v>1588</v>
      </c>
      <c r="AF213" t="s">
        <v>1579</v>
      </c>
      <c r="AG213"/>
      <c r="AH213" t="s">
        <v>1578</v>
      </c>
      <c r="AI213" t="s">
        <v>1581</v>
      </c>
      <c r="AJ213" t="s">
        <v>1580</v>
      </c>
      <c r="AK213" t="s">
        <v>2844</v>
      </c>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t="s">
        <v>1589</v>
      </c>
      <c r="CG213" t="s">
        <v>1587</v>
      </c>
      <c r="CH213" t="s">
        <v>142</v>
      </c>
      <c r="CI213"/>
      <c r="CJ213"/>
      <c r="CK213"/>
      <c r="CL213"/>
      <c r="CM213">
        <v>1295785079</v>
      </c>
      <c r="CN213">
        <v>425</v>
      </c>
      <c r="CO213">
        <v>157</v>
      </c>
      <c r="CP213"/>
      <c r="CQ213"/>
      <c r="CR213"/>
      <c r="CS213" t="s">
        <v>2397</v>
      </c>
      <c r="CT213">
        <v>12</v>
      </c>
      <c r="CU213"/>
      <c r="CV213"/>
      <c r="CW213"/>
      <c r="CX213"/>
      <c r="CY213"/>
      <c r="CZ213"/>
      <c r="DA213"/>
      <c r="DB213"/>
      <c r="DC213"/>
      <c r="DD213"/>
      <c r="DE213"/>
      <c r="DF213"/>
      <c r="DG213"/>
      <c r="DH213"/>
      <c r="DI213"/>
      <c r="DJ213"/>
      <c r="DK213"/>
      <c r="DL213"/>
      <c r="DM213"/>
      <c r="DN213"/>
      <c r="DO213"/>
      <c r="DP213"/>
      <c r="DQ213"/>
      <c r="DR213"/>
      <c r="DS213"/>
      <c r="DT213">
        <v>141</v>
      </c>
      <c r="DU213" t="s">
        <v>2845</v>
      </c>
      <c r="DV213"/>
      <c r="DW213"/>
      <c r="DX213"/>
      <c r="DY213"/>
      <c r="DZ213"/>
      <c r="EA213"/>
      <c r="EB213"/>
      <c r="EC213"/>
      <c r="ED213"/>
      <c r="EE213"/>
      <c r="EF213">
        <v>138</v>
      </c>
      <c r="EG213" t="s">
        <v>2845</v>
      </c>
      <c r="EH213"/>
      <c r="EI213"/>
      <c r="EJ213"/>
      <c r="EK213"/>
      <c r="EL213"/>
      <c r="EM213"/>
      <c r="EN213"/>
      <c r="EO213"/>
      <c r="EP213"/>
      <c r="EQ213"/>
      <c r="ER213"/>
      <c r="ES213" s="569">
        <v>1215</v>
      </c>
      <c r="ET213" t="s">
        <v>829</v>
      </c>
      <c r="EU213" t="s">
        <v>830</v>
      </c>
      <c r="EV213" t="s">
        <v>3050</v>
      </c>
      <c r="EW213" t="s">
        <v>54</v>
      </c>
      <c r="EX213" s="600">
        <v>55044</v>
      </c>
      <c r="EY213">
        <v>1659348092</v>
      </c>
    </row>
    <row r="214" spans="1:155" x14ac:dyDescent="0.2">
      <c r="A214" s="598">
        <v>904</v>
      </c>
      <c r="B214" t="s">
        <v>2849</v>
      </c>
      <c r="C214" t="s">
        <v>1578</v>
      </c>
      <c r="D214" t="s">
        <v>1579</v>
      </c>
      <c r="E214"/>
      <c r="F214"/>
      <c r="G214" t="s">
        <v>1580</v>
      </c>
      <c r="H214" t="s">
        <v>2844</v>
      </c>
      <c r="I214"/>
      <c r="J214" t="s">
        <v>1579</v>
      </c>
      <c r="K214"/>
      <c r="L214" t="s">
        <v>1578</v>
      </c>
      <c r="M214" t="s">
        <v>1581</v>
      </c>
      <c r="N214" t="s">
        <v>1580</v>
      </c>
      <c r="O214" t="s">
        <v>2844</v>
      </c>
      <c r="P214"/>
      <c r="Q214">
        <v>6088399050</v>
      </c>
      <c r="R214">
        <v>6088398950</v>
      </c>
      <c r="S214" t="s">
        <v>1492</v>
      </c>
      <c r="T214" t="s">
        <v>1582</v>
      </c>
      <c r="U214" t="s">
        <v>1084</v>
      </c>
      <c r="V214" t="s">
        <v>1583</v>
      </c>
      <c r="W214" t="s">
        <v>1584</v>
      </c>
      <c r="X214" t="s">
        <v>1585</v>
      </c>
      <c r="Y214" t="s">
        <v>1586</v>
      </c>
      <c r="Z214" t="s">
        <v>2098</v>
      </c>
      <c r="AA214" t="s">
        <v>1587</v>
      </c>
      <c r="AB214">
        <v>6088399050</v>
      </c>
      <c r="AC214">
        <v>1113</v>
      </c>
      <c r="AD214">
        <v>6088398950</v>
      </c>
      <c r="AE214" t="s">
        <v>1588</v>
      </c>
      <c r="AF214" t="s">
        <v>1579</v>
      </c>
      <c r="AG214"/>
      <c r="AH214" t="s">
        <v>1578</v>
      </c>
      <c r="AI214" t="s">
        <v>1581</v>
      </c>
      <c r="AJ214" t="s">
        <v>1580</v>
      </c>
      <c r="AK214" t="s">
        <v>2844</v>
      </c>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t="s">
        <v>1589</v>
      </c>
      <c r="CG214" t="s">
        <v>1587</v>
      </c>
      <c r="CH214" t="s">
        <v>142</v>
      </c>
      <c r="CI214"/>
      <c r="CJ214"/>
      <c r="CK214"/>
      <c r="CL214"/>
      <c r="CM214">
        <v>1295785079</v>
      </c>
      <c r="CN214">
        <v>425</v>
      </c>
      <c r="CO214">
        <v>157</v>
      </c>
      <c r="CP214"/>
      <c r="CQ214"/>
      <c r="CR214"/>
      <c r="CS214" t="s">
        <v>2397</v>
      </c>
      <c r="CT214">
        <v>12</v>
      </c>
      <c r="CU214"/>
      <c r="CV214"/>
      <c r="CW214"/>
      <c r="CX214"/>
      <c r="CY214"/>
      <c r="CZ214"/>
      <c r="DA214"/>
      <c r="DB214"/>
      <c r="DC214"/>
      <c r="DD214"/>
      <c r="DE214"/>
      <c r="DF214"/>
      <c r="DG214"/>
      <c r="DH214"/>
      <c r="DI214"/>
      <c r="DJ214"/>
      <c r="DK214"/>
      <c r="DL214"/>
      <c r="DM214"/>
      <c r="DN214"/>
      <c r="DO214"/>
      <c r="DP214"/>
      <c r="DQ214"/>
      <c r="DR214"/>
      <c r="DS214"/>
      <c r="DT214">
        <v>141</v>
      </c>
      <c r="DU214" t="s">
        <v>2850</v>
      </c>
      <c r="DV214"/>
      <c r="DW214"/>
      <c r="DX214"/>
      <c r="DY214"/>
      <c r="DZ214"/>
      <c r="EA214"/>
      <c r="EB214"/>
      <c r="EC214"/>
      <c r="ED214"/>
      <c r="EE214"/>
      <c r="EF214">
        <v>138</v>
      </c>
      <c r="EG214" t="s">
        <v>2845</v>
      </c>
      <c r="EH214"/>
      <c r="EI214"/>
      <c r="EJ214"/>
      <c r="EK214"/>
      <c r="EL214"/>
      <c r="EM214"/>
      <c r="EN214"/>
      <c r="EO214"/>
      <c r="EP214"/>
      <c r="EQ214"/>
      <c r="ER214"/>
      <c r="ES214" s="569">
        <v>92</v>
      </c>
      <c r="ET214" t="s">
        <v>1865</v>
      </c>
      <c r="EU214" t="s">
        <v>984</v>
      </c>
      <c r="EV214" t="s">
        <v>2145</v>
      </c>
      <c r="EW214" t="s">
        <v>54</v>
      </c>
      <c r="EX214" s="599">
        <v>56058</v>
      </c>
      <c r="EY214">
        <v>1730248907</v>
      </c>
    </row>
    <row r="215" spans="1:155" x14ac:dyDescent="0.2">
      <c r="A215" s="598">
        <v>989</v>
      </c>
      <c r="B215" t="s">
        <v>1592</v>
      </c>
      <c r="C215" t="s">
        <v>1578</v>
      </c>
      <c r="D215" t="s">
        <v>1579</v>
      </c>
      <c r="E215"/>
      <c r="F215"/>
      <c r="G215" t="s">
        <v>1580</v>
      </c>
      <c r="H215" t="s">
        <v>2844</v>
      </c>
      <c r="I215"/>
      <c r="J215" t="s">
        <v>1579</v>
      </c>
      <c r="K215"/>
      <c r="L215" t="s">
        <v>1578</v>
      </c>
      <c r="M215" t="s">
        <v>1581</v>
      </c>
      <c r="N215" t="s">
        <v>1580</v>
      </c>
      <c r="O215" t="s">
        <v>2844</v>
      </c>
      <c r="P215"/>
      <c r="Q215">
        <v>6088399050</v>
      </c>
      <c r="R215">
        <v>6088398950</v>
      </c>
      <c r="S215" t="s">
        <v>1492</v>
      </c>
      <c r="T215" t="s">
        <v>1582</v>
      </c>
      <c r="U215" t="s">
        <v>1084</v>
      </c>
      <c r="V215" t="s">
        <v>1583</v>
      </c>
      <c r="W215" t="s">
        <v>1584</v>
      </c>
      <c r="X215" t="s">
        <v>1585</v>
      </c>
      <c r="Y215" t="s">
        <v>1586</v>
      </c>
      <c r="Z215" t="s">
        <v>2098</v>
      </c>
      <c r="AA215" t="s">
        <v>1587</v>
      </c>
      <c r="AB215">
        <v>6088399050</v>
      </c>
      <c r="AC215">
        <v>1113</v>
      </c>
      <c r="AD215">
        <v>6088398950</v>
      </c>
      <c r="AE215" t="s">
        <v>1588</v>
      </c>
      <c r="AF215" t="s">
        <v>1579</v>
      </c>
      <c r="AG215"/>
      <c r="AH215" t="s">
        <v>1578</v>
      </c>
      <c r="AI215" t="s">
        <v>1581</v>
      </c>
      <c r="AJ215" t="s">
        <v>1580</v>
      </c>
      <c r="AK215" t="s">
        <v>2844</v>
      </c>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t="s">
        <v>1589</v>
      </c>
      <c r="CG215" t="s">
        <v>1587</v>
      </c>
      <c r="CH215" t="s">
        <v>142</v>
      </c>
      <c r="CI215"/>
      <c r="CJ215"/>
      <c r="CK215"/>
      <c r="CL215"/>
      <c r="CM215">
        <v>1295785079</v>
      </c>
      <c r="CN215">
        <v>425</v>
      </c>
      <c r="CO215">
        <v>157</v>
      </c>
      <c r="CP215"/>
      <c r="CQ215"/>
      <c r="CR215"/>
      <c r="CS215" t="s">
        <v>2397</v>
      </c>
      <c r="CT215">
        <v>12</v>
      </c>
      <c r="CU215"/>
      <c r="CV215"/>
      <c r="CW215"/>
      <c r="CX215"/>
      <c r="CY215"/>
      <c r="CZ215"/>
      <c r="DA215"/>
      <c r="DB215"/>
      <c r="DC215"/>
      <c r="DD215"/>
      <c r="DE215"/>
      <c r="DF215"/>
      <c r="DG215"/>
      <c r="DH215"/>
      <c r="DI215"/>
      <c r="DJ215"/>
      <c r="DK215"/>
      <c r="DL215"/>
      <c r="DM215"/>
      <c r="DN215"/>
      <c r="DO215"/>
      <c r="DP215"/>
      <c r="DQ215"/>
      <c r="DR215"/>
      <c r="DS215"/>
      <c r="DT215">
        <v>141</v>
      </c>
      <c r="DU215" t="s">
        <v>2845</v>
      </c>
      <c r="DV215"/>
      <c r="DW215"/>
      <c r="DX215"/>
      <c r="DY215"/>
      <c r="DZ215"/>
      <c r="EA215"/>
      <c r="EB215"/>
      <c r="EC215"/>
      <c r="ED215"/>
      <c r="EE215"/>
      <c r="EF215">
        <v>138</v>
      </c>
      <c r="EG215" t="s">
        <v>2845</v>
      </c>
      <c r="EH215"/>
      <c r="EI215"/>
      <c r="EJ215"/>
      <c r="EK215"/>
      <c r="EL215"/>
      <c r="EM215"/>
      <c r="EN215"/>
      <c r="EO215"/>
      <c r="EP215"/>
      <c r="EQ215"/>
      <c r="ER215"/>
      <c r="ES215" s="569">
        <v>842</v>
      </c>
      <c r="ET215" t="s">
        <v>974</v>
      </c>
      <c r="EU215" t="s">
        <v>975</v>
      </c>
      <c r="EV215" t="s">
        <v>3051</v>
      </c>
      <c r="EW215" t="s">
        <v>54</v>
      </c>
      <c r="EX215" s="600">
        <v>55355</v>
      </c>
      <c r="EY215"/>
    </row>
    <row r="216" spans="1:155" x14ac:dyDescent="0.2">
      <c r="A216" s="598">
        <v>1010</v>
      </c>
      <c r="B216" t="s">
        <v>1593</v>
      </c>
      <c r="C216" t="s">
        <v>1578</v>
      </c>
      <c r="D216" t="s">
        <v>1579</v>
      </c>
      <c r="E216"/>
      <c r="F216"/>
      <c r="G216" t="s">
        <v>1580</v>
      </c>
      <c r="H216" t="s">
        <v>2844</v>
      </c>
      <c r="I216"/>
      <c r="J216" t="s">
        <v>1579</v>
      </c>
      <c r="K216"/>
      <c r="L216" t="s">
        <v>1578</v>
      </c>
      <c r="M216" t="s">
        <v>1581</v>
      </c>
      <c r="N216" t="s">
        <v>1580</v>
      </c>
      <c r="O216" t="s">
        <v>2844</v>
      </c>
      <c r="P216"/>
      <c r="Q216">
        <v>6088399050</v>
      </c>
      <c r="R216">
        <v>6088398950</v>
      </c>
      <c r="S216" t="s">
        <v>1492</v>
      </c>
      <c r="T216" t="s">
        <v>1582</v>
      </c>
      <c r="U216" t="s">
        <v>1084</v>
      </c>
      <c r="V216" t="s">
        <v>1583</v>
      </c>
      <c r="W216" t="s">
        <v>1584</v>
      </c>
      <c r="X216" t="s">
        <v>1585</v>
      </c>
      <c r="Y216" t="s">
        <v>1586</v>
      </c>
      <c r="Z216" t="s">
        <v>2098</v>
      </c>
      <c r="AA216" t="s">
        <v>1587</v>
      </c>
      <c r="AB216">
        <v>6088399050</v>
      </c>
      <c r="AC216">
        <v>1113</v>
      </c>
      <c r="AD216">
        <v>6088398950</v>
      </c>
      <c r="AE216" t="s">
        <v>1588</v>
      </c>
      <c r="AF216" t="s">
        <v>1579</v>
      </c>
      <c r="AG216"/>
      <c r="AH216" t="s">
        <v>1578</v>
      </c>
      <c r="AI216" t="s">
        <v>1581</v>
      </c>
      <c r="AJ216" t="s">
        <v>1580</v>
      </c>
      <c r="AK216" t="s">
        <v>2844</v>
      </c>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t="s">
        <v>1589</v>
      </c>
      <c r="CG216" t="s">
        <v>1587</v>
      </c>
      <c r="CH216" t="s">
        <v>142</v>
      </c>
      <c r="CI216"/>
      <c r="CJ216"/>
      <c r="CK216"/>
      <c r="CL216"/>
      <c r="CM216">
        <v>1295785079</v>
      </c>
      <c r="CN216">
        <v>425</v>
      </c>
      <c r="CO216">
        <v>157</v>
      </c>
      <c r="CP216"/>
      <c r="CQ216"/>
      <c r="CR216"/>
      <c r="CS216" t="s">
        <v>2397</v>
      </c>
      <c r="CT216">
        <v>12</v>
      </c>
      <c r="CU216"/>
      <c r="CV216"/>
      <c r="CW216"/>
      <c r="CX216"/>
      <c r="CY216"/>
      <c r="CZ216"/>
      <c r="DA216"/>
      <c r="DB216"/>
      <c r="DC216"/>
      <c r="DD216"/>
      <c r="DE216"/>
      <c r="DF216"/>
      <c r="DG216"/>
      <c r="DH216"/>
      <c r="DI216"/>
      <c r="DJ216"/>
      <c r="DK216"/>
      <c r="DL216"/>
      <c r="DM216"/>
      <c r="DN216"/>
      <c r="DO216"/>
      <c r="DP216"/>
      <c r="DQ216"/>
      <c r="DR216"/>
      <c r="DS216"/>
      <c r="DT216">
        <v>141</v>
      </c>
      <c r="DU216" t="s">
        <v>2845</v>
      </c>
      <c r="DV216"/>
      <c r="DW216"/>
      <c r="DX216"/>
      <c r="DY216"/>
      <c r="DZ216"/>
      <c r="EA216"/>
      <c r="EB216"/>
      <c r="EC216"/>
      <c r="ED216"/>
      <c r="EE216"/>
      <c r="EF216">
        <v>138</v>
      </c>
      <c r="EG216" t="s">
        <v>2845</v>
      </c>
      <c r="EH216"/>
      <c r="EI216"/>
      <c r="EJ216"/>
      <c r="EK216"/>
      <c r="EL216"/>
      <c r="EM216"/>
      <c r="EN216"/>
      <c r="EO216"/>
      <c r="EP216"/>
      <c r="EQ216"/>
      <c r="ER216"/>
      <c r="ES216" s="569">
        <v>80</v>
      </c>
      <c r="ET216" t="s">
        <v>1866</v>
      </c>
      <c r="EU216" t="s">
        <v>975</v>
      </c>
      <c r="EV216" t="s">
        <v>976</v>
      </c>
      <c r="EW216" t="s">
        <v>54</v>
      </c>
      <c r="EX216" s="599">
        <v>55355</v>
      </c>
      <c r="EY216">
        <v>1598860215</v>
      </c>
    </row>
    <row r="217" spans="1:155" x14ac:dyDescent="0.2">
      <c r="A217" s="598">
        <v>1332</v>
      </c>
      <c r="B217" t="s">
        <v>2175</v>
      </c>
      <c r="C217" t="s">
        <v>1578</v>
      </c>
      <c r="D217" t="s">
        <v>1579</v>
      </c>
      <c r="E217"/>
      <c r="F217"/>
      <c r="G217" t="s">
        <v>1580</v>
      </c>
      <c r="H217" t="s">
        <v>2844</v>
      </c>
      <c r="I217"/>
      <c r="J217" t="s">
        <v>1579</v>
      </c>
      <c r="K217"/>
      <c r="L217" t="s">
        <v>1578</v>
      </c>
      <c r="M217" t="s">
        <v>1581</v>
      </c>
      <c r="N217" t="s">
        <v>1580</v>
      </c>
      <c r="O217" t="s">
        <v>2844</v>
      </c>
      <c r="P217"/>
      <c r="Q217">
        <v>6088399050</v>
      </c>
      <c r="R217">
        <v>6088398950</v>
      </c>
      <c r="S217" t="s">
        <v>1492</v>
      </c>
      <c r="T217" t="s">
        <v>1582</v>
      </c>
      <c r="U217" t="s">
        <v>1084</v>
      </c>
      <c r="V217" t="s">
        <v>1583</v>
      </c>
      <c r="W217" t="s">
        <v>1584</v>
      </c>
      <c r="X217" t="s">
        <v>1585</v>
      </c>
      <c r="Y217" t="s">
        <v>1586</v>
      </c>
      <c r="Z217" t="s">
        <v>2098</v>
      </c>
      <c r="AA217" t="s">
        <v>1587</v>
      </c>
      <c r="AB217">
        <v>6088399050</v>
      </c>
      <c r="AC217">
        <v>1113</v>
      </c>
      <c r="AD217">
        <v>6088398950</v>
      </c>
      <c r="AE217" t="s">
        <v>1588</v>
      </c>
      <c r="AF217" t="s">
        <v>1579</v>
      </c>
      <c r="AG217"/>
      <c r="AH217" t="s">
        <v>1578</v>
      </c>
      <c r="AI217" t="s">
        <v>1581</v>
      </c>
      <c r="AJ217" t="s">
        <v>1580</v>
      </c>
      <c r="AK217" t="s">
        <v>2844</v>
      </c>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t="s">
        <v>1589</v>
      </c>
      <c r="CG217" t="s">
        <v>1587</v>
      </c>
      <c r="CH217" t="s">
        <v>142</v>
      </c>
      <c r="CI217"/>
      <c r="CJ217"/>
      <c r="CK217"/>
      <c r="CL217"/>
      <c r="CM217">
        <v>1295785079</v>
      </c>
      <c r="CN217">
        <v>425</v>
      </c>
      <c r="CO217">
        <v>157</v>
      </c>
      <c r="CP217"/>
      <c r="CQ217"/>
      <c r="CR217"/>
      <c r="CS217" t="s">
        <v>2397</v>
      </c>
      <c r="CT217">
        <v>4</v>
      </c>
      <c r="CU217"/>
      <c r="CV217"/>
      <c r="CW217"/>
      <c r="CX217"/>
      <c r="CY217"/>
      <c r="CZ217"/>
      <c r="DA217"/>
      <c r="DB217"/>
      <c r="DC217"/>
      <c r="DD217"/>
      <c r="DE217"/>
      <c r="DF217"/>
      <c r="DG217"/>
      <c r="DH217"/>
      <c r="DI217"/>
      <c r="DJ217"/>
      <c r="DK217"/>
      <c r="DL217"/>
      <c r="DM217"/>
      <c r="DN217"/>
      <c r="DO217"/>
      <c r="DP217"/>
      <c r="DQ217"/>
      <c r="DR217"/>
      <c r="DS217"/>
      <c r="DT217"/>
      <c r="DU217"/>
      <c r="DV217">
        <v>143</v>
      </c>
      <c r="DW217" t="s">
        <v>2845</v>
      </c>
      <c r="DX217"/>
      <c r="DY217"/>
      <c r="DZ217"/>
      <c r="EA217"/>
      <c r="EB217"/>
      <c r="EC217"/>
      <c r="ED217"/>
      <c r="EE217"/>
      <c r="EF217">
        <v>138</v>
      </c>
      <c r="EG217" t="s">
        <v>2845</v>
      </c>
      <c r="EH217"/>
      <c r="EI217"/>
      <c r="EJ217"/>
      <c r="EK217"/>
      <c r="EL217"/>
      <c r="EM217"/>
      <c r="EN217"/>
      <c r="EO217"/>
      <c r="EP217"/>
      <c r="EQ217"/>
      <c r="ER217"/>
      <c r="ES217" s="569">
        <v>843</v>
      </c>
      <c r="ET217" t="s">
        <v>1029</v>
      </c>
      <c r="EU217" t="s">
        <v>1030</v>
      </c>
      <c r="EV217" t="s">
        <v>3052</v>
      </c>
      <c r="EW217" t="s">
        <v>54</v>
      </c>
      <c r="EX217" s="600">
        <v>56345</v>
      </c>
      <c r="EY217"/>
    </row>
    <row r="218" spans="1:155" x14ac:dyDescent="0.2">
      <c r="A218" s="598">
        <v>1333</v>
      </c>
      <c r="B218" t="s">
        <v>2176</v>
      </c>
      <c r="C218" t="s">
        <v>1578</v>
      </c>
      <c r="D218" t="s">
        <v>1579</v>
      </c>
      <c r="E218"/>
      <c r="F218"/>
      <c r="G218" t="s">
        <v>1580</v>
      </c>
      <c r="H218" t="s">
        <v>2844</v>
      </c>
      <c r="I218"/>
      <c r="J218" t="s">
        <v>1579</v>
      </c>
      <c r="K218"/>
      <c r="L218" t="s">
        <v>1578</v>
      </c>
      <c r="M218" t="s">
        <v>1581</v>
      </c>
      <c r="N218" t="s">
        <v>1580</v>
      </c>
      <c r="O218" t="s">
        <v>2844</v>
      </c>
      <c r="P218"/>
      <c r="Q218">
        <v>6088399050</v>
      </c>
      <c r="R218">
        <v>6088398950</v>
      </c>
      <c r="S218" t="s">
        <v>1492</v>
      </c>
      <c r="T218" t="s">
        <v>1582</v>
      </c>
      <c r="U218" t="s">
        <v>1084</v>
      </c>
      <c r="V218" t="s">
        <v>1583</v>
      </c>
      <c r="W218" t="s">
        <v>1584</v>
      </c>
      <c r="X218" t="s">
        <v>1585</v>
      </c>
      <c r="Y218" t="s">
        <v>1586</v>
      </c>
      <c r="Z218" t="s">
        <v>2098</v>
      </c>
      <c r="AA218" t="s">
        <v>1587</v>
      </c>
      <c r="AB218">
        <v>6088399050</v>
      </c>
      <c r="AC218">
        <v>1113</v>
      </c>
      <c r="AD218">
        <v>6088398950</v>
      </c>
      <c r="AE218" t="s">
        <v>1588</v>
      </c>
      <c r="AF218" t="s">
        <v>1579</v>
      </c>
      <c r="AG218"/>
      <c r="AH218" t="s">
        <v>1578</v>
      </c>
      <c r="AI218" t="s">
        <v>1581</v>
      </c>
      <c r="AJ218" t="s">
        <v>1580</v>
      </c>
      <c r="AK218" t="s">
        <v>2844</v>
      </c>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t="s">
        <v>1589</v>
      </c>
      <c r="CG218" t="s">
        <v>1587</v>
      </c>
      <c r="CH218" t="s">
        <v>142</v>
      </c>
      <c r="CI218"/>
      <c r="CJ218"/>
      <c r="CK218"/>
      <c r="CL218"/>
      <c r="CM218">
        <v>1295785079</v>
      </c>
      <c r="CN218">
        <v>425</v>
      </c>
      <c r="CO218">
        <v>157</v>
      </c>
      <c r="CP218"/>
      <c r="CQ218"/>
      <c r="CR218"/>
      <c r="CS218" t="s">
        <v>2397</v>
      </c>
      <c r="CT218">
        <v>12</v>
      </c>
      <c r="CU218"/>
      <c r="CV218"/>
      <c r="CW218"/>
      <c r="CX218"/>
      <c r="CY218"/>
      <c r="CZ218"/>
      <c r="DA218"/>
      <c r="DB218"/>
      <c r="DC218"/>
      <c r="DD218"/>
      <c r="DE218"/>
      <c r="DF218"/>
      <c r="DG218"/>
      <c r="DH218"/>
      <c r="DI218"/>
      <c r="DJ218"/>
      <c r="DK218"/>
      <c r="DL218"/>
      <c r="DM218"/>
      <c r="DN218"/>
      <c r="DO218"/>
      <c r="DP218"/>
      <c r="DQ218"/>
      <c r="DR218"/>
      <c r="DS218"/>
      <c r="DT218"/>
      <c r="DU218"/>
      <c r="DV218">
        <v>143</v>
      </c>
      <c r="DW218" t="s">
        <v>2845</v>
      </c>
      <c r="DX218"/>
      <c r="DY218"/>
      <c r="DZ218"/>
      <c r="EA218"/>
      <c r="EB218"/>
      <c r="EC218"/>
      <c r="ED218"/>
      <c r="EE218"/>
      <c r="EF218">
        <v>138</v>
      </c>
      <c r="EG218" t="s">
        <v>2845</v>
      </c>
      <c r="EH218"/>
      <c r="EI218"/>
      <c r="EJ218"/>
      <c r="EK218"/>
      <c r="EL218"/>
      <c r="EM218"/>
      <c r="EN218"/>
      <c r="EO218"/>
      <c r="EP218"/>
      <c r="EQ218"/>
      <c r="ER218"/>
      <c r="ES218" s="569">
        <v>136</v>
      </c>
      <c r="ET218" t="s">
        <v>1867</v>
      </c>
      <c r="EU218" t="s">
        <v>1030</v>
      </c>
      <c r="EV218" t="s">
        <v>2303</v>
      </c>
      <c r="EW218" t="s">
        <v>54</v>
      </c>
      <c r="EX218" s="599">
        <v>56345</v>
      </c>
      <c r="EY218">
        <v>1780630939</v>
      </c>
    </row>
    <row r="219" spans="1:155" x14ac:dyDescent="0.2">
      <c r="A219" s="598">
        <v>1132</v>
      </c>
      <c r="B219" t="s">
        <v>2851</v>
      </c>
      <c r="C219" t="s">
        <v>1578</v>
      </c>
      <c r="D219" t="s">
        <v>1579</v>
      </c>
      <c r="E219"/>
      <c r="F219"/>
      <c r="G219" t="s">
        <v>1580</v>
      </c>
      <c r="H219" t="s">
        <v>2844</v>
      </c>
      <c r="I219"/>
      <c r="J219" t="s">
        <v>1579</v>
      </c>
      <c r="K219"/>
      <c r="L219" t="s">
        <v>1578</v>
      </c>
      <c r="M219" t="s">
        <v>1581</v>
      </c>
      <c r="N219" t="s">
        <v>1580</v>
      </c>
      <c r="O219" t="s">
        <v>2844</v>
      </c>
      <c r="P219"/>
      <c r="Q219">
        <v>6088399050</v>
      </c>
      <c r="R219">
        <v>6088398950</v>
      </c>
      <c r="S219" t="s">
        <v>1492</v>
      </c>
      <c r="T219" t="s">
        <v>1582</v>
      </c>
      <c r="U219" t="s">
        <v>1084</v>
      </c>
      <c r="V219" t="s">
        <v>1583</v>
      </c>
      <c r="W219" t="s">
        <v>1584</v>
      </c>
      <c r="X219" t="s">
        <v>1585</v>
      </c>
      <c r="Y219" t="s">
        <v>1586</v>
      </c>
      <c r="Z219" t="s">
        <v>2098</v>
      </c>
      <c r="AA219" t="s">
        <v>1587</v>
      </c>
      <c r="AB219">
        <v>6088399050</v>
      </c>
      <c r="AC219">
        <v>1113</v>
      </c>
      <c r="AD219">
        <v>6088398950</v>
      </c>
      <c r="AE219" t="s">
        <v>1588</v>
      </c>
      <c r="AF219" t="s">
        <v>1579</v>
      </c>
      <c r="AG219"/>
      <c r="AH219" t="s">
        <v>1578</v>
      </c>
      <c r="AI219" t="s">
        <v>1581</v>
      </c>
      <c r="AJ219" t="s">
        <v>1580</v>
      </c>
      <c r="AK219" t="s">
        <v>2844</v>
      </c>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t="s">
        <v>1589</v>
      </c>
      <c r="CG219" t="s">
        <v>1587</v>
      </c>
      <c r="CH219" t="s">
        <v>142</v>
      </c>
      <c r="CI219"/>
      <c r="CJ219"/>
      <c r="CK219"/>
      <c r="CL219"/>
      <c r="CM219">
        <v>1295785079</v>
      </c>
      <c r="CN219">
        <v>425</v>
      </c>
      <c r="CO219">
        <v>157</v>
      </c>
      <c r="CP219"/>
      <c r="CQ219"/>
      <c r="CR219"/>
      <c r="CS219" t="s">
        <v>2397</v>
      </c>
      <c r="CT219">
        <v>12</v>
      </c>
      <c r="CU219"/>
      <c r="CV219"/>
      <c r="CW219"/>
      <c r="CX219"/>
      <c r="CY219"/>
      <c r="CZ219"/>
      <c r="DA219"/>
      <c r="DB219"/>
      <c r="DC219"/>
      <c r="DD219"/>
      <c r="DE219"/>
      <c r="DF219"/>
      <c r="DG219"/>
      <c r="DH219"/>
      <c r="DI219"/>
      <c r="DJ219"/>
      <c r="DK219"/>
      <c r="DL219"/>
      <c r="DM219"/>
      <c r="DN219"/>
      <c r="DO219"/>
      <c r="DP219"/>
      <c r="DQ219"/>
      <c r="DR219"/>
      <c r="DS219"/>
      <c r="DT219"/>
      <c r="DU219"/>
      <c r="DV219"/>
      <c r="DW219"/>
      <c r="DX219">
        <v>135</v>
      </c>
      <c r="DY219" t="s">
        <v>2845</v>
      </c>
      <c r="DZ219"/>
      <c r="EA219"/>
      <c r="EB219"/>
      <c r="EC219"/>
      <c r="ED219"/>
      <c r="EE219"/>
      <c r="EF219">
        <v>138</v>
      </c>
      <c r="EG219" t="s">
        <v>2852</v>
      </c>
      <c r="EH219"/>
      <c r="EI219"/>
      <c r="EJ219"/>
      <c r="EK219"/>
      <c r="EL219"/>
      <c r="EM219"/>
      <c r="EN219"/>
      <c r="EO219"/>
      <c r="EP219"/>
      <c r="EQ219"/>
      <c r="ER219"/>
      <c r="ES219" s="569">
        <v>76</v>
      </c>
      <c r="ET219" t="s">
        <v>1868</v>
      </c>
      <c r="EU219" t="s">
        <v>885</v>
      </c>
      <c r="EV219" t="s">
        <v>3053</v>
      </c>
      <c r="EW219" t="s">
        <v>54</v>
      </c>
      <c r="EX219" s="599">
        <v>56347</v>
      </c>
      <c r="EY219">
        <v>1164471678</v>
      </c>
    </row>
    <row r="220" spans="1:155" x14ac:dyDescent="0.2">
      <c r="A220" s="598">
        <v>1413</v>
      </c>
      <c r="B220" t="s">
        <v>2853</v>
      </c>
      <c r="C220" t="s">
        <v>1578</v>
      </c>
      <c r="D220" t="s">
        <v>1579</v>
      </c>
      <c r="E220"/>
      <c r="F220"/>
      <c r="G220" t="s">
        <v>1580</v>
      </c>
      <c r="H220" t="s">
        <v>2844</v>
      </c>
      <c r="I220"/>
      <c r="J220" t="s">
        <v>1579</v>
      </c>
      <c r="K220"/>
      <c r="L220" t="s">
        <v>1578</v>
      </c>
      <c r="M220" t="s">
        <v>1581</v>
      </c>
      <c r="N220" t="s">
        <v>1580</v>
      </c>
      <c r="O220" t="s">
        <v>2844</v>
      </c>
      <c r="P220"/>
      <c r="Q220">
        <v>6088399050</v>
      </c>
      <c r="R220">
        <v>6088398950</v>
      </c>
      <c r="S220" t="s">
        <v>1492</v>
      </c>
      <c r="T220" t="s">
        <v>1582</v>
      </c>
      <c r="U220" t="s">
        <v>1084</v>
      </c>
      <c r="V220" t="s">
        <v>1583</v>
      </c>
      <c r="W220" t="s">
        <v>1584</v>
      </c>
      <c r="X220" t="s">
        <v>1585</v>
      </c>
      <c r="Y220" t="s">
        <v>1586</v>
      </c>
      <c r="Z220" t="s">
        <v>2098</v>
      </c>
      <c r="AA220" t="s">
        <v>1587</v>
      </c>
      <c r="AB220">
        <v>6088399050</v>
      </c>
      <c r="AC220">
        <v>1113</v>
      </c>
      <c r="AD220">
        <v>6088398950</v>
      </c>
      <c r="AE220" t="s">
        <v>1588</v>
      </c>
      <c r="AF220" t="s">
        <v>1579</v>
      </c>
      <c r="AG220"/>
      <c r="AH220" t="s">
        <v>1578</v>
      </c>
      <c r="AI220" t="s">
        <v>1581</v>
      </c>
      <c r="AJ220" t="s">
        <v>1580</v>
      </c>
      <c r="AK220" t="s">
        <v>2844</v>
      </c>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t="s">
        <v>1589</v>
      </c>
      <c r="CG220" t="s">
        <v>1587</v>
      </c>
      <c r="CH220" t="s">
        <v>142</v>
      </c>
      <c r="CI220"/>
      <c r="CJ220"/>
      <c r="CK220"/>
      <c r="CL220"/>
      <c r="CM220">
        <v>1295785079</v>
      </c>
      <c r="CN220">
        <v>425</v>
      </c>
      <c r="CO220">
        <v>157</v>
      </c>
      <c r="CP220"/>
      <c r="CQ220"/>
      <c r="CR220"/>
      <c r="CS220" t="s">
        <v>2397</v>
      </c>
      <c r="CT220">
        <v>12</v>
      </c>
      <c r="CU220"/>
      <c r="CV220"/>
      <c r="CW220"/>
      <c r="CX220"/>
      <c r="CY220"/>
      <c r="CZ220"/>
      <c r="DA220"/>
      <c r="DB220"/>
      <c r="DC220"/>
      <c r="DD220"/>
      <c r="DE220"/>
      <c r="DF220"/>
      <c r="DG220"/>
      <c r="DH220"/>
      <c r="DI220"/>
      <c r="DJ220"/>
      <c r="DK220"/>
      <c r="DL220"/>
      <c r="DM220"/>
      <c r="DN220"/>
      <c r="DO220"/>
      <c r="DP220"/>
      <c r="DQ220"/>
      <c r="DR220"/>
      <c r="DS220"/>
      <c r="DT220">
        <v>141</v>
      </c>
      <c r="DU220" t="s">
        <v>2845</v>
      </c>
      <c r="DV220"/>
      <c r="DW220"/>
      <c r="DX220"/>
      <c r="DY220"/>
      <c r="DZ220"/>
      <c r="EA220"/>
      <c r="EB220"/>
      <c r="EC220"/>
      <c r="ED220"/>
      <c r="EE220"/>
      <c r="EF220">
        <v>138</v>
      </c>
      <c r="EG220" t="s">
        <v>2845</v>
      </c>
      <c r="EH220"/>
      <c r="EI220"/>
      <c r="EJ220"/>
      <c r="EK220"/>
      <c r="EL220"/>
      <c r="EM220"/>
      <c r="EN220"/>
      <c r="EO220"/>
      <c r="EP220"/>
      <c r="EQ220"/>
      <c r="ER220"/>
      <c r="ES220" s="569">
        <v>844</v>
      </c>
      <c r="ET220" t="s">
        <v>884</v>
      </c>
      <c r="EU220" t="s">
        <v>885</v>
      </c>
      <c r="EV220" t="s">
        <v>3054</v>
      </c>
      <c r="EW220" t="s">
        <v>54</v>
      </c>
      <c r="EX220" s="600">
        <v>56347</v>
      </c>
      <c r="EY220"/>
    </row>
    <row r="221" spans="1:155" x14ac:dyDescent="0.2">
      <c r="A221" s="598">
        <v>1334</v>
      </c>
      <c r="B221" t="s">
        <v>2177</v>
      </c>
      <c r="C221" t="s">
        <v>1578</v>
      </c>
      <c r="D221" t="s">
        <v>1579</v>
      </c>
      <c r="E221"/>
      <c r="F221"/>
      <c r="G221" t="s">
        <v>1580</v>
      </c>
      <c r="H221" t="s">
        <v>2844</v>
      </c>
      <c r="I221"/>
      <c r="J221" t="s">
        <v>1579</v>
      </c>
      <c r="K221"/>
      <c r="L221" t="s">
        <v>1578</v>
      </c>
      <c r="M221" t="s">
        <v>1581</v>
      </c>
      <c r="N221" t="s">
        <v>1580</v>
      </c>
      <c r="O221" t="s">
        <v>2844</v>
      </c>
      <c r="P221"/>
      <c r="Q221">
        <v>6088399050</v>
      </c>
      <c r="R221">
        <v>6088398950</v>
      </c>
      <c r="S221" t="s">
        <v>1492</v>
      </c>
      <c r="T221" t="s">
        <v>1582</v>
      </c>
      <c r="U221" t="s">
        <v>1084</v>
      </c>
      <c r="V221" t="s">
        <v>1583</v>
      </c>
      <c r="W221" t="s">
        <v>1584</v>
      </c>
      <c r="X221" t="s">
        <v>1585</v>
      </c>
      <c r="Y221" t="s">
        <v>1586</v>
      </c>
      <c r="Z221" t="s">
        <v>2098</v>
      </c>
      <c r="AA221" t="s">
        <v>1587</v>
      </c>
      <c r="AB221">
        <v>6088399050</v>
      </c>
      <c r="AC221">
        <v>1113</v>
      </c>
      <c r="AD221">
        <v>6088398950</v>
      </c>
      <c r="AE221" t="s">
        <v>1588</v>
      </c>
      <c r="AF221" t="s">
        <v>1579</v>
      </c>
      <c r="AG221"/>
      <c r="AH221" t="s">
        <v>1578</v>
      </c>
      <c r="AI221" t="s">
        <v>1581</v>
      </c>
      <c r="AJ221" t="s">
        <v>1580</v>
      </c>
      <c r="AK221" t="s">
        <v>2844</v>
      </c>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t="s">
        <v>1589</v>
      </c>
      <c r="CG221" t="s">
        <v>1587</v>
      </c>
      <c r="CH221" t="s">
        <v>142</v>
      </c>
      <c r="CI221"/>
      <c r="CJ221"/>
      <c r="CK221"/>
      <c r="CL221"/>
      <c r="CM221">
        <v>1295785079</v>
      </c>
      <c r="CN221">
        <v>425</v>
      </c>
      <c r="CO221">
        <v>157</v>
      </c>
      <c r="CP221"/>
      <c r="CQ221"/>
      <c r="CR221"/>
      <c r="CS221" t="s">
        <v>2397</v>
      </c>
      <c r="CT221">
        <v>12</v>
      </c>
      <c r="CU221"/>
      <c r="CV221"/>
      <c r="CW221"/>
      <c r="CX221"/>
      <c r="CY221"/>
      <c r="CZ221"/>
      <c r="DA221"/>
      <c r="DB221"/>
      <c r="DC221"/>
      <c r="DD221"/>
      <c r="DE221"/>
      <c r="DF221"/>
      <c r="DG221"/>
      <c r="DH221"/>
      <c r="DI221"/>
      <c r="DJ221"/>
      <c r="DK221"/>
      <c r="DL221"/>
      <c r="DM221"/>
      <c r="DN221"/>
      <c r="DO221"/>
      <c r="DP221"/>
      <c r="DQ221"/>
      <c r="DR221"/>
      <c r="DS221"/>
      <c r="DT221">
        <v>141</v>
      </c>
      <c r="DU221" t="s">
        <v>2845</v>
      </c>
      <c r="DV221"/>
      <c r="DW221"/>
      <c r="DX221"/>
      <c r="DY221"/>
      <c r="DZ221"/>
      <c r="EA221"/>
      <c r="EB221"/>
      <c r="EC221"/>
      <c r="ED221"/>
      <c r="EE221"/>
      <c r="EF221">
        <v>138</v>
      </c>
      <c r="EG221" t="s">
        <v>2845</v>
      </c>
      <c r="EH221"/>
      <c r="EI221"/>
      <c r="EJ221"/>
      <c r="EK221"/>
      <c r="EL221"/>
      <c r="EM221"/>
      <c r="EN221"/>
      <c r="EO221"/>
      <c r="EP221"/>
      <c r="EQ221"/>
      <c r="ER221"/>
      <c r="ES221" s="569">
        <v>1399</v>
      </c>
      <c r="ET221" t="s">
        <v>2478</v>
      </c>
      <c r="EU221" t="s">
        <v>2216</v>
      </c>
      <c r="EV221" t="s">
        <v>3055</v>
      </c>
      <c r="EW221" t="s">
        <v>2213</v>
      </c>
      <c r="EX221" s="600">
        <v>95650</v>
      </c>
      <c r="EY221"/>
    </row>
    <row r="222" spans="1:155" x14ac:dyDescent="0.2">
      <c r="A222" s="598">
        <v>1414</v>
      </c>
      <c r="B222" t="s">
        <v>2854</v>
      </c>
      <c r="C222" t="s">
        <v>1578</v>
      </c>
      <c r="D222" t="s">
        <v>1579</v>
      </c>
      <c r="E222"/>
      <c r="F222"/>
      <c r="G222" t="s">
        <v>1580</v>
      </c>
      <c r="H222" t="s">
        <v>2844</v>
      </c>
      <c r="I222"/>
      <c r="J222" t="s">
        <v>1579</v>
      </c>
      <c r="K222"/>
      <c r="L222" t="s">
        <v>1578</v>
      </c>
      <c r="M222" t="s">
        <v>1581</v>
      </c>
      <c r="N222" t="s">
        <v>1580</v>
      </c>
      <c r="O222" t="s">
        <v>2844</v>
      </c>
      <c r="P222"/>
      <c r="Q222">
        <v>6088399050</v>
      </c>
      <c r="R222">
        <v>6088398950</v>
      </c>
      <c r="S222" t="s">
        <v>1492</v>
      </c>
      <c r="T222" t="s">
        <v>1582</v>
      </c>
      <c r="U222" t="s">
        <v>1084</v>
      </c>
      <c r="V222" t="s">
        <v>1583</v>
      </c>
      <c r="W222" t="s">
        <v>1584</v>
      </c>
      <c r="X222" t="s">
        <v>1585</v>
      </c>
      <c r="Y222" t="s">
        <v>1586</v>
      </c>
      <c r="Z222" t="s">
        <v>2098</v>
      </c>
      <c r="AA222" t="s">
        <v>1587</v>
      </c>
      <c r="AB222">
        <v>6088399050</v>
      </c>
      <c r="AC222">
        <v>1113</v>
      </c>
      <c r="AD222">
        <v>6088398950</v>
      </c>
      <c r="AE222" t="s">
        <v>1588</v>
      </c>
      <c r="AF222" t="s">
        <v>1579</v>
      </c>
      <c r="AG222"/>
      <c r="AH222" t="s">
        <v>1578</v>
      </c>
      <c r="AI222" t="s">
        <v>1581</v>
      </c>
      <c r="AJ222" t="s">
        <v>1580</v>
      </c>
      <c r="AK222" t="s">
        <v>2844</v>
      </c>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t="s">
        <v>1589</v>
      </c>
      <c r="CG222" t="s">
        <v>1587</v>
      </c>
      <c r="CH222" t="s">
        <v>142</v>
      </c>
      <c r="CI222"/>
      <c r="CJ222"/>
      <c r="CK222"/>
      <c r="CL222"/>
      <c r="CM222">
        <v>1295785079</v>
      </c>
      <c r="CN222">
        <v>425</v>
      </c>
      <c r="CO222">
        <v>157</v>
      </c>
      <c r="CP222"/>
      <c r="CQ222"/>
      <c r="CR222"/>
      <c r="CS222" t="s">
        <v>2397</v>
      </c>
      <c r="CT222">
        <v>12</v>
      </c>
      <c r="CU222"/>
      <c r="CV222"/>
      <c r="CW222"/>
      <c r="CX222"/>
      <c r="CY222"/>
      <c r="CZ222"/>
      <c r="DA222"/>
      <c r="DB222"/>
      <c r="DC222"/>
      <c r="DD222"/>
      <c r="DE222"/>
      <c r="DF222"/>
      <c r="DG222"/>
      <c r="DH222"/>
      <c r="DI222"/>
      <c r="DJ222"/>
      <c r="DK222"/>
      <c r="DL222"/>
      <c r="DM222"/>
      <c r="DN222"/>
      <c r="DO222"/>
      <c r="DP222"/>
      <c r="DQ222"/>
      <c r="DR222"/>
      <c r="DS222"/>
      <c r="DT222">
        <v>141</v>
      </c>
      <c r="DU222" t="s">
        <v>2845</v>
      </c>
      <c r="DV222"/>
      <c r="DW222"/>
      <c r="DX222"/>
      <c r="DY222"/>
      <c r="DZ222"/>
      <c r="EA222"/>
      <c r="EB222"/>
      <c r="EC222"/>
      <c r="ED222"/>
      <c r="EE222"/>
      <c r="EF222">
        <v>138</v>
      </c>
      <c r="EG222" t="s">
        <v>2845</v>
      </c>
      <c r="EH222"/>
      <c r="EI222"/>
      <c r="EJ222"/>
      <c r="EK222"/>
      <c r="EL222"/>
      <c r="EM222"/>
      <c r="EN222"/>
      <c r="EO222"/>
      <c r="EP222"/>
      <c r="EQ222"/>
      <c r="ER222"/>
      <c r="ES222" s="569">
        <v>1143</v>
      </c>
      <c r="ET222" t="s">
        <v>2480</v>
      </c>
      <c r="EU222" t="s">
        <v>2216</v>
      </c>
      <c r="EV222" t="s">
        <v>3055</v>
      </c>
      <c r="EW222" t="s">
        <v>2213</v>
      </c>
      <c r="EX222" s="600">
        <v>95650</v>
      </c>
      <c r="EY222"/>
    </row>
    <row r="223" spans="1:155" x14ac:dyDescent="0.2">
      <c r="A223" s="598">
        <v>1133</v>
      </c>
      <c r="B223" t="s">
        <v>1594</v>
      </c>
      <c r="C223" t="s">
        <v>1578</v>
      </c>
      <c r="D223" t="s">
        <v>1579</v>
      </c>
      <c r="E223"/>
      <c r="F223"/>
      <c r="G223" t="s">
        <v>1580</v>
      </c>
      <c r="H223" t="s">
        <v>2844</v>
      </c>
      <c r="I223"/>
      <c r="J223" t="s">
        <v>1579</v>
      </c>
      <c r="K223"/>
      <c r="L223" t="s">
        <v>1578</v>
      </c>
      <c r="M223" t="s">
        <v>1581</v>
      </c>
      <c r="N223" t="s">
        <v>1580</v>
      </c>
      <c r="O223" t="s">
        <v>2844</v>
      </c>
      <c r="P223"/>
      <c r="Q223">
        <v>6088399050</v>
      </c>
      <c r="R223">
        <v>6088398950</v>
      </c>
      <c r="S223" t="s">
        <v>1492</v>
      </c>
      <c r="T223" t="s">
        <v>1582</v>
      </c>
      <c r="U223" t="s">
        <v>1084</v>
      </c>
      <c r="V223" t="s">
        <v>1583</v>
      </c>
      <c r="W223" t="s">
        <v>1584</v>
      </c>
      <c r="X223" t="s">
        <v>1585</v>
      </c>
      <c r="Y223" t="s">
        <v>1586</v>
      </c>
      <c r="Z223" t="s">
        <v>2098</v>
      </c>
      <c r="AA223" t="s">
        <v>1587</v>
      </c>
      <c r="AB223">
        <v>6088399050</v>
      </c>
      <c r="AC223">
        <v>1113</v>
      </c>
      <c r="AD223">
        <v>6088398950</v>
      </c>
      <c r="AE223" t="s">
        <v>1588</v>
      </c>
      <c r="AF223" t="s">
        <v>1579</v>
      </c>
      <c r="AG223"/>
      <c r="AH223" t="s">
        <v>1578</v>
      </c>
      <c r="AI223" t="s">
        <v>1581</v>
      </c>
      <c r="AJ223" t="s">
        <v>1580</v>
      </c>
      <c r="AK223" t="s">
        <v>2844</v>
      </c>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t="s">
        <v>1589</v>
      </c>
      <c r="CG223" t="s">
        <v>1587</v>
      </c>
      <c r="CH223" t="s">
        <v>142</v>
      </c>
      <c r="CI223"/>
      <c r="CJ223"/>
      <c r="CK223"/>
      <c r="CL223"/>
      <c r="CM223">
        <v>1295785079</v>
      </c>
      <c r="CN223">
        <v>425</v>
      </c>
      <c r="CO223">
        <v>157</v>
      </c>
      <c r="CP223"/>
      <c r="CQ223"/>
      <c r="CR223"/>
      <c r="CS223" t="s">
        <v>2397</v>
      </c>
      <c r="CT223">
        <v>12</v>
      </c>
      <c r="CU223"/>
      <c r="CV223"/>
      <c r="CW223"/>
      <c r="CX223"/>
      <c r="CY223"/>
      <c r="CZ223"/>
      <c r="DA223"/>
      <c r="DB223"/>
      <c r="DC223"/>
      <c r="DD223"/>
      <c r="DE223"/>
      <c r="DF223"/>
      <c r="DG223"/>
      <c r="DH223"/>
      <c r="DI223"/>
      <c r="DJ223"/>
      <c r="DK223"/>
      <c r="DL223"/>
      <c r="DM223"/>
      <c r="DN223"/>
      <c r="DO223"/>
      <c r="DP223"/>
      <c r="DQ223"/>
      <c r="DR223"/>
      <c r="DS223"/>
      <c r="DT223">
        <v>141</v>
      </c>
      <c r="DU223" t="s">
        <v>2845</v>
      </c>
      <c r="DV223"/>
      <c r="DW223"/>
      <c r="DX223"/>
      <c r="DY223"/>
      <c r="DZ223"/>
      <c r="EA223"/>
      <c r="EB223"/>
      <c r="EC223"/>
      <c r="ED223"/>
      <c r="EE223"/>
      <c r="EF223">
        <v>138</v>
      </c>
      <c r="EG223" t="s">
        <v>2845</v>
      </c>
      <c r="EH223"/>
      <c r="EI223"/>
      <c r="EJ223"/>
      <c r="EK223"/>
      <c r="EL223"/>
      <c r="EM223"/>
      <c r="EN223"/>
      <c r="EO223"/>
      <c r="EP223"/>
      <c r="EQ223"/>
      <c r="ER223"/>
      <c r="ES223" s="569">
        <v>1403</v>
      </c>
      <c r="ET223" t="s">
        <v>2481</v>
      </c>
      <c r="EU223" t="s">
        <v>2216</v>
      </c>
      <c r="EV223" t="s">
        <v>3055</v>
      </c>
      <c r="EW223" t="s">
        <v>2213</v>
      </c>
      <c r="EX223" s="600">
        <v>95650</v>
      </c>
      <c r="EY223"/>
    </row>
    <row r="224" spans="1:155" x14ac:dyDescent="0.2">
      <c r="A224" s="598">
        <v>1346</v>
      </c>
      <c r="B224" t="s">
        <v>2178</v>
      </c>
      <c r="C224" t="s">
        <v>1599</v>
      </c>
      <c r="D224" t="s">
        <v>1598</v>
      </c>
      <c r="E224" t="s">
        <v>2368</v>
      </c>
      <c r="F224"/>
      <c r="G224" t="s">
        <v>54</v>
      </c>
      <c r="H224" t="s">
        <v>2855</v>
      </c>
      <c r="I224" t="s">
        <v>2368</v>
      </c>
      <c r="J224" t="s">
        <v>1598</v>
      </c>
      <c r="K224" t="s">
        <v>2368</v>
      </c>
      <c r="L224" t="s">
        <v>1599</v>
      </c>
      <c r="M224"/>
      <c r="N224" t="s">
        <v>54</v>
      </c>
      <c r="O224" t="s">
        <v>2855</v>
      </c>
      <c r="P224" t="s">
        <v>2368</v>
      </c>
      <c r="Q224">
        <v>2184444130</v>
      </c>
      <c r="R224">
        <v>2183330201</v>
      </c>
      <c r="S224" t="s">
        <v>1330</v>
      </c>
      <c r="T224" t="s">
        <v>2100</v>
      </c>
      <c r="U224" t="s">
        <v>2101</v>
      </c>
      <c r="V224" t="s">
        <v>2102</v>
      </c>
      <c r="W224" t="s">
        <v>1601</v>
      </c>
      <c r="X224" t="s">
        <v>1330</v>
      </c>
      <c r="Y224" t="s">
        <v>2100</v>
      </c>
      <c r="Z224" t="s">
        <v>2103</v>
      </c>
      <c r="AA224" t="s">
        <v>1602</v>
      </c>
      <c r="AB224">
        <v>8003527254</v>
      </c>
      <c r="AC224"/>
      <c r="AD224">
        <v>7152347394</v>
      </c>
      <c r="AE224" t="s">
        <v>2102</v>
      </c>
      <c r="AF224" t="s">
        <v>1603</v>
      </c>
      <c r="AG224"/>
      <c r="AH224" t="s">
        <v>1604</v>
      </c>
      <c r="AI224" t="s">
        <v>1605</v>
      </c>
      <c r="AJ224" t="s">
        <v>1580</v>
      </c>
      <c r="AK224" t="s">
        <v>2856</v>
      </c>
      <c r="AL224"/>
      <c r="AM224" t="s">
        <v>1153</v>
      </c>
      <c r="AN224" t="s">
        <v>2104</v>
      </c>
      <c r="AO224" t="s">
        <v>2105</v>
      </c>
      <c r="AP224" t="s">
        <v>1602</v>
      </c>
      <c r="AQ224">
        <v>2184444130</v>
      </c>
      <c r="AR224"/>
      <c r="AS224">
        <v>2183330201</v>
      </c>
      <c r="AT224" t="s">
        <v>2106</v>
      </c>
      <c r="AU224" t="s">
        <v>1598</v>
      </c>
      <c r="AV224"/>
      <c r="AW224" t="s">
        <v>1599</v>
      </c>
      <c r="AX224" t="s">
        <v>1600</v>
      </c>
      <c r="AY224" t="s">
        <v>54</v>
      </c>
      <c r="AZ224" t="s">
        <v>2855</v>
      </c>
      <c r="BA224"/>
      <c r="BB224" t="s">
        <v>1606</v>
      </c>
      <c r="BC224" t="s">
        <v>1607</v>
      </c>
      <c r="BD224" t="s">
        <v>1084</v>
      </c>
      <c r="BE224" t="s">
        <v>1602</v>
      </c>
      <c r="BF224">
        <v>7152346518</v>
      </c>
      <c r="BG224"/>
      <c r="BH224">
        <v>7152347394</v>
      </c>
      <c r="BI224" t="s">
        <v>1608</v>
      </c>
      <c r="BJ224" t="s">
        <v>1603</v>
      </c>
      <c r="BK224"/>
      <c r="BL224" t="s">
        <v>1604</v>
      </c>
      <c r="BM224" t="s">
        <v>1605</v>
      </c>
      <c r="BN224" t="s">
        <v>1580</v>
      </c>
      <c r="BO224" t="s">
        <v>2856</v>
      </c>
      <c r="BP224"/>
      <c r="BQ224"/>
      <c r="BR224"/>
      <c r="BS224"/>
      <c r="BT224"/>
      <c r="BU224"/>
      <c r="BV224"/>
      <c r="BW224"/>
      <c r="BX224"/>
      <c r="BY224"/>
      <c r="BZ224"/>
      <c r="CA224"/>
      <c r="CB224"/>
      <c r="CC224"/>
      <c r="CD224"/>
      <c r="CE224"/>
      <c r="CF224" t="s">
        <v>1609</v>
      </c>
      <c r="CG224" t="s">
        <v>1610</v>
      </c>
      <c r="CH224" t="s">
        <v>141</v>
      </c>
      <c r="CI224"/>
      <c r="CJ224"/>
      <c r="CK224"/>
      <c r="CL224"/>
      <c r="CM224">
        <v>1679528194</v>
      </c>
      <c r="CN224"/>
      <c r="CO224">
        <v>146</v>
      </c>
      <c r="CP224">
        <v>164</v>
      </c>
      <c r="CQ224">
        <v>165</v>
      </c>
      <c r="CR224"/>
      <c r="CS224" t="s">
        <v>2397</v>
      </c>
      <c r="CT224">
        <v>12</v>
      </c>
      <c r="CU224"/>
      <c r="CV224"/>
      <c r="CW224"/>
      <c r="CX224" t="s">
        <v>2368</v>
      </c>
      <c r="CY224"/>
      <c r="CZ224" t="s">
        <v>2368</v>
      </c>
      <c r="DA224" t="s">
        <v>2368</v>
      </c>
      <c r="DB224" t="s">
        <v>2368</v>
      </c>
      <c r="DC224" t="s">
        <v>2368</v>
      </c>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s="569">
        <v>1404</v>
      </c>
      <c r="ET224" t="s">
        <v>2482</v>
      </c>
      <c r="EU224" t="s">
        <v>2216</v>
      </c>
      <c r="EV224" t="s">
        <v>3055</v>
      </c>
      <c r="EW224" t="s">
        <v>2213</v>
      </c>
      <c r="EX224" s="600">
        <v>95650</v>
      </c>
      <c r="EY224"/>
    </row>
    <row r="225" spans="1:155" x14ac:dyDescent="0.2">
      <c r="A225" s="598">
        <v>759</v>
      </c>
      <c r="B225" t="s">
        <v>1595</v>
      </c>
      <c r="C225" t="s">
        <v>1596</v>
      </c>
      <c r="D225" t="s">
        <v>1597</v>
      </c>
      <c r="E225"/>
      <c r="F225" t="s">
        <v>1560</v>
      </c>
      <c r="G225" t="s">
        <v>54</v>
      </c>
      <c r="H225" t="s">
        <v>2440</v>
      </c>
      <c r="I225"/>
      <c r="J225" t="s">
        <v>1598</v>
      </c>
      <c r="K225"/>
      <c r="L225" t="s">
        <v>1599</v>
      </c>
      <c r="M225" t="s">
        <v>1600</v>
      </c>
      <c r="N225" t="s">
        <v>54</v>
      </c>
      <c r="O225" t="s">
        <v>2855</v>
      </c>
      <c r="P225"/>
      <c r="Q225">
        <v>2184444130</v>
      </c>
      <c r="R225">
        <v>2183330201</v>
      </c>
      <c r="S225" t="s">
        <v>1330</v>
      </c>
      <c r="T225" t="s">
        <v>2100</v>
      </c>
      <c r="U225" t="s">
        <v>2101</v>
      </c>
      <c r="V225" t="s">
        <v>2102</v>
      </c>
      <c r="W225" t="s">
        <v>1601</v>
      </c>
      <c r="X225" t="s">
        <v>1330</v>
      </c>
      <c r="Y225" t="s">
        <v>2100</v>
      </c>
      <c r="Z225" t="s">
        <v>2103</v>
      </c>
      <c r="AA225" t="s">
        <v>1602</v>
      </c>
      <c r="AB225">
        <v>8003527254</v>
      </c>
      <c r="AC225"/>
      <c r="AD225">
        <v>7152347394</v>
      </c>
      <c r="AE225" t="s">
        <v>2102</v>
      </c>
      <c r="AF225" t="s">
        <v>1603</v>
      </c>
      <c r="AG225"/>
      <c r="AH225" t="s">
        <v>1604</v>
      </c>
      <c r="AI225" t="s">
        <v>1605</v>
      </c>
      <c r="AJ225" t="s">
        <v>1580</v>
      </c>
      <c r="AK225" t="s">
        <v>2856</v>
      </c>
      <c r="AL225"/>
      <c r="AM225" t="s">
        <v>1153</v>
      </c>
      <c r="AN225" t="s">
        <v>2104</v>
      </c>
      <c r="AO225" t="s">
        <v>2105</v>
      </c>
      <c r="AP225" t="s">
        <v>1602</v>
      </c>
      <c r="AQ225">
        <v>2184444130</v>
      </c>
      <c r="AR225"/>
      <c r="AS225">
        <v>2183330201</v>
      </c>
      <c r="AT225" t="s">
        <v>2106</v>
      </c>
      <c r="AU225" t="s">
        <v>1598</v>
      </c>
      <c r="AV225"/>
      <c r="AW225" t="s">
        <v>1599</v>
      </c>
      <c r="AX225" t="s">
        <v>1600</v>
      </c>
      <c r="AY225" t="s">
        <v>54</v>
      </c>
      <c r="AZ225" t="s">
        <v>2855</v>
      </c>
      <c r="BA225"/>
      <c r="BB225" t="s">
        <v>1606</v>
      </c>
      <c r="BC225" t="s">
        <v>1607</v>
      </c>
      <c r="BD225" t="s">
        <v>1084</v>
      </c>
      <c r="BE225" t="s">
        <v>1602</v>
      </c>
      <c r="BF225">
        <v>7152346518</v>
      </c>
      <c r="BG225"/>
      <c r="BH225">
        <v>7152347394</v>
      </c>
      <c r="BI225" t="s">
        <v>1608</v>
      </c>
      <c r="BJ225" t="s">
        <v>1603</v>
      </c>
      <c r="BK225"/>
      <c r="BL225" t="s">
        <v>1604</v>
      </c>
      <c r="BM225" t="s">
        <v>1605</v>
      </c>
      <c r="BN225" t="s">
        <v>1580</v>
      </c>
      <c r="BO225" t="s">
        <v>2856</v>
      </c>
      <c r="BP225"/>
      <c r="BQ225"/>
      <c r="BR225"/>
      <c r="BS225"/>
      <c r="BT225"/>
      <c r="BU225"/>
      <c r="BV225"/>
      <c r="BW225"/>
      <c r="BX225"/>
      <c r="BY225"/>
      <c r="BZ225"/>
      <c r="CA225"/>
      <c r="CB225"/>
      <c r="CC225"/>
      <c r="CD225"/>
      <c r="CE225"/>
      <c r="CF225" t="s">
        <v>1609</v>
      </c>
      <c r="CG225" t="s">
        <v>1610</v>
      </c>
      <c r="CH225" t="s">
        <v>141</v>
      </c>
      <c r="CI225"/>
      <c r="CJ225"/>
      <c r="CK225"/>
      <c r="CL225"/>
      <c r="CM225">
        <v>1679528194</v>
      </c>
      <c r="CN225">
        <v>178</v>
      </c>
      <c r="CO225">
        <v>146</v>
      </c>
      <c r="CP225">
        <v>164</v>
      </c>
      <c r="CQ225">
        <v>165</v>
      </c>
      <c r="CR225"/>
      <c r="CS225" t="s">
        <v>2397</v>
      </c>
      <c r="CT225">
        <v>12</v>
      </c>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s="569">
        <v>21</v>
      </c>
      <c r="ET225" t="s">
        <v>1869</v>
      </c>
      <c r="EU225" t="s">
        <v>1870</v>
      </c>
      <c r="EV225" t="s">
        <v>2304</v>
      </c>
      <c r="EW225" t="s">
        <v>54</v>
      </c>
      <c r="EX225" s="599">
        <v>56156</v>
      </c>
      <c r="EY225">
        <v>1497703045</v>
      </c>
    </row>
    <row r="226" spans="1:155" x14ac:dyDescent="0.2">
      <c r="A226" s="598">
        <v>760</v>
      </c>
      <c r="B226" t="s">
        <v>1611</v>
      </c>
      <c r="C226" t="s">
        <v>1612</v>
      </c>
      <c r="D226" t="s">
        <v>1613</v>
      </c>
      <c r="E226"/>
      <c r="F226" t="s">
        <v>1560</v>
      </c>
      <c r="G226" t="s">
        <v>54</v>
      </c>
      <c r="H226" t="s">
        <v>2857</v>
      </c>
      <c r="I226"/>
      <c r="J226" t="s">
        <v>1598</v>
      </c>
      <c r="K226"/>
      <c r="L226" t="s">
        <v>1599</v>
      </c>
      <c r="M226" t="s">
        <v>1600</v>
      </c>
      <c r="N226" t="s">
        <v>54</v>
      </c>
      <c r="O226" t="s">
        <v>2855</v>
      </c>
      <c r="P226"/>
      <c r="Q226">
        <v>2184444130</v>
      </c>
      <c r="R226">
        <v>2183330201</v>
      </c>
      <c r="S226" t="s">
        <v>1330</v>
      </c>
      <c r="T226" t="s">
        <v>2100</v>
      </c>
      <c r="U226" t="s">
        <v>2101</v>
      </c>
      <c r="V226" t="s">
        <v>2102</v>
      </c>
      <c r="W226" t="s">
        <v>1601</v>
      </c>
      <c r="X226" t="s">
        <v>1330</v>
      </c>
      <c r="Y226" t="s">
        <v>2100</v>
      </c>
      <c r="Z226" t="s">
        <v>2103</v>
      </c>
      <c r="AA226" t="s">
        <v>1602</v>
      </c>
      <c r="AB226">
        <v>8003527254</v>
      </c>
      <c r="AC226"/>
      <c r="AD226">
        <v>7152347394</v>
      </c>
      <c r="AE226" t="s">
        <v>2102</v>
      </c>
      <c r="AF226" t="s">
        <v>1603</v>
      </c>
      <c r="AG226"/>
      <c r="AH226" t="s">
        <v>1604</v>
      </c>
      <c r="AI226" t="s">
        <v>1605</v>
      </c>
      <c r="AJ226" t="s">
        <v>1580</v>
      </c>
      <c r="AK226" t="s">
        <v>2856</v>
      </c>
      <c r="AL226"/>
      <c r="AM226" t="s">
        <v>1153</v>
      </c>
      <c r="AN226" t="s">
        <v>2104</v>
      </c>
      <c r="AO226" t="s">
        <v>2105</v>
      </c>
      <c r="AP226" t="s">
        <v>1602</v>
      </c>
      <c r="AQ226">
        <v>2184444130</v>
      </c>
      <c r="AR226"/>
      <c r="AS226">
        <v>2183330201</v>
      </c>
      <c r="AT226" t="s">
        <v>2106</v>
      </c>
      <c r="AU226" t="s">
        <v>1598</v>
      </c>
      <c r="AV226"/>
      <c r="AW226" t="s">
        <v>1599</v>
      </c>
      <c r="AX226" t="s">
        <v>1600</v>
      </c>
      <c r="AY226" t="s">
        <v>54</v>
      </c>
      <c r="AZ226" t="s">
        <v>2855</v>
      </c>
      <c r="BA226"/>
      <c r="BB226" t="s">
        <v>1606</v>
      </c>
      <c r="BC226" t="s">
        <v>1607</v>
      </c>
      <c r="BD226" t="s">
        <v>1084</v>
      </c>
      <c r="BE226" t="s">
        <v>1602</v>
      </c>
      <c r="BF226">
        <v>7152346518</v>
      </c>
      <c r="BG226"/>
      <c r="BH226">
        <v>7152347394</v>
      </c>
      <c r="BI226" t="s">
        <v>1608</v>
      </c>
      <c r="BJ226" t="s">
        <v>1603</v>
      </c>
      <c r="BK226"/>
      <c r="BL226" t="s">
        <v>1604</v>
      </c>
      <c r="BM226" t="s">
        <v>1605</v>
      </c>
      <c r="BN226" t="s">
        <v>1580</v>
      </c>
      <c r="BO226" t="s">
        <v>2856</v>
      </c>
      <c r="BP226"/>
      <c r="BQ226"/>
      <c r="BR226"/>
      <c r="BS226"/>
      <c r="BT226"/>
      <c r="BU226"/>
      <c r="BV226"/>
      <c r="BW226"/>
      <c r="BX226"/>
      <c r="BY226"/>
      <c r="BZ226"/>
      <c r="CA226"/>
      <c r="CB226"/>
      <c r="CC226"/>
      <c r="CD226"/>
      <c r="CE226"/>
      <c r="CF226" t="s">
        <v>1609</v>
      </c>
      <c r="CG226" t="s">
        <v>1610</v>
      </c>
      <c r="CH226" t="s">
        <v>141</v>
      </c>
      <c r="CI226"/>
      <c r="CJ226"/>
      <c r="CK226"/>
      <c r="CL226"/>
      <c r="CM226">
        <v>1679528194</v>
      </c>
      <c r="CN226">
        <v>178</v>
      </c>
      <c r="CO226">
        <v>146</v>
      </c>
      <c r="CP226">
        <v>164</v>
      </c>
      <c r="CQ226">
        <v>165</v>
      </c>
      <c r="CR226"/>
      <c r="CS226" t="s">
        <v>2397</v>
      </c>
      <c r="CT226">
        <v>12</v>
      </c>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s="569">
        <v>77</v>
      </c>
      <c r="ET226" t="s">
        <v>1871</v>
      </c>
      <c r="EU226" t="s">
        <v>1872</v>
      </c>
      <c r="EV226" t="s">
        <v>2305</v>
      </c>
      <c r="EW226" t="s">
        <v>54</v>
      </c>
      <c r="EX226" s="599">
        <v>56062</v>
      </c>
      <c r="EY226">
        <v>1912999137</v>
      </c>
    </row>
    <row r="227" spans="1:155" x14ac:dyDescent="0.2">
      <c r="A227" s="598">
        <v>761</v>
      </c>
      <c r="B227" t="s">
        <v>1614</v>
      </c>
      <c r="C227" t="s">
        <v>965</v>
      </c>
      <c r="D227" t="s">
        <v>966</v>
      </c>
      <c r="E227"/>
      <c r="F227" t="s">
        <v>965</v>
      </c>
      <c r="G227" t="s">
        <v>54</v>
      </c>
      <c r="H227" t="s">
        <v>2858</v>
      </c>
      <c r="I227"/>
      <c r="J227" t="s">
        <v>1598</v>
      </c>
      <c r="K227"/>
      <c r="L227" t="s">
        <v>1599</v>
      </c>
      <c r="M227" t="s">
        <v>1600</v>
      </c>
      <c r="N227" t="s">
        <v>54</v>
      </c>
      <c r="O227" t="s">
        <v>2855</v>
      </c>
      <c r="P227"/>
      <c r="Q227">
        <v>2184444130</v>
      </c>
      <c r="R227">
        <v>2183330201</v>
      </c>
      <c r="S227" t="s">
        <v>1330</v>
      </c>
      <c r="T227" t="s">
        <v>2100</v>
      </c>
      <c r="U227" t="s">
        <v>2101</v>
      </c>
      <c r="V227" t="s">
        <v>2102</v>
      </c>
      <c r="W227" t="s">
        <v>1601</v>
      </c>
      <c r="X227" t="s">
        <v>1330</v>
      </c>
      <c r="Y227" t="s">
        <v>2100</v>
      </c>
      <c r="Z227" t="s">
        <v>2103</v>
      </c>
      <c r="AA227" t="s">
        <v>1602</v>
      </c>
      <c r="AB227">
        <v>8003527254</v>
      </c>
      <c r="AC227"/>
      <c r="AD227">
        <v>7152347394</v>
      </c>
      <c r="AE227" t="s">
        <v>2102</v>
      </c>
      <c r="AF227" t="s">
        <v>1603</v>
      </c>
      <c r="AG227"/>
      <c r="AH227" t="s">
        <v>1604</v>
      </c>
      <c r="AI227" t="s">
        <v>1605</v>
      </c>
      <c r="AJ227" t="s">
        <v>1580</v>
      </c>
      <c r="AK227" t="s">
        <v>2856</v>
      </c>
      <c r="AL227"/>
      <c r="AM227" t="s">
        <v>1153</v>
      </c>
      <c r="AN227" t="s">
        <v>2104</v>
      </c>
      <c r="AO227" t="s">
        <v>2105</v>
      </c>
      <c r="AP227" t="s">
        <v>1602</v>
      </c>
      <c r="AQ227">
        <v>2184444130</v>
      </c>
      <c r="AR227"/>
      <c r="AS227">
        <v>2183330201</v>
      </c>
      <c r="AT227" t="s">
        <v>2106</v>
      </c>
      <c r="AU227" t="s">
        <v>1598</v>
      </c>
      <c r="AV227"/>
      <c r="AW227" t="s">
        <v>1599</v>
      </c>
      <c r="AX227" t="s">
        <v>1600</v>
      </c>
      <c r="AY227" t="s">
        <v>54</v>
      </c>
      <c r="AZ227" t="s">
        <v>2855</v>
      </c>
      <c r="BA227"/>
      <c r="BB227" t="s">
        <v>1606</v>
      </c>
      <c r="BC227" t="s">
        <v>1607</v>
      </c>
      <c r="BD227" t="s">
        <v>1084</v>
      </c>
      <c r="BE227" t="s">
        <v>1602</v>
      </c>
      <c r="BF227">
        <v>7152346518</v>
      </c>
      <c r="BG227"/>
      <c r="BH227">
        <v>7152347394</v>
      </c>
      <c r="BI227" t="s">
        <v>1608</v>
      </c>
      <c r="BJ227" t="s">
        <v>1603</v>
      </c>
      <c r="BK227"/>
      <c r="BL227" t="s">
        <v>1604</v>
      </c>
      <c r="BM227" t="s">
        <v>1605</v>
      </c>
      <c r="BN227" t="s">
        <v>1580</v>
      </c>
      <c r="BO227" t="s">
        <v>2856</v>
      </c>
      <c r="BP227"/>
      <c r="BQ227"/>
      <c r="BR227"/>
      <c r="BS227"/>
      <c r="BT227"/>
      <c r="BU227"/>
      <c r="BV227"/>
      <c r="BW227"/>
      <c r="BX227"/>
      <c r="BY227"/>
      <c r="BZ227"/>
      <c r="CA227"/>
      <c r="CB227"/>
      <c r="CC227"/>
      <c r="CD227"/>
      <c r="CE227"/>
      <c r="CF227" t="s">
        <v>1609</v>
      </c>
      <c r="CG227" t="s">
        <v>1610</v>
      </c>
      <c r="CH227" t="s">
        <v>141</v>
      </c>
      <c r="CI227"/>
      <c r="CJ227"/>
      <c r="CK227"/>
      <c r="CL227"/>
      <c r="CM227">
        <v>1679528194</v>
      </c>
      <c r="CN227">
        <v>178</v>
      </c>
      <c r="CO227">
        <v>146</v>
      </c>
      <c r="CP227">
        <v>164</v>
      </c>
      <c r="CQ227">
        <v>165</v>
      </c>
      <c r="CR227"/>
      <c r="CS227" t="s">
        <v>2397</v>
      </c>
      <c r="CT227">
        <v>12</v>
      </c>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s="569">
        <v>964</v>
      </c>
      <c r="ET227" t="s">
        <v>967</v>
      </c>
      <c r="EU227" t="s">
        <v>968</v>
      </c>
      <c r="EV227" t="s">
        <v>3056</v>
      </c>
      <c r="EW227" t="s">
        <v>54</v>
      </c>
      <c r="EX227" s="600">
        <v>56256</v>
      </c>
      <c r="EY227"/>
    </row>
    <row r="228" spans="1:155" x14ac:dyDescent="0.2">
      <c r="A228" s="598">
        <v>763</v>
      </c>
      <c r="B228" t="s">
        <v>1615</v>
      </c>
      <c r="C228" t="s">
        <v>1616</v>
      </c>
      <c r="D228" t="s">
        <v>1617</v>
      </c>
      <c r="E228"/>
      <c r="F228" t="s">
        <v>1618</v>
      </c>
      <c r="G228" t="s">
        <v>54</v>
      </c>
      <c r="H228" t="s">
        <v>2859</v>
      </c>
      <c r="I228"/>
      <c r="J228" t="s">
        <v>1598</v>
      </c>
      <c r="K228"/>
      <c r="L228" t="s">
        <v>1599</v>
      </c>
      <c r="M228" t="s">
        <v>1600</v>
      </c>
      <c r="N228" t="s">
        <v>54</v>
      </c>
      <c r="O228" t="s">
        <v>2855</v>
      </c>
      <c r="P228"/>
      <c r="Q228">
        <v>2186832000</v>
      </c>
      <c r="R228">
        <v>2186832611</v>
      </c>
      <c r="S228" t="s">
        <v>1330</v>
      </c>
      <c r="T228" t="s">
        <v>2100</v>
      </c>
      <c r="U228" t="s">
        <v>2101</v>
      </c>
      <c r="V228" t="s">
        <v>2102</v>
      </c>
      <c r="W228" t="s">
        <v>1601</v>
      </c>
      <c r="X228" t="s">
        <v>1330</v>
      </c>
      <c r="Y228" t="s">
        <v>2100</v>
      </c>
      <c r="Z228" t="s">
        <v>2103</v>
      </c>
      <c r="AA228" t="s">
        <v>1602</v>
      </c>
      <c r="AB228">
        <v>8003527254</v>
      </c>
      <c r="AC228"/>
      <c r="AD228">
        <v>7152347394</v>
      </c>
      <c r="AE228" t="s">
        <v>2102</v>
      </c>
      <c r="AF228" t="s">
        <v>1603</v>
      </c>
      <c r="AG228"/>
      <c r="AH228" t="s">
        <v>1604</v>
      </c>
      <c r="AI228" t="s">
        <v>1605</v>
      </c>
      <c r="AJ228" t="s">
        <v>1580</v>
      </c>
      <c r="AK228" t="s">
        <v>2856</v>
      </c>
      <c r="AL228"/>
      <c r="AM228" t="s">
        <v>1153</v>
      </c>
      <c r="AN228" t="s">
        <v>2104</v>
      </c>
      <c r="AO228" t="s">
        <v>2105</v>
      </c>
      <c r="AP228" t="s">
        <v>1602</v>
      </c>
      <c r="AQ228">
        <v>2184444130</v>
      </c>
      <c r="AR228"/>
      <c r="AS228">
        <v>2183330201</v>
      </c>
      <c r="AT228" t="s">
        <v>2106</v>
      </c>
      <c r="AU228" t="s">
        <v>1598</v>
      </c>
      <c r="AV228"/>
      <c r="AW228" t="s">
        <v>1599</v>
      </c>
      <c r="AX228" t="s">
        <v>1600</v>
      </c>
      <c r="AY228" t="s">
        <v>54</v>
      </c>
      <c r="AZ228" t="s">
        <v>2855</v>
      </c>
      <c r="BA228"/>
      <c r="BB228" t="s">
        <v>1606</v>
      </c>
      <c r="BC228" t="s">
        <v>1607</v>
      </c>
      <c r="BD228" t="s">
        <v>1084</v>
      </c>
      <c r="BE228" t="s">
        <v>1602</v>
      </c>
      <c r="BF228">
        <v>7152346518</v>
      </c>
      <c r="BG228"/>
      <c r="BH228">
        <v>7152347394</v>
      </c>
      <c r="BI228" t="s">
        <v>1608</v>
      </c>
      <c r="BJ228" t="s">
        <v>1603</v>
      </c>
      <c r="BK228"/>
      <c r="BL228" t="s">
        <v>1604</v>
      </c>
      <c r="BM228" t="s">
        <v>1605</v>
      </c>
      <c r="BN228" t="s">
        <v>1580</v>
      </c>
      <c r="BO228" t="s">
        <v>2856</v>
      </c>
      <c r="BP228"/>
      <c r="BQ228"/>
      <c r="BR228"/>
      <c r="BS228"/>
      <c r="BT228"/>
      <c r="BU228"/>
      <c r="BV228"/>
      <c r="BW228"/>
      <c r="BX228"/>
      <c r="BY228"/>
      <c r="BZ228"/>
      <c r="CA228"/>
      <c r="CB228"/>
      <c r="CC228"/>
      <c r="CD228"/>
      <c r="CE228"/>
      <c r="CF228" t="s">
        <v>1609</v>
      </c>
      <c r="CG228" t="s">
        <v>1610</v>
      </c>
      <c r="CH228" t="s">
        <v>141</v>
      </c>
      <c r="CI228"/>
      <c r="CJ228"/>
      <c r="CK228"/>
      <c r="CL228"/>
      <c r="CM228">
        <v>1679528194</v>
      </c>
      <c r="CN228">
        <v>178</v>
      </c>
      <c r="CO228">
        <v>146</v>
      </c>
      <c r="CP228">
        <v>164</v>
      </c>
      <c r="CQ228">
        <v>165</v>
      </c>
      <c r="CR228"/>
      <c r="CS228" t="s">
        <v>2397</v>
      </c>
      <c r="CT228">
        <v>12</v>
      </c>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s="569">
        <v>78</v>
      </c>
      <c r="ET228" t="s">
        <v>1873</v>
      </c>
      <c r="EU228" t="s">
        <v>968</v>
      </c>
      <c r="EV228" t="s">
        <v>969</v>
      </c>
      <c r="EW228" t="s">
        <v>54</v>
      </c>
      <c r="EX228" s="599">
        <v>56256</v>
      </c>
      <c r="EY228">
        <v>1942246848</v>
      </c>
    </row>
    <row r="229" spans="1:155" x14ac:dyDescent="0.2">
      <c r="A229" s="598">
        <v>762</v>
      </c>
      <c r="B229" t="s">
        <v>1619</v>
      </c>
      <c r="C229" t="s">
        <v>1599</v>
      </c>
      <c r="D229" t="s">
        <v>1598</v>
      </c>
      <c r="E229"/>
      <c r="F229" t="s">
        <v>1600</v>
      </c>
      <c r="G229" t="s">
        <v>54</v>
      </c>
      <c r="H229" t="s">
        <v>2855</v>
      </c>
      <c r="I229"/>
      <c r="J229" t="s">
        <v>1598</v>
      </c>
      <c r="K229"/>
      <c r="L229" t="s">
        <v>1599</v>
      </c>
      <c r="M229" t="s">
        <v>1600</v>
      </c>
      <c r="N229" t="s">
        <v>54</v>
      </c>
      <c r="O229" t="s">
        <v>2855</v>
      </c>
      <c r="P229"/>
      <c r="Q229">
        <v>2184444130</v>
      </c>
      <c r="R229">
        <v>2183330201</v>
      </c>
      <c r="S229" t="s">
        <v>1330</v>
      </c>
      <c r="T229" t="s">
        <v>2100</v>
      </c>
      <c r="U229" t="s">
        <v>2101</v>
      </c>
      <c r="V229" t="s">
        <v>2102</v>
      </c>
      <c r="W229" t="s">
        <v>1601</v>
      </c>
      <c r="X229" t="s">
        <v>1330</v>
      </c>
      <c r="Y229" t="s">
        <v>2100</v>
      </c>
      <c r="Z229" t="s">
        <v>2103</v>
      </c>
      <c r="AA229" t="s">
        <v>1602</v>
      </c>
      <c r="AB229">
        <v>8003527254</v>
      </c>
      <c r="AC229"/>
      <c r="AD229">
        <v>7152347394</v>
      </c>
      <c r="AE229" t="s">
        <v>2102</v>
      </c>
      <c r="AF229" t="s">
        <v>1603</v>
      </c>
      <c r="AG229"/>
      <c r="AH229" t="s">
        <v>1604</v>
      </c>
      <c r="AI229" t="s">
        <v>1605</v>
      </c>
      <c r="AJ229" t="s">
        <v>1580</v>
      </c>
      <c r="AK229" t="s">
        <v>2856</v>
      </c>
      <c r="AL229"/>
      <c r="AM229" t="s">
        <v>1153</v>
      </c>
      <c r="AN229" t="s">
        <v>2104</v>
      </c>
      <c r="AO229" t="s">
        <v>2105</v>
      </c>
      <c r="AP229" t="s">
        <v>1602</v>
      </c>
      <c r="AQ229">
        <v>2184444130</v>
      </c>
      <c r="AR229"/>
      <c r="AS229">
        <v>2183330201</v>
      </c>
      <c r="AT229" t="s">
        <v>2106</v>
      </c>
      <c r="AU229" t="s">
        <v>1598</v>
      </c>
      <c r="AV229"/>
      <c r="AW229" t="s">
        <v>1599</v>
      </c>
      <c r="AX229" t="s">
        <v>1600</v>
      </c>
      <c r="AY229" t="s">
        <v>54</v>
      </c>
      <c r="AZ229" t="s">
        <v>2855</v>
      </c>
      <c r="BA229"/>
      <c r="BB229" t="s">
        <v>1606</v>
      </c>
      <c r="BC229" t="s">
        <v>1607</v>
      </c>
      <c r="BD229" t="s">
        <v>1084</v>
      </c>
      <c r="BE229" t="s">
        <v>1602</v>
      </c>
      <c r="BF229">
        <v>7152346518</v>
      </c>
      <c r="BG229"/>
      <c r="BH229">
        <v>7152347394</v>
      </c>
      <c r="BI229" t="s">
        <v>1608</v>
      </c>
      <c r="BJ229" t="s">
        <v>1603</v>
      </c>
      <c r="BK229"/>
      <c r="BL229" t="s">
        <v>1604</v>
      </c>
      <c r="BM229" t="s">
        <v>1605</v>
      </c>
      <c r="BN229" t="s">
        <v>1580</v>
      </c>
      <c r="BO229" t="s">
        <v>2856</v>
      </c>
      <c r="BP229"/>
      <c r="BQ229"/>
      <c r="BR229"/>
      <c r="BS229"/>
      <c r="BT229"/>
      <c r="BU229"/>
      <c r="BV229"/>
      <c r="BW229"/>
      <c r="BX229"/>
      <c r="BY229"/>
      <c r="BZ229"/>
      <c r="CA229"/>
      <c r="CB229"/>
      <c r="CC229"/>
      <c r="CD229"/>
      <c r="CE229"/>
      <c r="CF229" t="s">
        <v>1609</v>
      </c>
      <c r="CG229" t="s">
        <v>1610</v>
      </c>
      <c r="CH229" t="s">
        <v>141</v>
      </c>
      <c r="CI229"/>
      <c r="CJ229"/>
      <c r="CK229"/>
      <c r="CL229"/>
      <c r="CM229">
        <v>1679528194</v>
      </c>
      <c r="CN229">
        <v>178</v>
      </c>
      <c r="CO229">
        <v>146</v>
      </c>
      <c r="CP229">
        <v>164</v>
      </c>
      <c r="CQ229">
        <v>165</v>
      </c>
      <c r="CR229"/>
      <c r="CS229" t="s">
        <v>2397</v>
      </c>
      <c r="CT229">
        <v>12</v>
      </c>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s="569">
        <v>845</v>
      </c>
      <c r="ET229" t="s">
        <v>970</v>
      </c>
      <c r="EU229" t="s">
        <v>971</v>
      </c>
      <c r="EV229" t="s">
        <v>3057</v>
      </c>
      <c r="EW229" t="s">
        <v>54</v>
      </c>
      <c r="EX229" s="600">
        <v>56557</v>
      </c>
      <c r="EY229"/>
    </row>
    <row r="230" spans="1:155" x14ac:dyDescent="0.2">
      <c r="A230" s="598">
        <v>1327</v>
      </c>
      <c r="B230" t="s">
        <v>2179</v>
      </c>
      <c r="C230" t="s">
        <v>826</v>
      </c>
      <c r="D230" t="s">
        <v>2180</v>
      </c>
      <c r="E230"/>
      <c r="F230" t="s">
        <v>737</v>
      </c>
      <c r="G230" t="s">
        <v>54</v>
      </c>
      <c r="H230" t="s">
        <v>2510</v>
      </c>
      <c r="I230"/>
      <c r="J230" t="s">
        <v>2180</v>
      </c>
      <c r="K230"/>
      <c r="L230" t="s">
        <v>826</v>
      </c>
      <c r="M230" t="s">
        <v>737</v>
      </c>
      <c r="N230" t="s">
        <v>54</v>
      </c>
      <c r="O230" t="s">
        <v>2510</v>
      </c>
      <c r="P230"/>
      <c r="Q230">
        <v>8446333674</v>
      </c>
      <c r="R230"/>
      <c r="S230"/>
      <c r="T230"/>
      <c r="U230"/>
      <c r="V230"/>
      <c r="W230" t="s">
        <v>2181</v>
      </c>
      <c r="X230" t="s">
        <v>2772</v>
      </c>
      <c r="Y230" t="s">
        <v>2860</v>
      </c>
      <c r="Z230" t="s">
        <v>2861</v>
      </c>
      <c r="AA230" t="s">
        <v>2107</v>
      </c>
      <c r="AB230">
        <v>3129837196</v>
      </c>
      <c r="AC230"/>
      <c r="AD230">
        <v>4147557706</v>
      </c>
      <c r="AE230" t="s">
        <v>2862</v>
      </c>
      <c r="AF230" t="s">
        <v>2108</v>
      </c>
      <c r="AG230" t="s">
        <v>2109</v>
      </c>
      <c r="AH230" t="s">
        <v>2110</v>
      </c>
      <c r="AI230" t="s">
        <v>909</v>
      </c>
      <c r="AJ230" t="s">
        <v>2111</v>
      </c>
      <c r="AK230" t="s">
        <v>2863</v>
      </c>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t="s">
        <v>2772</v>
      </c>
      <c r="BR230" t="s">
        <v>2860</v>
      </c>
      <c r="BS230" t="s">
        <v>2861</v>
      </c>
      <c r="BT230" t="s">
        <v>2107</v>
      </c>
      <c r="BU230">
        <v>3129837196</v>
      </c>
      <c r="BV230"/>
      <c r="BW230">
        <v>4147557706</v>
      </c>
      <c r="BX230" t="s">
        <v>2862</v>
      </c>
      <c r="BY230" t="s">
        <v>2108</v>
      </c>
      <c r="BZ230" t="s">
        <v>2109</v>
      </c>
      <c r="CA230" t="s">
        <v>2110</v>
      </c>
      <c r="CB230" t="s">
        <v>909</v>
      </c>
      <c r="CC230" t="s">
        <v>2111</v>
      </c>
      <c r="CD230" t="s">
        <v>2863</v>
      </c>
      <c r="CE230"/>
      <c r="CF230" t="s">
        <v>2112</v>
      </c>
      <c r="CG230" t="s">
        <v>1623</v>
      </c>
      <c r="CH230" t="s">
        <v>141</v>
      </c>
      <c r="CI230"/>
      <c r="CJ230"/>
      <c r="CK230"/>
      <c r="CL230"/>
      <c r="CM230">
        <v>1417494196</v>
      </c>
      <c r="CN230">
        <v>2306</v>
      </c>
      <c r="CO230">
        <v>2942</v>
      </c>
      <c r="CP230"/>
      <c r="CQ230"/>
      <c r="CR230">
        <v>2942</v>
      </c>
      <c r="CS230" t="s">
        <v>2397</v>
      </c>
      <c r="CT230">
        <v>12</v>
      </c>
      <c r="CU230"/>
      <c r="CV230"/>
      <c r="CW230"/>
      <c r="CX230"/>
      <c r="CY230"/>
      <c r="CZ230"/>
      <c r="DA230"/>
      <c r="DB230"/>
      <c r="DC230"/>
      <c r="DD230">
        <v>128</v>
      </c>
      <c r="DE230" t="s">
        <v>2864</v>
      </c>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s="569">
        <v>79</v>
      </c>
      <c r="ET230" t="s">
        <v>1874</v>
      </c>
      <c r="EU230" t="s">
        <v>971</v>
      </c>
      <c r="EV230" t="s">
        <v>972</v>
      </c>
      <c r="EW230" t="s">
        <v>54</v>
      </c>
      <c r="EX230" s="599">
        <v>56557</v>
      </c>
      <c r="EY230">
        <v>1942233234</v>
      </c>
    </row>
    <row r="231" spans="1:155" x14ac:dyDescent="0.2">
      <c r="A231" s="598">
        <v>1257</v>
      </c>
      <c r="B231" t="s">
        <v>1620</v>
      </c>
      <c r="C231" t="s">
        <v>1621</v>
      </c>
      <c r="D231" t="s">
        <v>1622</v>
      </c>
      <c r="E231"/>
      <c r="F231" t="s">
        <v>737</v>
      </c>
      <c r="G231" t="s">
        <v>54</v>
      </c>
      <c r="H231" t="s">
        <v>2865</v>
      </c>
      <c r="I231"/>
      <c r="J231" t="s">
        <v>1622</v>
      </c>
      <c r="K231"/>
      <c r="L231" t="s">
        <v>1621</v>
      </c>
      <c r="M231" t="s">
        <v>737</v>
      </c>
      <c r="N231" t="s">
        <v>54</v>
      </c>
      <c r="O231" t="s">
        <v>2865</v>
      </c>
      <c r="P231"/>
      <c r="Q231">
        <v>8446333674</v>
      </c>
      <c r="R231">
        <v>6122081747</v>
      </c>
      <c r="S231"/>
      <c r="T231"/>
      <c r="U231"/>
      <c r="V231"/>
      <c r="W231" t="s">
        <v>2181</v>
      </c>
      <c r="X231" t="s">
        <v>2772</v>
      </c>
      <c r="Y231" t="s">
        <v>2860</v>
      </c>
      <c r="Z231" t="s">
        <v>2861</v>
      </c>
      <c r="AA231" t="s">
        <v>2107</v>
      </c>
      <c r="AB231">
        <v>3129837196</v>
      </c>
      <c r="AC231"/>
      <c r="AD231">
        <v>4147557706</v>
      </c>
      <c r="AE231" t="s">
        <v>2862</v>
      </c>
      <c r="AF231" t="s">
        <v>2108</v>
      </c>
      <c r="AG231" t="s">
        <v>2109</v>
      </c>
      <c r="AH231" t="s">
        <v>2110</v>
      </c>
      <c r="AI231" t="s">
        <v>909</v>
      </c>
      <c r="AJ231" t="s">
        <v>2111</v>
      </c>
      <c r="AK231" t="s">
        <v>2863</v>
      </c>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t="s">
        <v>2772</v>
      </c>
      <c r="BR231" t="s">
        <v>2860</v>
      </c>
      <c r="BS231" t="s">
        <v>2861</v>
      </c>
      <c r="BT231" t="s">
        <v>2107</v>
      </c>
      <c r="BU231">
        <v>3129837196</v>
      </c>
      <c r="BV231"/>
      <c r="BW231">
        <v>4147557706</v>
      </c>
      <c r="BX231" t="s">
        <v>2862</v>
      </c>
      <c r="BY231" t="s">
        <v>2108</v>
      </c>
      <c r="BZ231" t="s">
        <v>2109</v>
      </c>
      <c r="CA231" t="s">
        <v>2110</v>
      </c>
      <c r="CB231" t="s">
        <v>909</v>
      </c>
      <c r="CC231" t="s">
        <v>2111</v>
      </c>
      <c r="CD231" t="s">
        <v>2863</v>
      </c>
      <c r="CE231"/>
      <c r="CF231" t="s">
        <v>2112</v>
      </c>
      <c r="CG231" t="s">
        <v>1623</v>
      </c>
      <c r="CH231" t="s">
        <v>141</v>
      </c>
      <c r="CI231"/>
      <c r="CJ231"/>
      <c r="CK231"/>
      <c r="CL231"/>
      <c r="CM231">
        <v>1215480942</v>
      </c>
      <c r="CN231">
        <v>2307</v>
      </c>
      <c r="CO231">
        <v>2942</v>
      </c>
      <c r="CP231"/>
      <c r="CQ231"/>
      <c r="CR231">
        <v>2942</v>
      </c>
      <c r="CS231" t="s">
        <v>2397</v>
      </c>
      <c r="CT231">
        <v>12</v>
      </c>
      <c r="CU231"/>
      <c r="CV231"/>
      <c r="CW231"/>
      <c r="CX231"/>
      <c r="CY231"/>
      <c r="CZ231"/>
      <c r="DA231"/>
      <c r="DB231"/>
      <c r="DC231"/>
      <c r="DD231">
        <v>128</v>
      </c>
      <c r="DE231" t="s">
        <v>2866</v>
      </c>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s="569">
        <v>901</v>
      </c>
      <c r="ET231" t="s">
        <v>1281</v>
      </c>
      <c r="EU231" t="s">
        <v>1282</v>
      </c>
      <c r="EV231" t="s">
        <v>3058</v>
      </c>
      <c r="EW231" t="s">
        <v>54</v>
      </c>
      <c r="EX231" s="600">
        <v>56002</v>
      </c>
      <c r="EY231">
        <v>1629044029</v>
      </c>
    </row>
    <row r="232" spans="1:155" x14ac:dyDescent="0.2">
      <c r="A232" s="598">
        <v>1258</v>
      </c>
      <c r="B232" t="s">
        <v>1624</v>
      </c>
      <c r="C232" t="s">
        <v>778</v>
      </c>
      <c r="D232" t="s">
        <v>1625</v>
      </c>
      <c r="E232" t="s">
        <v>859</v>
      </c>
      <c r="F232" t="s">
        <v>772</v>
      </c>
      <c r="G232" t="s">
        <v>54</v>
      </c>
      <c r="H232" t="s">
        <v>2428</v>
      </c>
      <c r="I232"/>
      <c r="J232" t="s">
        <v>1625</v>
      </c>
      <c r="K232" t="s">
        <v>1466</v>
      </c>
      <c r="L232" t="s">
        <v>778</v>
      </c>
      <c r="M232" t="s">
        <v>772</v>
      </c>
      <c r="N232" t="s">
        <v>54</v>
      </c>
      <c r="O232" t="s">
        <v>2428</v>
      </c>
      <c r="P232"/>
      <c r="Q232">
        <v>8446333674</v>
      </c>
      <c r="R232">
        <v>6513406976</v>
      </c>
      <c r="S232"/>
      <c r="T232"/>
      <c r="U232"/>
      <c r="V232"/>
      <c r="W232" t="s">
        <v>2181</v>
      </c>
      <c r="X232" t="s">
        <v>2772</v>
      </c>
      <c r="Y232" t="s">
        <v>2860</v>
      </c>
      <c r="Z232" t="s">
        <v>2861</v>
      </c>
      <c r="AA232" t="s">
        <v>2107</v>
      </c>
      <c r="AB232">
        <v>3129837196</v>
      </c>
      <c r="AC232"/>
      <c r="AD232">
        <v>4147557706</v>
      </c>
      <c r="AE232" t="s">
        <v>2862</v>
      </c>
      <c r="AF232" t="s">
        <v>2108</v>
      </c>
      <c r="AG232" t="s">
        <v>2109</v>
      </c>
      <c r="AH232" t="s">
        <v>2110</v>
      </c>
      <c r="AI232" t="s">
        <v>909</v>
      </c>
      <c r="AJ232" t="s">
        <v>2111</v>
      </c>
      <c r="AK232" t="s">
        <v>2863</v>
      </c>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t="s">
        <v>2772</v>
      </c>
      <c r="BR232" t="s">
        <v>2860</v>
      </c>
      <c r="BS232" t="s">
        <v>2861</v>
      </c>
      <c r="BT232" t="s">
        <v>2107</v>
      </c>
      <c r="BU232">
        <v>3129837196</v>
      </c>
      <c r="BV232"/>
      <c r="BW232">
        <v>4147557706</v>
      </c>
      <c r="BX232" t="s">
        <v>2862</v>
      </c>
      <c r="BY232" t="s">
        <v>2108</v>
      </c>
      <c r="BZ232" t="s">
        <v>2109</v>
      </c>
      <c r="CA232" t="s">
        <v>2110</v>
      </c>
      <c r="CB232" t="s">
        <v>909</v>
      </c>
      <c r="CC232" t="s">
        <v>2111</v>
      </c>
      <c r="CD232" t="s">
        <v>2863</v>
      </c>
      <c r="CE232"/>
      <c r="CF232" t="s">
        <v>2112</v>
      </c>
      <c r="CG232" t="s">
        <v>1623</v>
      </c>
      <c r="CH232" t="s">
        <v>141</v>
      </c>
      <c r="CI232"/>
      <c r="CJ232"/>
      <c r="CK232"/>
      <c r="CL232"/>
      <c r="CM232">
        <v>1548713506</v>
      </c>
      <c r="CN232">
        <v>2882</v>
      </c>
      <c r="CO232">
        <v>2942</v>
      </c>
      <c r="CP232"/>
      <c r="CQ232"/>
      <c r="CR232">
        <v>2942</v>
      </c>
      <c r="CS232" t="s">
        <v>2397</v>
      </c>
      <c r="CT232">
        <v>12</v>
      </c>
      <c r="CU232"/>
      <c r="CV232"/>
      <c r="CW232"/>
      <c r="CX232"/>
      <c r="CY232"/>
      <c r="CZ232"/>
      <c r="DA232"/>
      <c r="DB232"/>
      <c r="DC232"/>
      <c r="DD232">
        <v>128</v>
      </c>
      <c r="DE232" t="s">
        <v>2867</v>
      </c>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s="569">
        <v>1367</v>
      </c>
      <c r="ET232" t="s">
        <v>2717</v>
      </c>
      <c r="EU232" t="s">
        <v>1282</v>
      </c>
      <c r="EV232" t="s">
        <v>3059</v>
      </c>
      <c r="EW232" t="s">
        <v>54</v>
      </c>
      <c r="EX232" s="600">
        <v>56001</v>
      </c>
      <c r="EY232">
        <v>1629044029</v>
      </c>
    </row>
    <row r="233" spans="1:155" s="559" customFormat="1" x14ac:dyDescent="0.2">
      <c r="A233" s="598">
        <v>1005</v>
      </c>
      <c r="B233" t="s">
        <v>1626</v>
      </c>
      <c r="C233" t="s">
        <v>724</v>
      </c>
      <c r="D233" t="s">
        <v>1627</v>
      </c>
      <c r="E233"/>
      <c r="F233" t="s">
        <v>726</v>
      </c>
      <c r="G233" t="s">
        <v>54</v>
      </c>
      <c r="H233" t="s">
        <v>2372</v>
      </c>
      <c r="I233"/>
      <c r="J233" t="s">
        <v>1628</v>
      </c>
      <c r="K233"/>
      <c r="L233" t="s">
        <v>1629</v>
      </c>
      <c r="M233" t="s">
        <v>1630</v>
      </c>
      <c r="N233" t="s">
        <v>54</v>
      </c>
      <c r="O233" t="s">
        <v>2868</v>
      </c>
      <c r="P233"/>
      <c r="Q233">
        <v>5079297696</v>
      </c>
      <c r="R233">
        <v>5073937697</v>
      </c>
      <c r="S233" t="s">
        <v>1631</v>
      </c>
      <c r="T233" t="s">
        <v>1632</v>
      </c>
      <c r="U233" t="s">
        <v>1633</v>
      </c>
      <c r="V233" t="s">
        <v>1634</v>
      </c>
      <c r="W233" t="s">
        <v>1635</v>
      </c>
      <c r="X233" t="s">
        <v>1631</v>
      </c>
      <c r="Y233" t="s">
        <v>1632</v>
      </c>
      <c r="Z233" t="s">
        <v>753</v>
      </c>
      <c r="AA233" t="s">
        <v>1636</v>
      </c>
      <c r="AB233">
        <v>5079297696</v>
      </c>
      <c r="AC233"/>
      <c r="AD233">
        <v>5073937697</v>
      </c>
      <c r="AE233" t="s">
        <v>1634</v>
      </c>
      <c r="AF233" t="s">
        <v>1628</v>
      </c>
      <c r="AG233"/>
      <c r="AH233" t="s">
        <v>1629</v>
      </c>
      <c r="AI233" t="s">
        <v>1630</v>
      </c>
      <c r="AJ233" t="s">
        <v>54</v>
      </c>
      <c r="AK233" t="s">
        <v>2868</v>
      </c>
      <c r="AL233"/>
      <c r="AM233" t="s">
        <v>1637</v>
      </c>
      <c r="AN233" t="s">
        <v>1638</v>
      </c>
      <c r="AO233" t="s">
        <v>1639</v>
      </c>
      <c r="AP233" t="s">
        <v>1636</v>
      </c>
      <c r="AQ233"/>
      <c r="AR233"/>
      <c r="AS233"/>
      <c r="AT233" t="s">
        <v>1640</v>
      </c>
      <c r="AU233" t="s">
        <v>1628</v>
      </c>
      <c r="AV233"/>
      <c r="AW233" t="s">
        <v>1629</v>
      </c>
      <c r="AX233" t="s">
        <v>1630</v>
      </c>
      <c r="AY233" t="s">
        <v>54</v>
      </c>
      <c r="AZ233" t="s">
        <v>2868</v>
      </c>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t="s">
        <v>1641</v>
      </c>
      <c r="CG233" t="s">
        <v>1642</v>
      </c>
      <c r="CH233" t="s">
        <v>141</v>
      </c>
      <c r="CI233"/>
      <c r="CJ233"/>
      <c r="CK233"/>
      <c r="CL233"/>
      <c r="CM233">
        <v>1063578466</v>
      </c>
      <c r="CN233">
        <v>173</v>
      </c>
      <c r="CO233">
        <v>171</v>
      </c>
      <c r="CP233">
        <v>1951</v>
      </c>
      <c r="CQ233"/>
      <c r="CR233"/>
      <c r="CS233" t="s">
        <v>2397</v>
      </c>
      <c r="CT233">
        <v>12</v>
      </c>
      <c r="CU233"/>
      <c r="CV233"/>
      <c r="CW233"/>
      <c r="CX233"/>
      <c r="CY233"/>
      <c r="CZ233"/>
      <c r="DA233"/>
      <c r="DB233"/>
      <c r="DC233"/>
      <c r="DD233"/>
      <c r="DE233"/>
      <c r="DF233"/>
      <c r="DG233"/>
      <c r="DH233"/>
      <c r="DI233"/>
      <c r="DJ233"/>
      <c r="DK233"/>
      <c r="DL233">
        <v>132</v>
      </c>
      <c r="DM233" t="s">
        <v>2792</v>
      </c>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s="569">
        <v>1169</v>
      </c>
      <c r="ET233" t="s">
        <v>1327</v>
      </c>
      <c r="EU233" t="s">
        <v>1282</v>
      </c>
      <c r="EV233" t="s">
        <v>3060</v>
      </c>
      <c r="EW233" t="s">
        <v>54</v>
      </c>
      <c r="EX233" s="600">
        <v>56001</v>
      </c>
      <c r="EY233">
        <v>1578545422</v>
      </c>
    </row>
    <row r="234" spans="1:155" s="559" customFormat="1" x14ac:dyDescent="0.2">
      <c r="A234" s="598">
        <v>1203</v>
      </c>
      <c r="B234" t="s">
        <v>2113</v>
      </c>
      <c r="C234" t="s">
        <v>787</v>
      </c>
      <c r="D234" t="s">
        <v>1463</v>
      </c>
      <c r="E234" t="s">
        <v>1059</v>
      </c>
      <c r="F234" t="s">
        <v>752</v>
      </c>
      <c r="G234" t="s">
        <v>54</v>
      </c>
      <c r="H234" t="s">
        <v>2869</v>
      </c>
      <c r="I234"/>
      <c r="J234" t="s">
        <v>1463</v>
      </c>
      <c r="K234" t="s">
        <v>1059</v>
      </c>
      <c r="L234" t="s">
        <v>787</v>
      </c>
      <c r="M234"/>
      <c r="N234" t="s">
        <v>54</v>
      </c>
      <c r="O234" t="s">
        <v>2869</v>
      </c>
      <c r="P234"/>
      <c r="Q234">
        <v>6517973866</v>
      </c>
      <c r="R234">
        <v>6512075395</v>
      </c>
      <c r="S234" t="s">
        <v>765</v>
      </c>
      <c r="T234" t="s">
        <v>2250</v>
      </c>
      <c r="U234" t="s">
        <v>729</v>
      </c>
      <c r="V234" t="s">
        <v>2251</v>
      </c>
      <c r="W234" t="s">
        <v>2252</v>
      </c>
      <c r="X234" t="s">
        <v>1460</v>
      </c>
      <c r="Y234" t="s">
        <v>1461</v>
      </c>
      <c r="Z234" t="s">
        <v>1462</v>
      </c>
      <c r="AA234" t="s">
        <v>2113</v>
      </c>
      <c r="AB234">
        <v>6513076280</v>
      </c>
      <c r="AC234"/>
      <c r="AD234">
        <v>6512075395</v>
      </c>
      <c r="AE234" t="s">
        <v>2253</v>
      </c>
      <c r="AF234" t="s">
        <v>1463</v>
      </c>
      <c r="AG234" t="s">
        <v>1059</v>
      </c>
      <c r="AH234" t="s">
        <v>787</v>
      </c>
      <c r="AI234" t="s">
        <v>752</v>
      </c>
      <c r="AJ234" t="s">
        <v>54</v>
      </c>
      <c r="AK234" t="s">
        <v>2869</v>
      </c>
      <c r="AL234"/>
      <c r="AM234" t="s">
        <v>804</v>
      </c>
      <c r="AN234" t="s">
        <v>2114</v>
      </c>
      <c r="AO234" t="s">
        <v>2254</v>
      </c>
      <c r="AP234" t="s">
        <v>2113</v>
      </c>
      <c r="AQ234">
        <v>6122279606</v>
      </c>
      <c r="AR234"/>
      <c r="AS234">
        <v>6502075395</v>
      </c>
      <c r="AT234" t="s">
        <v>2115</v>
      </c>
      <c r="AU234" t="s">
        <v>1463</v>
      </c>
      <c r="AV234" t="s">
        <v>1059</v>
      </c>
      <c r="AW234" t="s">
        <v>787</v>
      </c>
      <c r="AX234" t="s">
        <v>752</v>
      </c>
      <c r="AY234" t="s">
        <v>54</v>
      </c>
      <c r="AZ234" t="s">
        <v>2869</v>
      </c>
      <c r="BA234"/>
      <c r="BB234"/>
      <c r="BC234"/>
      <c r="BD234"/>
      <c r="BE234"/>
      <c r="BF234"/>
      <c r="BG234"/>
      <c r="BH234"/>
      <c r="BI234"/>
      <c r="BJ234"/>
      <c r="BK234"/>
      <c r="BL234"/>
      <c r="BM234"/>
      <c r="BN234"/>
      <c r="BO234"/>
      <c r="BP234"/>
      <c r="BQ234" t="s">
        <v>765</v>
      </c>
      <c r="BR234" t="s">
        <v>2250</v>
      </c>
      <c r="BS234" t="s">
        <v>729</v>
      </c>
      <c r="BT234" t="s">
        <v>2113</v>
      </c>
      <c r="BU234">
        <v>6122424235</v>
      </c>
      <c r="BV234"/>
      <c r="BW234">
        <v>6512075395</v>
      </c>
      <c r="BX234" t="s">
        <v>2251</v>
      </c>
      <c r="BY234" t="s">
        <v>1463</v>
      </c>
      <c r="BZ234" t="s">
        <v>1059</v>
      </c>
      <c r="CA234" t="s">
        <v>787</v>
      </c>
      <c r="CB234"/>
      <c r="CC234" t="s">
        <v>54</v>
      </c>
      <c r="CD234" t="s">
        <v>2869</v>
      </c>
      <c r="CE234"/>
      <c r="CF234"/>
      <c r="CG234" t="s">
        <v>755</v>
      </c>
      <c r="CH234" t="s">
        <v>141</v>
      </c>
      <c r="CI234"/>
      <c r="CJ234"/>
      <c r="CK234"/>
      <c r="CL234"/>
      <c r="CM234">
        <v>1487104683</v>
      </c>
      <c r="CN234">
        <v>1944</v>
      </c>
      <c r="CO234">
        <v>1892</v>
      </c>
      <c r="CP234">
        <v>1943</v>
      </c>
      <c r="CQ234"/>
      <c r="CR234">
        <v>2289</v>
      </c>
      <c r="CS234" t="s">
        <v>2397</v>
      </c>
      <c r="CT234">
        <v>12</v>
      </c>
      <c r="CU234"/>
      <c r="CV234"/>
      <c r="CW234"/>
      <c r="CX234"/>
      <c r="CY234"/>
      <c r="CZ234"/>
      <c r="DA234"/>
      <c r="DB234"/>
      <c r="DC234"/>
      <c r="DD234"/>
      <c r="DE234"/>
      <c r="DF234"/>
      <c r="DG234"/>
      <c r="DH234"/>
      <c r="DI234"/>
      <c r="DJ234"/>
      <c r="DK234"/>
      <c r="DL234">
        <v>132</v>
      </c>
      <c r="DM234" t="s">
        <v>2519</v>
      </c>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s="569">
        <v>63</v>
      </c>
      <c r="ET234" t="s">
        <v>3061</v>
      </c>
      <c r="EU234" t="s">
        <v>1282</v>
      </c>
      <c r="EV234" t="s">
        <v>1329</v>
      </c>
      <c r="EW234" t="s">
        <v>54</v>
      </c>
      <c r="EX234" s="599">
        <v>56001</v>
      </c>
      <c r="EY234">
        <v>1154302487</v>
      </c>
    </row>
    <row r="235" spans="1:155" x14ac:dyDescent="0.2">
      <c r="A235" s="598">
        <v>764</v>
      </c>
      <c r="B235" t="s">
        <v>2870</v>
      </c>
      <c r="C235" t="s">
        <v>848</v>
      </c>
      <c r="D235" t="s">
        <v>1644</v>
      </c>
      <c r="E235"/>
      <c r="F235" t="s">
        <v>846</v>
      </c>
      <c r="G235" t="s">
        <v>54</v>
      </c>
      <c r="H235" t="s">
        <v>2530</v>
      </c>
      <c r="I235"/>
      <c r="J235" t="s">
        <v>1644</v>
      </c>
      <c r="K235"/>
      <c r="L235" t="s">
        <v>848</v>
      </c>
      <c r="M235" t="s">
        <v>846</v>
      </c>
      <c r="N235" t="s">
        <v>54</v>
      </c>
      <c r="O235" t="s">
        <v>2530</v>
      </c>
      <c r="P235"/>
      <c r="Q235">
        <v>3202520233</v>
      </c>
      <c r="R235">
        <v>3202521421</v>
      </c>
      <c r="S235" t="s">
        <v>1460</v>
      </c>
      <c r="T235" t="s">
        <v>1645</v>
      </c>
      <c r="U235" t="s">
        <v>729</v>
      </c>
      <c r="V235" t="s">
        <v>1646</v>
      </c>
      <c r="W235"/>
      <c r="X235" t="s">
        <v>2871</v>
      </c>
      <c r="Y235" t="s">
        <v>2872</v>
      </c>
      <c r="Z235" t="s">
        <v>2873</v>
      </c>
      <c r="AA235" t="s">
        <v>1643</v>
      </c>
      <c r="AB235">
        <v>3202520233</v>
      </c>
      <c r="AC235">
        <v>177</v>
      </c>
      <c r="AD235">
        <v>3202521421</v>
      </c>
      <c r="AE235" t="s">
        <v>2874</v>
      </c>
      <c r="AF235" t="s">
        <v>754</v>
      </c>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t="s">
        <v>1647</v>
      </c>
      <c r="CG235" t="s">
        <v>755</v>
      </c>
      <c r="CH235" t="s">
        <v>56</v>
      </c>
      <c r="CI235"/>
      <c r="CJ235"/>
      <c r="CK235"/>
      <c r="CL235"/>
      <c r="CM235">
        <v>1508882754</v>
      </c>
      <c r="CN235">
        <v>304</v>
      </c>
      <c r="CO235">
        <v>179</v>
      </c>
      <c r="CP235"/>
      <c r="CQ235"/>
      <c r="CR235"/>
      <c r="CS235" t="s">
        <v>2397</v>
      </c>
      <c r="CT235">
        <v>12</v>
      </c>
      <c r="CU235">
        <v>31</v>
      </c>
      <c r="CV235"/>
      <c r="CW235"/>
      <c r="CX235"/>
      <c r="CY235"/>
      <c r="CZ235"/>
      <c r="DA235"/>
      <c r="DB235"/>
      <c r="DC235"/>
      <c r="DD235"/>
      <c r="DE235"/>
      <c r="DF235"/>
      <c r="DG235"/>
      <c r="DH235"/>
      <c r="DI235"/>
      <c r="DJ235"/>
      <c r="DK235"/>
      <c r="DL235"/>
      <c r="DM235"/>
      <c r="DN235">
        <v>133</v>
      </c>
      <c r="DO235" t="s">
        <v>2392</v>
      </c>
      <c r="DP235"/>
      <c r="DQ235"/>
      <c r="DR235"/>
      <c r="DS235"/>
      <c r="DT235"/>
      <c r="DU235"/>
      <c r="DV235"/>
      <c r="DW235"/>
      <c r="DX235"/>
      <c r="DY235"/>
      <c r="DZ235"/>
      <c r="EA235"/>
      <c r="EB235"/>
      <c r="EC235"/>
      <c r="ED235"/>
      <c r="EE235"/>
      <c r="EF235"/>
      <c r="EG235"/>
      <c r="EH235"/>
      <c r="EI235"/>
      <c r="EJ235"/>
      <c r="EK235"/>
      <c r="EL235"/>
      <c r="EM235"/>
      <c r="EN235"/>
      <c r="EO235"/>
      <c r="EP235"/>
      <c r="EQ235"/>
      <c r="ER235"/>
      <c r="ES235" s="569">
        <v>732</v>
      </c>
      <c r="ET235" t="s">
        <v>1722</v>
      </c>
      <c r="EU235" t="s">
        <v>1282</v>
      </c>
      <c r="EV235" t="s">
        <v>3062</v>
      </c>
      <c r="EW235" t="s">
        <v>54</v>
      </c>
      <c r="EX235" s="600">
        <v>56001</v>
      </c>
      <c r="EY235">
        <v>1659346609</v>
      </c>
    </row>
    <row r="236" spans="1:155" x14ac:dyDescent="0.2">
      <c r="A236" s="598">
        <v>733</v>
      </c>
      <c r="B236" t="s">
        <v>1649</v>
      </c>
      <c r="C236" t="s">
        <v>844</v>
      </c>
      <c r="D236" t="s">
        <v>1650</v>
      </c>
      <c r="E236"/>
      <c r="F236" t="s">
        <v>846</v>
      </c>
      <c r="G236" t="s">
        <v>54</v>
      </c>
      <c r="H236" t="s">
        <v>2528</v>
      </c>
      <c r="I236"/>
      <c r="J236" t="s">
        <v>1650</v>
      </c>
      <c r="K236"/>
      <c r="L236" t="s">
        <v>844</v>
      </c>
      <c r="M236" t="s">
        <v>846</v>
      </c>
      <c r="N236" t="s">
        <v>54</v>
      </c>
      <c r="O236" t="s">
        <v>2528</v>
      </c>
      <c r="P236"/>
      <c r="Q236">
        <v>3202594100</v>
      </c>
      <c r="R236">
        <v>3202575523</v>
      </c>
      <c r="S236" t="s">
        <v>1651</v>
      </c>
      <c r="T236" t="s">
        <v>1652</v>
      </c>
      <c r="U236" t="s">
        <v>729</v>
      </c>
      <c r="V236" t="s">
        <v>1653</v>
      </c>
      <c r="W236" t="s">
        <v>1654</v>
      </c>
      <c r="X236" t="s">
        <v>1655</v>
      </c>
      <c r="Y236" t="s">
        <v>1656</v>
      </c>
      <c r="Z236" t="s">
        <v>1657</v>
      </c>
      <c r="AA236" t="s">
        <v>1649</v>
      </c>
      <c r="AB236">
        <v>3202025557</v>
      </c>
      <c r="AC236"/>
      <c r="AD236">
        <v>3202575523</v>
      </c>
      <c r="AE236" t="s">
        <v>1658</v>
      </c>
      <c r="AF236" t="s">
        <v>1650</v>
      </c>
      <c r="AG236"/>
      <c r="AH236" t="s">
        <v>844</v>
      </c>
      <c r="AI236" t="s">
        <v>846</v>
      </c>
      <c r="AJ236" t="s">
        <v>54</v>
      </c>
      <c r="AK236" t="s">
        <v>2528</v>
      </c>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t="s">
        <v>1659</v>
      </c>
      <c r="CG236" t="s">
        <v>755</v>
      </c>
      <c r="CH236" t="s">
        <v>56</v>
      </c>
      <c r="CI236"/>
      <c r="CJ236"/>
      <c r="CK236"/>
      <c r="CL236"/>
      <c r="CM236">
        <v>1083638761</v>
      </c>
      <c r="CN236">
        <v>311</v>
      </c>
      <c r="CO236">
        <v>207</v>
      </c>
      <c r="CP236"/>
      <c r="CQ236"/>
      <c r="CR236"/>
      <c r="CS236" t="s">
        <v>2397</v>
      </c>
      <c r="CT236">
        <v>12</v>
      </c>
      <c r="CU236">
        <v>178</v>
      </c>
      <c r="CV236"/>
      <c r="CW236"/>
      <c r="CX236"/>
      <c r="CY236"/>
      <c r="CZ236"/>
      <c r="DA236"/>
      <c r="DB236"/>
      <c r="DC236"/>
      <c r="DD236">
        <v>128</v>
      </c>
      <c r="DE236" t="s">
        <v>2735</v>
      </c>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s="569">
        <v>629</v>
      </c>
      <c r="ET236" t="s">
        <v>832</v>
      </c>
      <c r="EU236" t="s">
        <v>833</v>
      </c>
      <c r="EV236" t="s">
        <v>3063</v>
      </c>
      <c r="EW236" t="s">
        <v>54</v>
      </c>
      <c r="EX236" s="600">
        <v>55369</v>
      </c>
      <c r="EY236">
        <v>1659348092</v>
      </c>
    </row>
    <row r="237" spans="1:155" x14ac:dyDescent="0.2">
      <c r="A237" s="598">
        <v>1059</v>
      </c>
      <c r="B237" t="s">
        <v>1665</v>
      </c>
      <c r="C237" t="s">
        <v>1666</v>
      </c>
      <c r="D237" t="s">
        <v>1667</v>
      </c>
      <c r="E237"/>
      <c r="F237" t="s">
        <v>912</v>
      </c>
      <c r="G237" t="s">
        <v>54</v>
      </c>
      <c r="H237" t="s">
        <v>2666</v>
      </c>
      <c r="I237" t="s">
        <v>2875</v>
      </c>
      <c r="J237" t="s">
        <v>1660</v>
      </c>
      <c r="K237"/>
      <c r="L237" t="s">
        <v>1119</v>
      </c>
      <c r="M237" t="s">
        <v>912</v>
      </c>
      <c r="N237" t="s">
        <v>54</v>
      </c>
      <c r="O237" t="s">
        <v>2643</v>
      </c>
      <c r="P237" t="s">
        <v>2876</v>
      </c>
      <c r="Q237">
        <v>2187487480</v>
      </c>
      <c r="R237">
        <v>2187487488</v>
      </c>
      <c r="S237" t="s">
        <v>1120</v>
      </c>
      <c r="T237" t="s">
        <v>2877</v>
      </c>
      <c r="U237" t="s">
        <v>2878</v>
      </c>
      <c r="V237" t="s">
        <v>2879</v>
      </c>
      <c r="W237" t="s">
        <v>1661</v>
      </c>
      <c r="X237" t="s">
        <v>2880</v>
      </c>
      <c r="Y237" t="s">
        <v>1662</v>
      </c>
      <c r="Z237" t="s">
        <v>2881</v>
      </c>
      <c r="AA237" t="s">
        <v>1663</v>
      </c>
      <c r="AB237">
        <v>2182495105</v>
      </c>
      <c r="AC237"/>
      <c r="AD237">
        <v>2182492472</v>
      </c>
      <c r="AE237" t="s">
        <v>2116</v>
      </c>
      <c r="AF237" t="s">
        <v>1660</v>
      </c>
      <c r="AG237"/>
      <c r="AH237" t="s">
        <v>1119</v>
      </c>
      <c r="AI237" t="s">
        <v>912</v>
      </c>
      <c r="AJ237" t="s">
        <v>54</v>
      </c>
      <c r="AK237" t="s">
        <v>2643</v>
      </c>
      <c r="AL237" t="s">
        <v>2876</v>
      </c>
      <c r="AM237" t="s">
        <v>1668</v>
      </c>
      <c r="AN237" t="s">
        <v>1669</v>
      </c>
      <c r="AO237" t="s">
        <v>2882</v>
      </c>
      <c r="AP237" t="s">
        <v>1482</v>
      </c>
      <c r="AQ237">
        <v>2182495760</v>
      </c>
      <c r="AR237"/>
      <c r="AS237"/>
      <c r="AT237" t="s">
        <v>1670</v>
      </c>
      <c r="AU237" t="s">
        <v>1660</v>
      </c>
      <c r="AV237"/>
      <c r="AW237" t="s">
        <v>1119</v>
      </c>
      <c r="AX237" t="s">
        <v>912</v>
      </c>
      <c r="AY237" t="s">
        <v>54</v>
      </c>
      <c r="AZ237" t="s">
        <v>2643</v>
      </c>
      <c r="BA237" t="s">
        <v>2876</v>
      </c>
      <c r="BB237" t="s">
        <v>2772</v>
      </c>
      <c r="BC237" t="s">
        <v>2883</v>
      </c>
      <c r="BD237" t="s">
        <v>761</v>
      </c>
      <c r="BE237" t="s">
        <v>1482</v>
      </c>
      <c r="BF237">
        <v>2182496591</v>
      </c>
      <c r="BG237"/>
      <c r="BH237">
        <v>2182492472</v>
      </c>
      <c r="BI237" t="s">
        <v>2884</v>
      </c>
      <c r="BJ237" t="s">
        <v>1660</v>
      </c>
      <c r="BK237"/>
      <c r="BL237" t="s">
        <v>1119</v>
      </c>
      <c r="BM237" t="s">
        <v>912</v>
      </c>
      <c r="BN237" t="s">
        <v>54</v>
      </c>
      <c r="BO237" t="s">
        <v>2643</v>
      </c>
      <c r="BP237" t="s">
        <v>2876</v>
      </c>
      <c r="BQ237" t="s">
        <v>2885</v>
      </c>
      <c r="BR237" t="s">
        <v>2886</v>
      </c>
      <c r="BS237" t="s">
        <v>1290</v>
      </c>
      <c r="BT237" t="s">
        <v>1663</v>
      </c>
      <c r="BU237">
        <v>2182492973</v>
      </c>
      <c r="BV237"/>
      <c r="BW237">
        <v>2182492472</v>
      </c>
      <c r="BX237" t="s">
        <v>2887</v>
      </c>
      <c r="BY237" t="s">
        <v>1660</v>
      </c>
      <c r="BZ237"/>
      <c r="CA237" t="s">
        <v>1119</v>
      </c>
      <c r="CB237" t="s">
        <v>912</v>
      </c>
      <c r="CC237" t="s">
        <v>54</v>
      </c>
      <c r="CD237" t="s">
        <v>2643</v>
      </c>
      <c r="CE237" t="s">
        <v>2876</v>
      </c>
      <c r="CF237" t="s">
        <v>1664</v>
      </c>
      <c r="CG237" t="s">
        <v>1482</v>
      </c>
      <c r="CH237" t="s">
        <v>141</v>
      </c>
      <c r="CI237"/>
      <c r="CJ237"/>
      <c r="CK237"/>
      <c r="CL237"/>
      <c r="CM237">
        <v>1063464154</v>
      </c>
      <c r="CN237">
        <v>440</v>
      </c>
      <c r="CO237">
        <v>439</v>
      </c>
      <c r="CP237">
        <v>1890</v>
      </c>
      <c r="CQ237">
        <v>2315</v>
      </c>
      <c r="CR237">
        <v>438</v>
      </c>
      <c r="CS237" t="s">
        <v>2397</v>
      </c>
      <c r="CT237">
        <v>12</v>
      </c>
      <c r="CU237"/>
      <c r="CV237"/>
      <c r="CW237"/>
      <c r="CX237"/>
      <c r="CY237"/>
      <c r="CZ237"/>
      <c r="DA237"/>
      <c r="DB237"/>
      <c r="DC237"/>
      <c r="DD237">
        <v>128</v>
      </c>
      <c r="DE237" t="s">
        <v>2888</v>
      </c>
      <c r="DF237"/>
      <c r="DG237"/>
      <c r="DH237">
        <v>129</v>
      </c>
      <c r="DI237" t="s">
        <v>2889</v>
      </c>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s="569">
        <v>708</v>
      </c>
      <c r="ET237" t="s">
        <v>1161</v>
      </c>
      <c r="EU237" t="s">
        <v>833</v>
      </c>
      <c r="EV237" t="s">
        <v>3064</v>
      </c>
      <c r="EW237" t="s">
        <v>54</v>
      </c>
      <c r="EX237" s="600">
        <v>55369</v>
      </c>
      <c r="EY237">
        <v>1841315165</v>
      </c>
    </row>
    <row r="238" spans="1:155" x14ac:dyDescent="0.2">
      <c r="A238" s="598">
        <v>754</v>
      </c>
      <c r="B238" t="s">
        <v>1671</v>
      </c>
      <c r="C238" t="s">
        <v>787</v>
      </c>
      <c r="D238" t="s">
        <v>1672</v>
      </c>
      <c r="E238"/>
      <c r="F238" t="s">
        <v>752</v>
      </c>
      <c r="G238" t="s">
        <v>54</v>
      </c>
      <c r="H238" t="s">
        <v>2660</v>
      </c>
      <c r="I238"/>
      <c r="J238" t="s">
        <v>1672</v>
      </c>
      <c r="K238"/>
      <c r="L238" t="s">
        <v>787</v>
      </c>
      <c r="M238" t="s">
        <v>752</v>
      </c>
      <c r="N238" t="s">
        <v>54</v>
      </c>
      <c r="O238" t="s">
        <v>2660</v>
      </c>
      <c r="P238"/>
      <c r="Q238">
        <v>6512515500</v>
      </c>
      <c r="R238">
        <v>6512515555</v>
      </c>
      <c r="S238" t="s">
        <v>2024</v>
      </c>
      <c r="T238" t="s">
        <v>2117</v>
      </c>
      <c r="U238" t="s">
        <v>785</v>
      </c>
      <c r="V238" t="s">
        <v>2118</v>
      </c>
      <c r="W238" t="s">
        <v>1396</v>
      </c>
      <c r="X238" t="s">
        <v>1397</v>
      </c>
      <c r="Y238" t="s">
        <v>1398</v>
      </c>
      <c r="Z238" t="s">
        <v>1208</v>
      </c>
      <c r="AA238" t="s">
        <v>1392</v>
      </c>
      <c r="AB238">
        <v>6516025389</v>
      </c>
      <c r="AC238"/>
      <c r="AD238">
        <v>6514143109</v>
      </c>
      <c r="AE238" t="s">
        <v>1399</v>
      </c>
      <c r="AF238" t="s">
        <v>1400</v>
      </c>
      <c r="AG238" t="s">
        <v>1401</v>
      </c>
      <c r="AH238" t="s">
        <v>787</v>
      </c>
      <c r="AI238" t="s">
        <v>752</v>
      </c>
      <c r="AJ238" t="s">
        <v>54</v>
      </c>
      <c r="AK238" t="s">
        <v>2750</v>
      </c>
      <c r="AL238"/>
      <c r="AM238" t="s">
        <v>1402</v>
      </c>
      <c r="AN238" t="s">
        <v>1403</v>
      </c>
      <c r="AO238" t="s">
        <v>731</v>
      </c>
      <c r="AP238" t="s">
        <v>1392</v>
      </c>
      <c r="AQ238">
        <v>6516025330</v>
      </c>
      <c r="AR238"/>
      <c r="AS238">
        <v>6514143109</v>
      </c>
      <c r="AT238" t="s">
        <v>1404</v>
      </c>
      <c r="AU238" t="s">
        <v>1400</v>
      </c>
      <c r="AV238" t="s">
        <v>1401</v>
      </c>
      <c r="AW238" t="s">
        <v>787</v>
      </c>
      <c r="AX238" t="s">
        <v>752</v>
      </c>
      <c r="AY238" t="s">
        <v>54</v>
      </c>
      <c r="AZ238" t="s">
        <v>2750</v>
      </c>
      <c r="BA238"/>
      <c r="BB238"/>
      <c r="BC238"/>
      <c r="BD238"/>
      <c r="BE238"/>
      <c r="BF238"/>
      <c r="BG238"/>
      <c r="BH238"/>
      <c r="BI238"/>
      <c r="BJ238"/>
      <c r="BK238"/>
      <c r="BL238"/>
      <c r="BM238"/>
      <c r="BN238"/>
      <c r="BO238"/>
      <c r="BP238"/>
      <c r="BQ238" t="s">
        <v>1397</v>
      </c>
      <c r="BR238" t="s">
        <v>1398</v>
      </c>
      <c r="BS238" t="s">
        <v>1208</v>
      </c>
      <c r="BT238" t="s">
        <v>1392</v>
      </c>
      <c r="BU238">
        <v>6516025389</v>
      </c>
      <c r="BV238"/>
      <c r="BW238">
        <v>6514143109</v>
      </c>
      <c r="BX238" t="s">
        <v>1399</v>
      </c>
      <c r="BY238" t="s">
        <v>1400</v>
      </c>
      <c r="BZ238" t="s">
        <v>1401</v>
      </c>
      <c r="CA238" t="s">
        <v>787</v>
      </c>
      <c r="CB238" t="s">
        <v>752</v>
      </c>
      <c r="CC238" t="s">
        <v>54</v>
      </c>
      <c r="CD238" t="s">
        <v>2750</v>
      </c>
      <c r="CE238"/>
      <c r="CF238" t="s">
        <v>1405</v>
      </c>
      <c r="CG238" t="s">
        <v>1406</v>
      </c>
      <c r="CH238" t="s">
        <v>56</v>
      </c>
      <c r="CI238"/>
      <c r="CJ238"/>
      <c r="CK238"/>
      <c r="CL238"/>
      <c r="CM238">
        <v>1609911205</v>
      </c>
      <c r="CN238">
        <v>405</v>
      </c>
      <c r="CO238">
        <v>191</v>
      </c>
      <c r="CP238">
        <v>3205</v>
      </c>
      <c r="CQ238"/>
      <c r="CR238">
        <v>191</v>
      </c>
      <c r="CS238" t="s">
        <v>2397</v>
      </c>
      <c r="CT238">
        <v>12</v>
      </c>
      <c r="CU238"/>
      <c r="CV238"/>
      <c r="CW238"/>
      <c r="CX238"/>
      <c r="CY238"/>
      <c r="CZ238"/>
      <c r="DA238"/>
      <c r="DB238"/>
      <c r="DC238"/>
      <c r="DD238"/>
      <c r="DE238"/>
      <c r="DF238"/>
      <c r="DG238"/>
      <c r="DH238">
        <v>129</v>
      </c>
      <c r="DI238" t="s">
        <v>2890</v>
      </c>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s="569">
        <v>549</v>
      </c>
      <c r="ET238" t="s">
        <v>1203</v>
      </c>
      <c r="EU238" t="s">
        <v>833</v>
      </c>
      <c r="EV238" t="s">
        <v>3065</v>
      </c>
      <c r="EW238" t="s">
        <v>54</v>
      </c>
      <c r="EX238" s="600">
        <v>55369</v>
      </c>
      <c r="EY238">
        <v>1922009471</v>
      </c>
    </row>
    <row r="239" spans="1:155" x14ac:dyDescent="0.2">
      <c r="A239" s="598">
        <v>584</v>
      </c>
      <c r="B239" t="s">
        <v>1673</v>
      </c>
      <c r="C239" t="s">
        <v>787</v>
      </c>
      <c r="D239" t="s">
        <v>1674</v>
      </c>
      <c r="E239"/>
      <c r="F239" t="s">
        <v>752</v>
      </c>
      <c r="G239" t="s">
        <v>54</v>
      </c>
      <c r="H239" t="s">
        <v>2660</v>
      </c>
      <c r="I239"/>
      <c r="J239" t="s">
        <v>1675</v>
      </c>
      <c r="K239"/>
      <c r="L239" t="s">
        <v>787</v>
      </c>
      <c r="M239" t="s">
        <v>752</v>
      </c>
      <c r="N239" t="s">
        <v>54</v>
      </c>
      <c r="O239" t="s">
        <v>2660</v>
      </c>
      <c r="P239"/>
      <c r="Q239">
        <v>6512976504</v>
      </c>
      <c r="R239">
        <v>6512976510</v>
      </c>
      <c r="S239" t="s">
        <v>1309</v>
      </c>
      <c r="T239" t="s">
        <v>1676</v>
      </c>
      <c r="U239" t="s">
        <v>1468</v>
      </c>
      <c r="V239"/>
      <c r="W239" t="s">
        <v>1677</v>
      </c>
      <c r="X239" t="s">
        <v>1164</v>
      </c>
      <c r="Y239" t="s">
        <v>1678</v>
      </c>
      <c r="Z239"/>
      <c r="AA239" t="s">
        <v>1679</v>
      </c>
      <c r="AB239">
        <v>6512922014</v>
      </c>
      <c r="AC239"/>
      <c r="AD239">
        <v>6512922141</v>
      </c>
      <c r="AE239" t="s">
        <v>1680</v>
      </c>
      <c r="AF239" t="s">
        <v>1681</v>
      </c>
      <c r="AG239"/>
      <c r="AH239" t="s">
        <v>787</v>
      </c>
      <c r="AI239" t="s">
        <v>752</v>
      </c>
      <c r="AJ239" t="s">
        <v>54</v>
      </c>
      <c r="AK239" t="s">
        <v>2721</v>
      </c>
      <c r="AL239" t="s">
        <v>2722</v>
      </c>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t="s">
        <v>1682</v>
      </c>
      <c r="CG239" t="s">
        <v>1679</v>
      </c>
      <c r="CH239" t="s">
        <v>141</v>
      </c>
      <c r="CI239"/>
      <c r="CJ239"/>
      <c r="CK239"/>
      <c r="CL239"/>
      <c r="CM239">
        <v>1720059264</v>
      </c>
      <c r="CN239">
        <v>334</v>
      </c>
      <c r="CO239">
        <v>140</v>
      </c>
      <c r="CP239"/>
      <c r="CQ239"/>
      <c r="CR239"/>
      <c r="CS239" t="s">
        <v>2397</v>
      </c>
      <c r="CT239">
        <v>12</v>
      </c>
      <c r="CU239"/>
      <c r="CV239"/>
      <c r="CW239"/>
      <c r="CX239"/>
      <c r="CY239"/>
      <c r="CZ239"/>
      <c r="DA239"/>
      <c r="DB239"/>
      <c r="DC239"/>
      <c r="DD239">
        <v>128</v>
      </c>
      <c r="DE239" t="s">
        <v>2891</v>
      </c>
      <c r="DF239">
        <v>131</v>
      </c>
      <c r="DG239" t="s">
        <v>2892</v>
      </c>
      <c r="DH239">
        <v>129</v>
      </c>
      <c r="DI239" t="s">
        <v>2893</v>
      </c>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s="569">
        <v>191</v>
      </c>
      <c r="ET239" t="s">
        <v>1875</v>
      </c>
      <c r="EU239" t="s">
        <v>833</v>
      </c>
      <c r="EV239" t="s">
        <v>2306</v>
      </c>
      <c r="EW239" t="s">
        <v>54</v>
      </c>
      <c r="EX239" s="599">
        <v>55369</v>
      </c>
      <c r="EY239">
        <v>1225272552</v>
      </c>
    </row>
    <row r="240" spans="1:155" x14ac:dyDescent="0.2">
      <c r="A240" s="598">
        <v>529</v>
      </c>
      <c r="B240" t="s">
        <v>1683</v>
      </c>
      <c r="C240" t="s">
        <v>1123</v>
      </c>
      <c r="D240" t="s">
        <v>1684</v>
      </c>
      <c r="E240" t="s">
        <v>1685</v>
      </c>
      <c r="F240" t="s">
        <v>784</v>
      </c>
      <c r="G240" t="s">
        <v>54</v>
      </c>
      <c r="H240" t="s">
        <v>2799</v>
      </c>
      <c r="I240"/>
      <c r="J240" t="s">
        <v>1684</v>
      </c>
      <c r="K240" t="s">
        <v>1685</v>
      </c>
      <c r="L240" t="s">
        <v>1123</v>
      </c>
      <c r="M240" t="s">
        <v>784</v>
      </c>
      <c r="N240" t="s">
        <v>54</v>
      </c>
      <c r="O240" t="s">
        <v>2799</v>
      </c>
      <c r="P240"/>
      <c r="Q240">
        <v>6514548660</v>
      </c>
      <c r="R240">
        <v>6514547340</v>
      </c>
      <c r="S240" t="s">
        <v>1309</v>
      </c>
      <c r="T240" t="s">
        <v>1676</v>
      </c>
      <c r="U240" t="s">
        <v>1468</v>
      </c>
      <c r="V240"/>
      <c r="W240" t="s">
        <v>1677</v>
      </c>
      <c r="X240" t="s">
        <v>1164</v>
      </c>
      <c r="Y240" t="s">
        <v>1678</v>
      </c>
      <c r="Z240"/>
      <c r="AA240" t="s">
        <v>1679</v>
      </c>
      <c r="AB240">
        <v>6512922014</v>
      </c>
      <c r="AC240"/>
      <c r="AD240">
        <v>6512922141</v>
      </c>
      <c r="AE240" t="s">
        <v>1680</v>
      </c>
      <c r="AF240" t="s">
        <v>1681</v>
      </c>
      <c r="AG240"/>
      <c r="AH240" t="s">
        <v>787</v>
      </c>
      <c r="AI240" t="s">
        <v>752</v>
      </c>
      <c r="AJ240" t="s">
        <v>54</v>
      </c>
      <c r="AK240" t="s">
        <v>2721</v>
      </c>
      <c r="AL240" t="s">
        <v>2722</v>
      </c>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t="s">
        <v>1682</v>
      </c>
      <c r="CG240" t="s">
        <v>1679</v>
      </c>
      <c r="CH240" t="s">
        <v>141</v>
      </c>
      <c r="CI240"/>
      <c r="CJ240"/>
      <c r="CK240"/>
      <c r="CL240"/>
      <c r="CM240">
        <v>1720059264</v>
      </c>
      <c r="CN240">
        <v>332</v>
      </c>
      <c r="CO240">
        <v>140</v>
      </c>
      <c r="CP240"/>
      <c r="CQ240"/>
      <c r="CR240"/>
      <c r="CS240" t="s">
        <v>2397</v>
      </c>
      <c r="CT240">
        <v>12</v>
      </c>
      <c r="CU240"/>
      <c r="CV240"/>
      <c r="CW240"/>
      <c r="CX240"/>
      <c r="CY240"/>
      <c r="CZ240"/>
      <c r="DA240"/>
      <c r="DB240"/>
      <c r="DC240"/>
      <c r="DD240">
        <v>128</v>
      </c>
      <c r="DE240" t="s">
        <v>2618</v>
      </c>
      <c r="DF240"/>
      <c r="DG240"/>
      <c r="DH240">
        <v>129</v>
      </c>
      <c r="DI240" t="s">
        <v>2894</v>
      </c>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s="569">
        <v>1219</v>
      </c>
      <c r="ET240" t="s">
        <v>1471</v>
      </c>
      <c r="EU240" t="s">
        <v>833</v>
      </c>
      <c r="EV240" t="s">
        <v>3066</v>
      </c>
      <c r="EW240" t="s">
        <v>54</v>
      </c>
      <c r="EX240" s="600">
        <v>55369</v>
      </c>
      <c r="EY240">
        <v>1598976326</v>
      </c>
    </row>
    <row r="241" spans="1:155" x14ac:dyDescent="0.2">
      <c r="A241" s="598">
        <v>731</v>
      </c>
      <c r="B241" t="s">
        <v>1686</v>
      </c>
      <c r="C241" t="s">
        <v>1123</v>
      </c>
      <c r="D241" t="s">
        <v>1687</v>
      </c>
      <c r="E241"/>
      <c r="F241" t="s">
        <v>784</v>
      </c>
      <c r="G241" t="s">
        <v>54</v>
      </c>
      <c r="H241" t="s">
        <v>2503</v>
      </c>
      <c r="I241"/>
      <c r="J241" t="s">
        <v>1687</v>
      </c>
      <c r="K241"/>
      <c r="L241" t="s">
        <v>1123</v>
      </c>
      <c r="M241" t="s">
        <v>784</v>
      </c>
      <c r="N241" t="s">
        <v>54</v>
      </c>
      <c r="O241" t="s">
        <v>2503</v>
      </c>
      <c r="P241"/>
      <c r="Q241">
        <v>6516444277</v>
      </c>
      <c r="R241">
        <v>6516444018</v>
      </c>
      <c r="S241" t="s">
        <v>2895</v>
      </c>
      <c r="T241" t="s">
        <v>2896</v>
      </c>
      <c r="U241" t="s">
        <v>729</v>
      </c>
      <c r="V241" t="s">
        <v>2897</v>
      </c>
      <c r="W241"/>
      <c r="X241" t="s">
        <v>1169</v>
      </c>
      <c r="Y241" t="s">
        <v>1688</v>
      </c>
      <c r="Z241" t="s">
        <v>1689</v>
      </c>
      <c r="AA241" t="s">
        <v>1690</v>
      </c>
      <c r="AB241">
        <v>6518423329</v>
      </c>
      <c r="AC241"/>
      <c r="AD241">
        <v>6518423391</v>
      </c>
      <c r="AE241" t="s">
        <v>1691</v>
      </c>
      <c r="AF241" t="s">
        <v>1687</v>
      </c>
      <c r="AG241" t="s">
        <v>859</v>
      </c>
      <c r="AH241" t="s">
        <v>1123</v>
      </c>
      <c r="AI241" t="s">
        <v>784</v>
      </c>
      <c r="AJ241" t="s">
        <v>54</v>
      </c>
      <c r="AK241" t="s">
        <v>2503</v>
      </c>
      <c r="AL241" t="s">
        <v>2898</v>
      </c>
      <c r="AM241" t="s">
        <v>2895</v>
      </c>
      <c r="AN241" t="s">
        <v>2896</v>
      </c>
      <c r="AO241" t="s">
        <v>729</v>
      </c>
      <c r="AP241" t="s">
        <v>1690</v>
      </c>
      <c r="AQ241">
        <v>6518423345</v>
      </c>
      <c r="AR241"/>
      <c r="AS241">
        <v>6518423391</v>
      </c>
      <c r="AT241" t="s">
        <v>2897</v>
      </c>
      <c r="AU241" t="s">
        <v>1687</v>
      </c>
      <c r="AV241" t="s">
        <v>859</v>
      </c>
      <c r="AW241" t="s">
        <v>1123</v>
      </c>
      <c r="AX241" t="s">
        <v>784</v>
      </c>
      <c r="AY241" t="s">
        <v>54</v>
      </c>
      <c r="AZ241" t="s">
        <v>2503</v>
      </c>
      <c r="BA241" t="s">
        <v>2898</v>
      </c>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t="s">
        <v>1692</v>
      </c>
      <c r="CG241" t="s">
        <v>755</v>
      </c>
      <c r="CH241" t="s">
        <v>56</v>
      </c>
      <c r="CI241"/>
      <c r="CJ241"/>
      <c r="CK241"/>
      <c r="CL241"/>
      <c r="CM241">
        <v>1053344788</v>
      </c>
      <c r="CN241">
        <v>309</v>
      </c>
      <c r="CO241">
        <v>223</v>
      </c>
      <c r="CP241">
        <v>224</v>
      </c>
      <c r="CQ241"/>
      <c r="CR241"/>
      <c r="CS241" t="s">
        <v>2397</v>
      </c>
      <c r="CT241">
        <v>12</v>
      </c>
      <c r="CU241"/>
      <c r="CV241"/>
      <c r="CW241"/>
      <c r="CX241"/>
      <c r="CY241"/>
      <c r="CZ241"/>
      <c r="DA241"/>
      <c r="DB241"/>
      <c r="DC241"/>
      <c r="DD241"/>
      <c r="DE241"/>
      <c r="DF241"/>
      <c r="DG241"/>
      <c r="DH241"/>
      <c r="DI241"/>
      <c r="DJ241"/>
      <c r="DK241"/>
      <c r="DL241">
        <v>132</v>
      </c>
      <c r="DM241" t="s">
        <v>2899</v>
      </c>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s="569">
        <v>550</v>
      </c>
      <c r="ET241" t="s">
        <v>1524</v>
      </c>
      <c r="EU241" t="s">
        <v>833</v>
      </c>
      <c r="EV241" t="s">
        <v>3067</v>
      </c>
      <c r="EW241" t="s">
        <v>54</v>
      </c>
      <c r="EX241" s="600">
        <v>55369</v>
      </c>
      <c r="EY241">
        <v>1780621904</v>
      </c>
    </row>
    <row r="242" spans="1:155" x14ac:dyDescent="0.2">
      <c r="A242" s="598">
        <v>628</v>
      </c>
      <c r="B242" t="s">
        <v>1693</v>
      </c>
      <c r="C242" t="s">
        <v>1369</v>
      </c>
      <c r="D242" t="s">
        <v>1694</v>
      </c>
      <c r="E242" t="s">
        <v>759</v>
      </c>
      <c r="F242" t="s">
        <v>737</v>
      </c>
      <c r="G242" t="s">
        <v>54</v>
      </c>
      <c r="H242" t="s">
        <v>2742</v>
      </c>
      <c r="I242"/>
      <c r="J242" t="s">
        <v>1694</v>
      </c>
      <c r="K242" t="s">
        <v>759</v>
      </c>
      <c r="L242" t="s">
        <v>1369</v>
      </c>
      <c r="M242" t="s">
        <v>737</v>
      </c>
      <c r="N242" t="s">
        <v>54</v>
      </c>
      <c r="O242" t="s">
        <v>2742</v>
      </c>
      <c r="P242"/>
      <c r="Q242">
        <v>7635215000</v>
      </c>
      <c r="R242">
        <v>7635212000</v>
      </c>
      <c r="S242" t="s">
        <v>1695</v>
      </c>
      <c r="T242" t="s">
        <v>1696</v>
      </c>
      <c r="U242" t="s">
        <v>1697</v>
      </c>
      <c r="V242" t="s">
        <v>1698</v>
      </c>
      <c r="W242"/>
      <c r="X242" t="s">
        <v>1637</v>
      </c>
      <c r="Y242" t="s">
        <v>1145</v>
      </c>
      <c r="Z242" t="s">
        <v>753</v>
      </c>
      <c r="AA242" t="s">
        <v>1699</v>
      </c>
      <c r="AB242">
        <v>7635215000</v>
      </c>
      <c r="AC242"/>
      <c r="AD242">
        <v>7635212000</v>
      </c>
      <c r="AE242" t="s">
        <v>1700</v>
      </c>
      <c r="AF242" t="s">
        <v>1694</v>
      </c>
      <c r="AG242" t="s">
        <v>759</v>
      </c>
      <c r="AH242" t="s">
        <v>1369</v>
      </c>
      <c r="AI242" t="s">
        <v>737</v>
      </c>
      <c r="AJ242" t="s">
        <v>54</v>
      </c>
      <c r="AK242" t="s">
        <v>2742</v>
      </c>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t="s">
        <v>1701</v>
      </c>
      <c r="CG242" t="s">
        <v>1702</v>
      </c>
      <c r="CH242" t="s">
        <v>141</v>
      </c>
      <c r="CI242"/>
      <c r="CJ242"/>
      <c r="CK242"/>
      <c r="CL242"/>
      <c r="CM242">
        <v>1679601553</v>
      </c>
      <c r="CN242">
        <v>2884</v>
      </c>
      <c r="CO242">
        <v>160</v>
      </c>
      <c r="CP242"/>
      <c r="CQ242"/>
      <c r="CR242"/>
      <c r="CS242" t="s">
        <v>2397</v>
      </c>
      <c r="CT242">
        <v>12</v>
      </c>
      <c r="CU242"/>
      <c r="CV242"/>
      <c r="CW242"/>
      <c r="CX242"/>
      <c r="CY242"/>
      <c r="CZ242"/>
      <c r="DA242"/>
      <c r="DB242"/>
      <c r="DC242"/>
      <c r="DD242">
        <v>128</v>
      </c>
      <c r="DE242" t="s">
        <v>2900</v>
      </c>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s="569">
        <v>551</v>
      </c>
      <c r="ET242" t="s">
        <v>1715</v>
      </c>
      <c r="EU242" t="s">
        <v>833</v>
      </c>
      <c r="EV242" t="s">
        <v>3068</v>
      </c>
      <c r="EW242" t="s">
        <v>54</v>
      </c>
      <c r="EX242" s="600">
        <v>55369</v>
      </c>
      <c r="EY242">
        <v>1427008937</v>
      </c>
    </row>
    <row r="243" spans="1:155" x14ac:dyDescent="0.2">
      <c r="A243" s="598">
        <v>906</v>
      </c>
      <c r="B243" t="s">
        <v>1703</v>
      </c>
      <c r="C243" t="s">
        <v>1369</v>
      </c>
      <c r="D243" t="s">
        <v>1694</v>
      </c>
      <c r="E243" t="s">
        <v>1126</v>
      </c>
      <c r="F243" t="s">
        <v>737</v>
      </c>
      <c r="G243" t="s">
        <v>54</v>
      </c>
      <c r="H243" t="s">
        <v>2742</v>
      </c>
      <c r="I243"/>
      <c r="J243" t="s">
        <v>1694</v>
      </c>
      <c r="K243" t="s">
        <v>1126</v>
      </c>
      <c r="L243" t="s">
        <v>1369</v>
      </c>
      <c r="M243" t="s">
        <v>737</v>
      </c>
      <c r="N243" t="s">
        <v>54</v>
      </c>
      <c r="O243" t="s">
        <v>2742</v>
      </c>
      <c r="P243"/>
      <c r="Q243">
        <v>7635215000</v>
      </c>
      <c r="R243">
        <v>7635212000</v>
      </c>
      <c r="S243" t="s">
        <v>1695</v>
      </c>
      <c r="T243" t="s">
        <v>1696</v>
      </c>
      <c r="U243" t="s">
        <v>1697</v>
      </c>
      <c r="V243" t="s">
        <v>1698</v>
      </c>
      <c r="W243"/>
      <c r="X243" t="s">
        <v>1637</v>
      </c>
      <c r="Y243" t="s">
        <v>1145</v>
      </c>
      <c r="Z243" t="s">
        <v>753</v>
      </c>
      <c r="AA243" t="s">
        <v>1699</v>
      </c>
      <c r="AB243">
        <v>7635215000</v>
      </c>
      <c r="AC243"/>
      <c r="AD243">
        <v>7635212000</v>
      </c>
      <c r="AE243" t="s">
        <v>1700</v>
      </c>
      <c r="AF243" t="s">
        <v>1694</v>
      </c>
      <c r="AG243" t="s">
        <v>759</v>
      </c>
      <c r="AH243" t="s">
        <v>1369</v>
      </c>
      <c r="AI243" t="s">
        <v>737</v>
      </c>
      <c r="AJ243" t="s">
        <v>54</v>
      </c>
      <c r="AK243" t="s">
        <v>2742</v>
      </c>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t="s">
        <v>1701</v>
      </c>
      <c r="CG243" t="s">
        <v>1702</v>
      </c>
      <c r="CH243" t="s">
        <v>141</v>
      </c>
      <c r="CI243"/>
      <c r="CJ243"/>
      <c r="CK243"/>
      <c r="CL243"/>
      <c r="CM243">
        <v>1285890012</v>
      </c>
      <c r="CN243">
        <v>2885</v>
      </c>
      <c r="CO243">
        <v>160</v>
      </c>
      <c r="CP243"/>
      <c r="CQ243"/>
      <c r="CR243"/>
      <c r="CS243" t="s">
        <v>2397</v>
      </c>
      <c r="CT243">
        <v>12</v>
      </c>
      <c r="CU243"/>
      <c r="CV243"/>
      <c r="CW243"/>
      <c r="CX243"/>
      <c r="CY243"/>
      <c r="CZ243"/>
      <c r="DA243"/>
      <c r="DB243"/>
      <c r="DC243"/>
      <c r="DD243">
        <v>128</v>
      </c>
      <c r="DE243" t="s">
        <v>2900</v>
      </c>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s="569">
        <v>1276</v>
      </c>
      <c r="ET243" t="s">
        <v>2121</v>
      </c>
      <c r="EU243" t="s">
        <v>833</v>
      </c>
      <c r="EV243" t="s">
        <v>3063</v>
      </c>
      <c r="EW243" t="s">
        <v>54</v>
      </c>
      <c r="EX243" s="600">
        <v>55369</v>
      </c>
      <c r="EY243">
        <v>1164474250</v>
      </c>
    </row>
    <row r="244" spans="1:155" x14ac:dyDescent="0.2">
      <c r="A244" s="598">
        <v>667</v>
      </c>
      <c r="B244" t="s">
        <v>1704</v>
      </c>
      <c r="C244" t="s">
        <v>812</v>
      </c>
      <c r="D244" t="s">
        <v>1705</v>
      </c>
      <c r="E244"/>
      <c r="F244" t="s">
        <v>814</v>
      </c>
      <c r="G244" t="s">
        <v>54</v>
      </c>
      <c r="H244" t="s">
        <v>2777</v>
      </c>
      <c r="I244" t="s">
        <v>2901</v>
      </c>
      <c r="J244" t="s">
        <v>1705</v>
      </c>
      <c r="K244"/>
      <c r="L244" t="s">
        <v>812</v>
      </c>
      <c r="M244" t="s">
        <v>814</v>
      </c>
      <c r="N244" t="s">
        <v>54</v>
      </c>
      <c r="O244" t="s">
        <v>2777</v>
      </c>
      <c r="P244" t="s">
        <v>2901</v>
      </c>
      <c r="Q244">
        <v>7632256500</v>
      </c>
      <c r="R244">
        <v>7632256501</v>
      </c>
      <c r="S244" t="s">
        <v>1262</v>
      </c>
      <c r="T244" t="s">
        <v>2064</v>
      </c>
      <c r="U244" t="s">
        <v>1084</v>
      </c>
      <c r="V244" t="s">
        <v>2065</v>
      </c>
      <c r="W244"/>
      <c r="X244" t="s">
        <v>1272</v>
      </c>
      <c r="Y244" t="s">
        <v>1273</v>
      </c>
      <c r="Z244" t="s">
        <v>1266</v>
      </c>
      <c r="AA244" t="s">
        <v>1280</v>
      </c>
      <c r="AB244">
        <v>9528379752</v>
      </c>
      <c r="AC244"/>
      <c r="AD244">
        <v>9528379701</v>
      </c>
      <c r="AE244" t="s">
        <v>1276</v>
      </c>
      <c r="AF244" t="s">
        <v>1277</v>
      </c>
      <c r="AG244" t="s">
        <v>1278</v>
      </c>
      <c r="AH244" t="s">
        <v>1279</v>
      </c>
      <c r="AI244" t="s">
        <v>737</v>
      </c>
      <c r="AJ244" t="s">
        <v>54</v>
      </c>
      <c r="AK244" t="s">
        <v>2708</v>
      </c>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t="s">
        <v>1706</v>
      </c>
      <c r="CG244" t="s">
        <v>1280</v>
      </c>
      <c r="CH244" t="s">
        <v>56</v>
      </c>
      <c r="CI244"/>
      <c r="CJ244"/>
      <c r="CK244"/>
      <c r="CL244"/>
      <c r="CM244">
        <v>1629027594</v>
      </c>
      <c r="CN244">
        <v>416</v>
      </c>
      <c r="CO244">
        <v>151</v>
      </c>
      <c r="CP244"/>
      <c r="CQ244"/>
      <c r="CR244"/>
      <c r="CS244" t="s">
        <v>2902</v>
      </c>
      <c r="CT244">
        <v>12</v>
      </c>
      <c r="CU244"/>
      <c r="CV244"/>
      <c r="CW244"/>
      <c r="CX244"/>
      <c r="CY244"/>
      <c r="CZ244"/>
      <c r="DA244"/>
      <c r="DB244"/>
      <c r="DC244"/>
      <c r="DD244">
        <v>128</v>
      </c>
      <c r="DE244" t="s">
        <v>2903</v>
      </c>
      <c r="DF244"/>
      <c r="DG244"/>
      <c r="DH244">
        <v>129</v>
      </c>
      <c r="DI244" t="s">
        <v>2904</v>
      </c>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s="569">
        <v>722</v>
      </c>
      <c r="ET244" t="s">
        <v>789</v>
      </c>
      <c r="EU244" t="s">
        <v>790</v>
      </c>
      <c r="EV244" t="s">
        <v>3069</v>
      </c>
      <c r="EW244" t="s">
        <v>54</v>
      </c>
      <c r="EX244" s="600">
        <v>55109</v>
      </c>
      <c r="EY244">
        <v>1710158357</v>
      </c>
    </row>
    <row r="245" spans="1:155" x14ac:dyDescent="0.2">
      <c r="A245" s="598">
        <v>1380</v>
      </c>
      <c r="B245" t="s">
        <v>2183</v>
      </c>
      <c r="C245" t="s">
        <v>812</v>
      </c>
      <c r="D245" t="s">
        <v>2184</v>
      </c>
      <c r="E245" t="s">
        <v>2140</v>
      </c>
      <c r="F245" t="s">
        <v>814</v>
      </c>
      <c r="G245" t="s">
        <v>54</v>
      </c>
      <c r="H245" t="s">
        <v>2777</v>
      </c>
      <c r="I245" t="s">
        <v>2368</v>
      </c>
      <c r="J245" t="s">
        <v>2184</v>
      </c>
      <c r="K245" t="s">
        <v>2140</v>
      </c>
      <c r="L245" t="s">
        <v>812</v>
      </c>
      <c r="M245" t="s">
        <v>814</v>
      </c>
      <c r="N245" t="s">
        <v>54</v>
      </c>
      <c r="O245" t="s">
        <v>2777</v>
      </c>
      <c r="P245" t="s">
        <v>2368</v>
      </c>
      <c r="Q245">
        <v>7637951607</v>
      </c>
      <c r="R245">
        <v>7637556550</v>
      </c>
      <c r="S245" t="s">
        <v>1262</v>
      </c>
      <c r="T245" t="s">
        <v>2064</v>
      </c>
      <c r="U245" t="s">
        <v>1084</v>
      </c>
      <c r="V245" t="s">
        <v>2065</v>
      </c>
      <c r="W245" t="s">
        <v>2368</v>
      </c>
      <c r="X245" t="s">
        <v>1272</v>
      </c>
      <c r="Y245" t="s">
        <v>1273</v>
      </c>
      <c r="Z245" t="s">
        <v>1266</v>
      </c>
      <c r="AA245" t="s">
        <v>1280</v>
      </c>
      <c r="AB245">
        <v>9528379752</v>
      </c>
      <c r="AC245"/>
      <c r="AD245">
        <v>9528379701</v>
      </c>
      <c r="AE245" t="s">
        <v>1276</v>
      </c>
      <c r="AF245" t="s">
        <v>1277</v>
      </c>
      <c r="AG245" t="s">
        <v>1278</v>
      </c>
      <c r="AH245" t="s">
        <v>1279</v>
      </c>
      <c r="AI245" t="s">
        <v>737</v>
      </c>
      <c r="AJ245" t="s">
        <v>54</v>
      </c>
      <c r="AK245" t="s">
        <v>2708</v>
      </c>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t="s">
        <v>1706</v>
      </c>
      <c r="CG245" t="s">
        <v>1280</v>
      </c>
      <c r="CH245" t="s">
        <v>56</v>
      </c>
      <c r="CI245"/>
      <c r="CJ245"/>
      <c r="CK245"/>
      <c r="CL245"/>
      <c r="CM245">
        <v>1629027594</v>
      </c>
      <c r="CN245">
        <v>2404</v>
      </c>
      <c r="CO245">
        <v>151</v>
      </c>
      <c r="CP245"/>
      <c r="CQ245"/>
      <c r="CR245"/>
      <c r="CS245" t="s">
        <v>2902</v>
      </c>
      <c r="CT245">
        <v>12</v>
      </c>
      <c r="CU245"/>
      <c r="CV245"/>
      <c r="CW245"/>
      <c r="CX245" t="s">
        <v>2368</v>
      </c>
      <c r="CY245"/>
      <c r="CZ245" t="s">
        <v>2368</v>
      </c>
      <c r="DA245" t="s">
        <v>2368</v>
      </c>
      <c r="DB245" t="s">
        <v>2368</v>
      </c>
      <c r="DC245" t="s">
        <v>2368</v>
      </c>
      <c r="DD245">
        <v>128</v>
      </c>
      <c r="DE245" t="s">
        <v>2905</v>
      </c>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s="569">
        <v>552</v>
      </c>
      <c r="ET245" t="s">
        <v>835</v>
      </c>
      <c r="EU245" t="s">
        <v>790</v>
      </c>
      <c r="EV245" t="s">
        <v>3070</v>
      </c>
      <c r="EW245" t="s">
        <v>54</v>
      </c>
      <c r="EX245" s="600">
        <v>55109</v>
      </c>
      <c r="EY245">
        <v>1659348092</v>
      </c>
    </row>
    <row r="246" spans="1:155" x14ac:dyDescent="0.2">
      <c r="A246" s="598">
        <v>516</v>
      </c>
      <c r="B246" t="s">
        <v>1707</v>
      </c>
      <c r="C246" t="s">
        <v>819</v>
      </c>
      <c r="D246" t="s">
        <v>1708</v>
      </c>
      <c r="E246" t="s">
        <v>1709</v>
      </c>
      <c r="F246" t="s">
        <v>784</v>
      </c>
      <c r="G246" t="s">
        <v>54</v>
      </c>
      <c r="H246" t="s">
        <v>2498</v>
      </c>
      <c r="I246"/>
      <c r="J246" t="s">
        <v>1708</v>
      </c>
      <c r="K246" t="s">
        <v>1709</v>
      </c>
      <c r="L246" t="s">
        <v>819</v>
      </c>
      <c r="M246" t="s">
        <v>784</v>
      </c>
      <c r="N246" t="s">
        <v>54</v>
      </c>
      <c r="O246" t="s">
        <v>2498</v>
      </c>
      <c r="P246"/>
      <c r="Q246">
        <v>9528982333</v>
      </c>
      <c r="R246">
        <v>9528986270</v>
      </c>
      <c r="S246" t="s">
        <v>1262</v>
      </c>
      <c r="T246" t="s">
        <v>2064</v>
      </c>
      <c r="U246" t="s">
        <v>1084</v>
      </c>
      <c r="V246" t="s">
        <v>2065</v>
      </c>
      <c r="W246"/>
      <c r="X246" t="s">
        <v>1272</v>
      </c>
      <c r="Y246" t="s">
        <v>1273</v>
      </c>
      <c r="Z246" t="s">
        <v>1266</v>
      </c>
      <c r="AA246" t="s">
        <v>1280</v>
      </c>
      <c r="AB246">
        <v>9528379752</v>
      </c>
      <c r="AC246"/>
      <c r="AD246">
        <v>9528379701</v>
      </c>
      <c r="AE246" t="s">
        <v>1276</v>
      </c>
      <c r="AF246" t="s">
        <v>1277</v>
      </c>
      <c r="AG246" t="s">
        <v>1278</v>
      </c>
      <c r="AH246" t="s">
        <v>1279</v>
      </c>
      <c r="AI246" t="s">
        <v>737</v>
      </c>
      <c r="AJ246" t="s">
        <v>54</v>
      </c>
      <c r="AK246" t="s">
        <v>2708</v>
      </c>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t="s">
        <v>1706</v>
      </c>
      <c r="CG246" t="s">
        <v>1280</v>
      </c>
      <c r="CH246" t="s">
        <v>141</v>
      </c>
      <c r="CI246"/>
      <c r="CJ246"/>
      <c r="CK246"/>
      <c r="CL246"/>
      <c r="CM246">
        <v>1629027594</v>
      </c>
      <c r="CN246">
        <v>417</v>
      </c>
      <c r="CO246">
        <v>151</v>
      </c>
      <c r="CP246"/>
      <c r="CQ246"/>
      <c r="CR246"/>
      <c r="CS246" t="s">
        <v>2902</v>
      </c>
      <c r="CT246">
        <v>12</v>
      </c>
      <c r="CU246"/>
      <c r="CV246"/>
      <c r="CW246"/>
      <c r="CX246"/>
      <c r="CY246"/>
      <c r="CZ246"/>
      <c r="DA246"/>
      <c r="DB246"/>
      <c r="DC246"/>
      <c r="DD246">
        <v>128</v>
      </c>
      <c r="DE246" t="s">
        <v>2687</v>
      </c>
      <c r="DF246"/>
      <c r="DG246"/>
      <c r="DH246">
        <v>129</v>
      </c>
      <c r="DI246" t="s">
        <v>2688</v>
      </c>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s="569">
        <v>1265</v>
      </c>
      <c r="ET246" t="s">
        <v>2066</v>
      </c>
      <c r="EU246" t="s">
        <v>790</v>
      </c>
      <c r="EV246" t="s">
        <v>3071</v>
      </c>
      <c r="EW246" t="s">
        <v>54</v>
      </c>
      <c r="EX246" s="600">
        <v>55109</v>
      </c>
      <c r="EY246">
        <v>1164604146</v>
      </c>
    </row>
    <row r="247" spans="1:155" x14ac:dyDescent="0.2">
      <c r="A247" s="598">
        <v>520</v>
      </c>
      <c r="B247" t="s">
        <v>1710</v>
      </c>
      <c r="C247" t="s">
        <v>823</v>
      </c>
      <c r="D247" t="s">
        <v>1711</v>
      </c>
      <c r="E247" t="s">
        <v>1712</v>
      </c>
      <c r="F247" t="s">
        <v>814</v>
      </c>
      <c r="G247" t="s">
        <v>54</v>
      </c>
      <c r="H247" t="s">
        <v>2500</v>
      </c>
      <c r="I247"/>
      <c r="J247" t="s">
        <v>1711</v>
      </c>
      <c r="K247" t="s">
        <v>1712</v>
      </c>
      <c r="L247" t="s">
        <v>823</v>
      </c>
      <c r="M247" t="s">
        <v>814</v>
      </c>
      <c r="N247" t="s">
        <v>54</v>
      </c>
      <c r="O247" t="s">
        <v>2500</v>
      </c>
      <c r="P247"/>
      <c r="Q247">
        <v>7637921900</v>
      </c>
      <c r="R247">
        <v>7637921901</v>
      </c>
      <c r="S247" t="s">
        <v>1262</v>
      </c>
      <c r="T247" t="s">
        <v>2064</v>
      </c>
      <c r="U247" t="s">
        <v>1084</v>
      </c>
      <c r="V247" t="s">
        <v>2065</v>
      </c>
      <c r="W247"/>
      <c r="X247" t="s">
        <v>1272</v>
      </c>
      <c r="Y247" t="s">
        <v>1273</v>
      </c>
      <c r="Z247" t="s">
        <v>1266</v>
      </c>
      <c r="AA247" t="s">
        <v>1280</v>
      </c>
      <c r="AB247">
        <v>9528379752</v>
      </c>
      <c r="AC247"/>
      <c r="AD247">
        <v>9528379701</v>
      </c>
      <c r="AE247" t="s">
        <v>1276</v>
      </c>
      <c r="AF247" t="s">
        <v>1277</v>
      </c>
      <c r="AG247" t="s">
        <v>1278</v>
      </c>
      <c r="AH247" t="s">
        <v>1279</v>
      </c>
      <c r="AI247" t="s">
        <v>737</v>
      </c>
      <c r="AJ247" t="s">
        <v>54</v>
      </c>
      <c r="AK247" t="s">
        <v>2708</v>
      </c>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t="s">
        <v>1706</v>
      </c>
      <c r="CG247" t="s">
        <v>1280</v>
      </c>
      <c r="CH247" t="s">
        <v>56</v>
      </c>
      <c r="CI247" t="s">
        <v>768</v>
      </c>
      <c r="CJ247" t="s">
        <v>56</v>
      </c>
      <c r="CK247"/>
      <c r="CL247"/>
      <c r="CM247">
        <v>1427008937</v>
      </c>
      <c r="CN247">
        <v>418</v>
      </c>
      <c r="CO247">
        <v>151</v>
      </c>
      <c r="CP247"/>
      <c r="CQ247"/>
      <c r="CR247"/>
      <c r="CS247" t="s">
        <v>2397</v>
      </c>
      <c r="CT247">
        <v>12</v>
      </c>
      <c r="CU247"/>
      <c r="CV247"/>
      <c r="CW247"/>
      <c r="CX247"/>
      <c r="CY247"/>
      <c r="CZ247"/>
      <c r="DA247"/>
      <c r="DB247"/>
      <c r="DC247"/>
      <c r="DD247">
        <v>128</v>
      </c>
      <c r="DE247" t="s">
        <v>2906</v>
      </c>
      <c r="DF247"/>
      <c r="DG247"/>
      <c r="DH247">
        <v>129</v>
      </c>
      <c r="DI247" t="s">
        <v>2907</v>
      </c>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s="569">
        <v>753</v>
      </c>
      <c r="ET247" t="s">
        <v>1392</v>
      </c>
      <c r="EU247" t="s">
        <v>790</v>
      </c>
      <c r="EV247" t="s">
        <v>3072</v>
      </c>
      <c r="EW247" t="s">
        <v>54</v>
      </c>
      <c r="EX247" s="600">
        <v>55109</v>
      </c>
      <c r="EY247">
        <v>1376686774</v>
      </c>
    </row>
    <row r="248" spans="1:155" x14ac:dyDescent="0.2">
      <c r="A248" s="598">
        <v>1032</v>
      </c>
      <c r="B248" t="s">
        <v>1713</v>
      </c>
      <c r="C248" t="s">
        <v>823</v>
      </c>
      <c r="D248" t="s">
        <v>1714</v>
      </c>
      <c r="E248" t="s">
        <v>842</v>
      </c>
      <c r="F248" t="s">
        <v>814</v>
      </c>
      <c r="G248" t="s">
        <v>54</v>
      </c>
      <c r="H248" t="s">
        <v>2500</v>
      </c>
      <c r="I248"/>
      <c r="J248" t="s">
        <v>1714</v>
      </c>
      <c r="K248" t="s">
        <v>842</v>
      </c>
      <c r="L248" t="s">
        <v>823</v>
      </c>
      <c r="M248" t="s">
        <v>814</v>
      </c>
      <c r="N248" t="s">
        <v>54</v>
      </c>
      <c r="O248" t="s">
        <v>2500</v>
      </c>
      <c r="P248"/>
      <c r="Q248">
        <v>7637951600</v>
      </c>
      <c r="R248">
        <v>7634210530</v>
      </c>
      <c r="S248" t="s">
        <v>1262</v>
      </c>
      <c r="T248" t="s">
        <v>2064</v>
      </c>
      <c r="U248" t="s">
        <v>1084</v>
      </c>
      <c r="V248" t="s">
        <v>2065</v>
      </c>
      <c r="W248"/>
      <c r="X248" t="s">
        <v>1272</v>
      </c>
      <c r="Y248" t="s">
        <v>1273</v>
      </c>
      <c r="Z248" t="s">
        <v>1266</v>
      </c>
      <c r="AA248" t="s">
        <v>1280</v>
      </c>
      <c r="AB248">
        <v>9528379752</v>
      </c>
      <c r="AC248"/>
      <c r="AD248">
        <v>9528379701</v>
      </c>
      <c r="AE248" t="s">
        <v>1276</v>
      </c>
      <c r="AF248" t="s">
        <v>1277</v>
      </c>
      <c r="AG248" t="s">
        <v>1278</v>
      </c>
      <c r="AH248" t="s">
        <v>1279</v>
      </c>
      <c r="AI248" t="s">
        <v>737</v>
      </c>
      <c r="AJ248" t="s">
        <v>54</v>
      </c>
      <c r="AK248" t="s">
        <v>2708</v>
      </c>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t="s">
        <v>1272</v>
      </c>
      <c r="BR248" t="s">
        <v>1273</v>
      </c>
      <c r="BS248" t="s">
        <v>1266</v>
      </c>
      <c r="BT248" t="s">
        <v>1280</v>
      </c>
      <c r="BU248">
        <v>9528379752</v>
      </c>
      <c r="BV248"/>
      <c r="BW248">
        <v>9528379701</v>
      </c>
      <c r="BX248" t="s">
        <v>1276</v>
      </c>
      <c r="BY248" t="s">
        <v>1277</v>
      </c>
      <c r="BZ248" t="s">
        <v>1278</v>
      </c>
      <c r="CA248" t="s">
        <v>1279</v>
      </c>
      <c r="CB248" t="s">
        <v>737</v>
      </c>
      <c r="CC248" t="s">
        <v>54</v>
      </c>
      <c r="CD248" t="s">
        <v>2708</v>
      </c>
      <c r="CE248"/>
      <c r="CF248" t="s">
        <v>1706</v>
      </c>
      <c r="CG248" t="s">
        <v>1280</v>
      </c>
      <c r="CH248" t="s">
        <v>56</v>
      </c>
      <c r="CI248"/>
      <c r="CJ248"/>
      <c r="CK248"/>
      <c r="CL248"/>
      <c r="CM248">
        <v>1427008937</v>
      </c>
      <c r="CN248">
        <v>2049</v>
      </c>
      <c r="CO248">
        <v>151</v>
      </c>
      <c r="CP248"/>
      <c r="CQ248"/>
      <c r="CR248">
        <v>151</v>
      </c>
      <c r="CS248" t="s">
        <v>2902</v>
      </c>
      <c r="CT248">
        <v>12</v>
      </c>
      <c r="CU248"/>
      <c r="CV248"/>
      <c r="CW248"/>
      <c r="CX248"/>
      <c r="CY248"/>
      <c r="CZ248"/>
      <c r="DA248"/>
      <c r="DB248"/>
      <c r="DC248"/>
      <c r="DD248">
        <v>128</v>
      </c>
      <c r="DE248" t="s">
        <v>2908</v>
      </c>
      <c r="DF248"/>
      <c r="DG248"/>
      <c r="DH248">
        <v>129</v>
      </c>
      <c r="DI248" t="s">
        <v>2908</v>
      </c>
      <c r="DJ248"/>
      <c r="DK248"/>
      <c r="DL248"/>
      <c r="DM248"/>
      <c r="DN248"/>
      <c r="DO248"/>
      <c r="DP248">
        <v>134</v>
      </c>
      <c r="DQ248" t="s">
        <v>2776</v>
      </c>
      <c r="DR248"/>
      <c r="DS248"/>
      <c r="DT248"/>
      <c r="DU248"/>
      <c r="DV248"/>
      <c r="DW248"/>
      <c r="DX248"/>
      <c r="DY248"/>
      <c r="DZ248"/>
      <c r="EA248"/>
      <c r="EB248"/>
      <c r="EC248"/>
      <c r="ED248"/>
      <c r="EE248"/>
      <c r="EF248"/>
      <c r="EG248"/>
      <c r="EH248"/>
      <c r="EI248"/>
      <c r="EJ248"/>
      <c r="EK248"/>
      <c r="EL248"/>
      <c r="EM248"/>
      <c r="EN248"/>
      <c r="EO248"/>
      <c r="EP248"/>
      <c r="EQ248"/>
      <c r="ER248"/>
      <c r="ES248" s="569">
        <v>180</v>
      </c>
      <c r="ET248" t="s">
        <v>1876</v>
      </c>
      <c r="EU248" t="s">
        <v>790</v>
      </c>
      <c r="EV248" t="s">
        <v>2307</v>
      </c>
      <c r="EW248" t="s">
        <v>54</v>
      </c>
      <c r="EX248" s="599">
        <v>55109</v>
      </c>
      <c r="EY248">
        <v>1447218482</v>
      </c>
    </row>
    <row r="249" spans="1:155" x14ac:dyDescent="0.2">
      <c r="A249" s="598">
        <v>551</v>
      </c>
      <c r="B249" t="s">
        <v>1715</v>
      </c>
      <c r="C249" t="s">
        <v>833</v>
      </c>
      <c r="D249" t="s">
        <v>1716</v>
      </c>
      <c r="E249" t="s">
        <v>1326</v>
      </c>
      <c r="F249" t="s">
        <v>737</v>
      </c>
      <c r="G249" t="s">
        <v>54</v>
      </c>
      <c r="H249" t="s">
        <v>2516</v>
      </c>
      <c r="I249"/>
      <c r="J249" t="s">
        <v>1716</v>
      </c>
      <c r="K249" t="s">
        <v>1326</v>
      </c>
      <c r="L249" t="s">
        <v>833</v>
      </c>
      <c r="M249" t="s">
        <v>737</v>
      </c>
      <c r="N249" t="s">
        <v>54</v>
      </c>
      <c r="O249" t="s">
        <v>2516</v>
      </c>
      <c r="P249"/>
      <c r="Q249">
        <v>7634167888</v>
      </c>
      <c r="R249">
        <v>7634167889</v>
      </c>
      <c r="S249" t="s">
        <v>1262</v>
      </c>
      <c r="T249" t="s">
        <v>2064</v>
      </c>
      <c r="U249" t="s">
        <v>1084</v>
      </c>
      <c r="V249" t="s">
        <v>2065</v>
      </c>
      <c r="W249"/>
      <c r="X249" t="s">
        <v>1272</v>
      </c>
      <c r="Y249" t="s">
        <v>1273</v>
      </c>
      <c r="Z249" t="s">
        <v>1266</v>
      </c>
      <c r="AA249" t="s">
        <v>1280</v>
      </c>
      <c r="AB249">
        <v>9528379752</v>
      </c>
      <c r="AC249"/>
      <c r="AD249">
        <v>9528379701</v>
      </c>
      <c r="AE249" t="s">
        <v>1276</v>
      </c>
      <c r="AF249" t="s">
        <v>1277</v>
      </c>
      <c r="AG249" t="s">
        <v>1278</v>
      </c>
      <c r="AH249" t="s">
        <v>1279</v>
      </c>
      <c r="AI249" t="s">
        <v>737</v>
      </c>
      <c r="AJ249" t="s">
        <v>54</v>
      </c>
      <c r="AK249" t="s">
        <v>2708</v>
      </c>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t="s">
        <v>1706</v>
      </c>
      <c r="CG249" t="s">
        <v>1280</v>
      </c>
      <c r="CH249" t="s">
        <v>141</v>
      </c>
      <c r="CI249" t="s">
        <v>768</v>
      </c>
      <c r="CJ249" t="s">
        <v>141</v>
      </c>
      <c r="CK249"/>
      <c r="CL249"/>
      <c r="CM249">
        <v>1427008937</v>
      </c>
      <c r="CN249">
        <v>420</v>
      </c>
      <c r="CO249">
        <v>151</v>
      </c>
      <c r="CP249"/>
      <c r="CQ249"/>
      <c r="CR249"/>
      <c r="CS249" t="s">
        <v>2397</v>
      </c>
      <c r="CT249">
        <v>12</v>
      </c>
      <c r="CU249"/>
      <c r="CV249"/>
      <c r="CW249"/>
      <c r="CX249"/>
      <c r="CY249"/>
      <c r="CZ249"/>
      <c r="DA249"/>
      <c r="DB249"/>
      <c r="DC249"/>
      <c r="DD249">
        <v>128</v>
      </c>
      <c r="DE249" t="s">
        <v>2909</v>
      </c>
      <c r="DF249"/>
      <c r="DG249"/>
      <c r="DH249">
        <v>129</v>
      </c>
      <c r="DI249" t="s">
        <v>2894</v>
      </c>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s="569">
        <v>960</v>
      </c>
      <c r="ET249" t="s">
        <v>723</v>
      </c>
      <c r="EU249" t="s">
        <v>724</v>
      </c>
      <c r="EV249" t="s">
        <v>3073</v>
      </c>
      <c r="EW249" t="s">
        <v>54</v>
      </c>
      <c r="EX249" s="600">
        <v>56258</v>
      </c>
      <c r="EY249">
        <v>1952363699</v>
      </c>
    </row>
    <row r="250" spans="1:155" x14ac:dyDescent="0.2">
      <c r="A250" s="598">
        <v>923</v>
      </c>
      <c r="B250" t="s">
        <v>1717</v>
      </c>
      <c r="C250" t="s">
        <v>1049</v>
      </c>
      <c r="D250" t="s">
        <v>1270</v>
      </c>
      <c r="E250" t="s">
        <v>1685</v>
      </c>
      <c r="F250" t="s">
        <v>737</v>
      </c>
      <c r="G250" t="s">
        <v>54</v>
      </c>
      <c r="H250" t="s">
        <v>2433</v>
      </c>
      <c r="I250"/>
      <c r="J250" t="s">
        <v>1270</v>
      </c>
      <c r="K250" t="s">
        <v>1685</v>
      </c>
      <c r="L250" t="s">
        <v>1049</v>
      </c>
      <c r="M250" t="s">
        <v>737</v>
      </c>
      <c r="N250" t="s">
        <v>54</v>
      </c>
      <c r="O250" t="s">
        <v>2433</v>
      </c>
      <c r="P250"/>
      <c r="Q250">
        <v>9524052777</v>
      </c>
      <c r="R250">
        <v>9524052799</v>
      </c>
      <c r="S250" t="s">
        <v>1262</v>
      </c>
      <c r="T250" t="s">
        <v>2064</v>
      </c>
      <c r="U250" t="s">
        <v>1084</v>
      </c>
      <c r="V250" t="s">
        <v>2065</v>
      </c>
      <c r="W250"/>
      <c r="X250" t="s">
        <v>1272</v>
      </c>
      <c r="Y250" t="s">
        <v>1273</v>
      </c>
      <c r="Z250" t="s">
        <v>1266</v>
      </c>
      <c r="AA250" t="s">
        <v>1280</v>
      </c>
      <c r="AB250">
        <v>9528379752</v>
      </c>
      <c r="AC250"/>
      <c r="AD250">
        <v>9528379701</v>
      </c>
      <c r="AE250" t="s">
        <v>1276</v>
      </c>
      <c r="AF250" t="s">
        <v>1277</v>
      </c>
      <c r="AG250" t="s">
        <v>1278</v>
      </c>
      <c r="AH250" t="s">
        <v>1279</v>
      </c>
      <c r="AI250" t="s">
        <v>737</v>
      </c>
      <c r="AJ250" t="s">
        <v>54</v>
      </c>
      <c r="AK250" t="s">
        <v>2708</v>
      </c>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t="s">
        <v>1706</v>
      </c>
      <c r="CG250" t="s">
        <v>1280</v>
      </c>
      <c r="CH250"/>
      <c r="CI250"/>
      <c r="CJ250"/>
      <c r="CK250"/>
      <c r="CL250"/>
      <c r="CM250">
        <v>1629027594</v>
      </c>
      <c r="CN250">
        <v>419</v>
      </c>
      <c r="CO250">
        <v>151</v>
      </c>
      <c r="CP250"/>
      <c r="CQ250"/>
      <c r="CR250"/>
      <c r="CS250" t="s">
        <v>2397</v>
      </c>
      <c r="CT250">
        <v>12</v>
      </c>
      <c r="CU250"/>
      <c r="CV250"/>
      <c r="CW250"/>
      <c r="CX250"/>
      <c r="CY250"/>
      <c r="CZ250"/>
      <c r="DA250"/>
      <c r="DB250"/>
      <c r="DC250"/>
      <c r="DD250">
        <v>128</v>
      </c>
      <c r="DE250" t="s">
        <v>2910</v>
      </c>
      <c r="DF250"/>
      <c r="DG250"/>
      <c r="DH250">
        <v>129</v>
      </c>
      <c r="DI250" t="s">
        <v>2911</v>
      </c>
      <c r="DJ250">
        <v>130</v>
      </c>
      <c r="DK250" t="s">
        <v>2912</v>
      </c>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s="569">
        <v>172</v>
      </c>
      <c r="ET250" t="s">
        <v>1877</v>
      </c>
      <c r="EU250" t="s">
        <v>724</v>
      </c>
      <c r="EV250" t="s">
        <v>2308</v>
      </c>
      <c r="EW250" t="s">
        <v>54</v>
      </c>
      <c r="EX250" s="599">
        <v>56258</v>
      </c>
      <c r="EY250">
        <v>1568401016</v>
      </c>
    </row>
    <row r="251" spans="1:155" x14ac:dyDescent="0.2">
      <c r="A251" s="598">
        <v>1238</v>
      </c>
      <c r="B251" t="s">
        <v>2185</v>
      </c>
      <c r="C251" t="s">
        <v>1441</v>
      </c>
      <c r="D251" t="s">
        <v>1490</v>
      </c>
      <c r="E251" t="s">
        <v>2062</v>
      </c>
      <c r="F251" t="s">
        <v>814</v>
      </c>
      <c r="G251" t="s">
        <v>54</v>
      </c>
      <c r="H251" t="s">
        <v>2913</v>
      </c>
      <c r="I251"/>
      <c r="J251" t="s">
        <v>1716</v>
      </c>
      <c r="K251" t="s">
        <v>1326</v>
      </c>
      <c r="L251" t="s">
        <v>833</v>
      </c>
      <c r="M251" t="s">
        <v>737</v>
      </c>
      <c r="N251" t="s">
        <v>54</v>
      </c>
      <c r="O251" t="s">
        <v>2516</v>
      </c>
      <c r="P251"/>
      <c r="Q251">
        <v>7637921948</v>
      </c>
      <c r="R251">
        <v>7637921938</v>
      </c>
      <c r="S251" t="s">
        <v>1262</v>
      </c>
      <c r="T251" t="s">
        <v>2064</v>
      </c>
      <c r="U251" t="s">
        <v>1084</v>
      </c>
      <c r="V251" t="s">
        <v>2065</v>
      </c>
      <c r="W251"/>
      <c r="X251" t="s">
        <v>1272</v>
      </c>
      <c r="Y251" t="s">
        <v>1273</v>
      </c>
      <c r="Z251" t="s">
        <v>1266</v>
      </c>
      <c r="AA251" t="s">
        <v>1280</v>
      </c>
      <c r="AB251">
        <v>9528379752</v>
      </c>
      <c r="AC251"/>
      <c r="AD251">
        <v>9528379701</v>
      </c>
      <c r="AE251" t="s">
        <v>1276</v>
      </c>
      <c r="AF251" t="s">
        <v>1277</v>
      </c>
      <c r="AG251" t="s">
        <v>1278</v>
      </c>
      <c r="AH251" t="s">
        <v>1279</v>
      </c>
      <c r="AI251" t="s">
        <v>737</v>
      </c>
      <c r="AJ251" t="s">
        <v>54</v>
      </c>
      <c r="AK251" t="s">
        <v>2708</v>
      </c>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t="s">
        <v>1272</v>
      </c>
      <c r="BR251" t="s">
        <v>1273</v>
      </c>
      <c r="BS251" t="s">
        <v>1266</v>
      </c>
      <c r="BT251" t="s">
        <v>1280</v>
      </c>
      <c r="BU251">
        <v>9528379752</v>
      </c>
      <c r="BV251"/>
      <c r="BW251">
        <v>9528379701</v>
      </c>
      <c r="BX251" t="s">
        <v>1276</v>
      </c>
      <c r="BY251" t="s">
        <v>1277</v>
      </c>
      <c r="BZ251" t="s">
        <v>1278</v>
      </c>
      <c r="CA251" t="s">
        <v>1279</v>
      </c>
      <c r="CB251" t="s">
        <v>737</v>
      </c>
      <c r="CC251" t="s">
        <v>54</v>
      </c>
      <c r="CD251" t="s">
        <v>2708</v>
      </c>
      <c r="CE251"/>
      <c r="CF251" t="s">
        <v>1706</v>
      </c>
      <c r="CG251" t="s">
        <v>1280</v>
      </c>
      <c r="CH251" t="s">
        <v>141</v>
      </c>
      <c r="CI251"/>
      <c r="CJ251"/>
      <c r="CK251"/>
      <c r="CL251"/>
      <c r="CM251">
        <v>1629027594</v>
      </c>
      <c r="CN251">
        <v>420</v>
      </c>
      <c r="CO251">
        <v>151</v>
      </c>
      <c r="CP251"/>
      <c r="CQ251"/>
      <c r="CR251">
        <v>151</v>
      </c>
      <c r="CS251" t="s">
        <v>2397</v>
      </c>
      <c r="CT251">
        <v>10</v>
      </c>
      <c r="CU251"/>
      <c r="CV251"/>
      <c r="CW251"/>
      <c r="CX251"/>
      <c r="CY251"/>
      <c r="CZ251"/>
      <c r="DA251"/>
      <c r="DB251"/>
      <c r="DC251"/>
      <c r="DD251"/>
      <c r="DE251"/>
      <c r="DF251"/>
      <c r="DG251"/>
      <c r="DH251"/>
      <c r="DI251"/>
      <c r="DJ251"/>
      <c r="DK251"/>
      <c r="DL251">
        <v>132</v>
      </c>
      <c r="DM251" t="s">
        <v>2914</v>
      </c>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s="569">
        <v>1005</v>
      </c>
      <c r="ET251" t="s">
        <v>1626</v>
      </c>
      <c r="EU251" t="s">
        <v>724</v>
      </c>
      <c r="EV251" t="s">
        <v>3074</v>
      </c>
      <c r="EW251" t="s">
        <v>54</v>
      </c>
      <c r="EX251" s="600">
        <v>56258</v>
      </c>
      <c r="EY251">
        <v>1063578466</v>
      </c>
    </row>
    <row r="252" spans="1:155" x14ac:dyDescent="0.2">
      <c r="A252" s="598">
        <v>749</v>
      </c>
      <c r="B252" t="s">
        <v>1718</v>
      </c>
      <c r="C252" t="s">
        <v>787</v>
      </c>
      <c r="D252" t="s">
        <v>1719</v>
      </c>
      <c r="E252"/>
      <c r="F252" t="s">
        <v>752</v>
      </c>
      <c r="G252" t="s">
        <v>54</v>
      </c>
      <c r="H252" t="s">
        <v>2823</v>
      </c>
      <c r="I252"/>
      <c r="J252" t="s">
        <v>1125</v>
      </c>
      <c r="K252" t="s">
        <v>1126</v>
      </c>
      <c r="L252" t="s">
        <v>778</v>
      </c>
      <c r="M252" t="s">
        <v>772</v>
      </c>
      <c r="N252" t="s">
        <v>54</v>
      </c>
      <c r="O252" t="s">
        <v>2428</v>
      </c>
      <c r="P252"/>
      <c r="Q252">
        <v>6519685276</v>
      </c>
      <c r="R252">
        <v>6517303988</v>
      </c>
      <c r="S252" t="s">
        <v>1083</v>
      </c>
      <c r="T252" t="s">
        <v>2187</v>
      </c>
      <c r="U252" t="s">
        <v>731</v>
      </c>
      <c r="V252" t="s">
        <v>2188</v>
      </c>
      <c r="W252" t="s">
        <v>2189</v>
      </c>
      <c r="X252" t="s">
        <v>2645</v>
      </c>
      <c r="Y252" t="s">
        <v>2646</v>
      </c>
      <c r="Z252" t="s">
        <v>2647</v>
      </c>
      <c r="AA252" t="s">
        <v>2648</v>
      </c>
      <c r="AB252">
        <v>6519685654</v>
      </c>
      <c r="AC252"/>
      <c r="AD252">
        <v>6517303527</v>
      </c>
      <c r="AE252" t="s">
        <v>2649</v>
      </c>
      <c r="AF252" t="s">
        <v>1125</v>
      </c>
      <c r="AG252" t="s">
        <v>1126</v>
      </c>
      <c r="AH252" t="s">
        <v>778</v>
      </c>
      <c r="AI252" t="s">
        <v>772</v>
      </c>
      <c r="AJ252" t="s">
        <v>54</v>
      </c>
      <c r="AK252" t="s">
        <v>2428</v>
      </c>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t="s">
        <v>1127</v>
      </c>
      <c r="CG252" t="s">
        <v>2648</v>
      </c>
      <c r="CH252" t="s">
        <v>141</v>
      </c>
      <c r="CI252"/>
      <c r="CJ252"/>
      <c r="CK252"/>
      <c r="CL252"/>
      <c r="CM252">
        <v>1306899463</v>
      </c>
      <c r="CN252">
        <v>194</v>
      </c>
      <c r="CO252">
        <v>2945</v>
      </c>
      <c r="CP252"/>
      <c r="CQ252"/>
      <c r="CR252"/>
      <c r="CS252" t="s">
        <v>2397</v>
      </c>
      <c r="CT252">
        <v>12</v>
      </c>
      <c r="CU252"/>
      <c r="CV252"/>
      <c r="CW252"/>
      <c r="CX252"/>
      <c r="CY252"/>
      <c r="CZ252"/>
      <c r="DA252"/>
      <c r="DB252"/>
      <c r="DC252"/>
      <c r="DD252">
        <v>128</v>
      </c>
      <c r="DE252" t="s">
        <v>2915</v>
      </c>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s="569">
        <v>81</v>
      </c>
      <c r="ET252" t="s">
        <v>2309</v>
      </c>
      <c r="EU252" t="s">
        <v>889</v>
      </c>
      <c r="EV252" t="s">
        <v>2310</v>
      </c>
      <c r="EW252" t="s">
        <v>54</v>
      </c>
      <c r="EX252" s="599">
        <v>56352</v>
      </c>
      <c r="EY252">
        <v>1720045073</v>
      </c>
    </row>
    <row r="253" spans="1:155" x14ac:dyDescent="0.2">
      <c r="A253" s="598">
        <v>751</v>
      </c>
      <c r="B253" t="s">
        <v>1720</v>
      </c>
      <c r="C253" t="s">
        <v>778</v>
      </c>
      <c r="D253" t="s">
        <v>1721</v>
      </c>
      <c r="E253"/>
      <c r="F253" t="s">
        <v>772</v>
      </c>
      <c r="G253" t="s">
        <v>54</v>
      </c>
      <c r="H253" t="s">
        <v>2428</v>
      </c>
      <c r="I253"/>
      <c r="J253" t="s">
        <v>1125</v>
      </c>
      <c r="K253" t="s">
        <v>1126</v>
      </c>
      <c r="L253" t="s">
        <v>778</v>
      </c>
      <c r="M253" t="s">
        <v>772</v>
      </c>
      <c r="N253" t="s">
        <v>54</v>
      </c>
      <c r="O253" t="s">
        <v>2428</v>
      </c>
      <c r="P253"/>
      <c r="Q253">
        <v>6519685811</v>
      </c>
      <c r="R253">
        <v>6519685897</v>
      </c>
      <c r="S253" t="s">
        <v>1083</v>
      </c>
      <c r="T253" t="s">
        <v>2187</v>
      </c>
      <c r="U253" t="s">
        <v>731</v>
      </c>
      <c r="V253" t="s">
        <v>2188</v>
      </c>
      <c r="W253" t="s">
        <v>2189</v>
      </c>
      <c r="X253" t="s">
        <v>2645</v>
      </c>
      <c r="Y253" t="s">
        <v>2646</v>
      </c>
      <c r="Z253" t="s">
        <v>2647</v>
      </c>
      <c r="AA253" t="s">
        <v>2648</v>
      </c>
      <c r="AB253">
        <v>6519685654</v>
      </c>
      <c r="AC253"/>
      <c r="AD253">
        <v>6517303527</v>
      </c>
      <c r="AE253" t="s">
        <v>2649</v>
      </c>
      <c r="AF253" t="s">
        <v>1125</v>
      </c>
      <c r="AG253" t="s">
        <v>1126</v>
      </c>
      <c r="AH253" t="s">
        <v>778</v>
      </c>
      <c r="AI253" t="s">
        <v>772</v>
      </c>
      <c r="AJ253" t="s">
        <v>54</v>
      </c>
      <c r="AK253" t="s">
        <v>2428</v>
      </c>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t="s">
        <v>1127</v>
      </c>
      <c r="CG253" t="s">
        <v>2648</v>
      </c>
      <c r="CH253" t="s">
        <v>141</v>
      </c>
      <c r="CI253"/>
      <c r="CJ253"/>
      <c r="CK253"/>
      <c r="CL253"/>
      <c r="CM253">
        <v>1306899463</v>
      </c>
      <c r="CN253">
        <v>194</v>
      </c>
      <c r="CO253">
        <v>2945</v>
      </c>
      <c r="CP253"/>
      <c r="CQ253"/>
      <c r="CR253"/>
      <c r="CS253" t="s">
        <v>2397</v>
      </c>
      <c r="CT253">
        <v>12</v>
      </c>
      <c r="CU253"/>
      <c r="CV253"/>
      <c r="CW253"/>
      <c r="CX253"/>
      <c r="CY253"/>
      <c r="CZ253"/>
      <c r="DA253"/>
      <c r="DB253"/>
      <c r="DC253"/>
      <c r="DD253">
        <v>128</v>
      </c>
      <c r="DE253" t="s">
        <v>2916</v>
      </c>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s="569">
        <v>846</v>
      </c>
      <c r="ET253" t="s">
        <v>888</v>
      </c>
      <c r="EU253" t="s">
        <v>889</v>
      </c>
      <c r="EV253" t="s">
        <v>3075</v>
      </c>
      <c r="EW253" t="s">
        <v>54</v>
      </c>
      <c r="EX253" s="600">
        <v>56352</v>
      </c>
      <c r="EY253"/>
    </row>
    <row r="254" spans="1:155" x14ac:dyDescent="0.2">
      <c r="A254" s="598">
        <v>732</v>
      </c>
      <c r="B254" t="s">
        <v>1722</v>
      </c>
      <c r="C254" t="s">
        <v>1282</v>
      </c>
      <c r="D254" t="s">
        <v>1723</v>
      </c>
      <c r="E254"/>
      <c r="F254" t="s">
        <v>1043</v>
      </c>
      <c r="G254" t="s">
        <v>54</v>
      </c>
      <c r="H254" t="s">
        <v>2719</v>
      </c>
      <c r="I254"/>
      <c r="J254" t="s">
        <v>1723</v>
      </c>
      <c r="K254"/>
      <c r="L254" t="s">
        <v>1282</v>
      </c>
      <c r="M254" t="s">
        <v>1043</v>
      </c>
      <c r="N254" t="s">
        <v>54</v>
      </c>
      <c r="O254" t="s">
        <v>2719</v>
      </c>
      <c r="P254"/>
      <c r="Q254">
        <v>5073866600</v>
      </c>
      <c r="R254">
        <v>5073860252</v>
      </c>
      <c r="S254" t="s">
        <v>1724</v>
      </c>
      <c r="T254" t="s">
        <v>1725</v>
      </c>
      <c r="U254" t="s">
        <v>1084</v>
      </c>
      <c r="V254" t="s">
        <v>1726</v>
      </c>
      <c r="W254" t="s">
        <v>1727</v>
      </c>
      <c r="X254" t="s">
        <v>1499</v>
      </c>
      <c r="Y254" t="s">
        <v>1728</v>
      </c>
      <c r="Z254" t="s">
        <v>731</v>
      </c>
      <c r="AA254" t="s">
        <v>1722</v>
      </c>
      <c r="AB254">
        <v>5073866681</v>
      </c>
      <c r="AC254"/>
      <c r="AD254">
        <v>5073860252</v>
      </c>
      <c r="AE254" t="s">
        <v>1729</v>
      </c>
      <c r="AF254" t="s">
        <v>1723</v>
      </c>
      <c r="AG254"/>
      <c r="AH254" t="s">
        <v>1282</v>
      </c>
      <c r="AI254" t="s">
        <v>1043</v>
      </c>
      <c r="AJ254" t="s">
        <v>54</v>
      </c>
      <c r="AK254" t="s">
        <v>2719</v>
      </c>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t="s">
        <v>1730</v>
      </c>
      <c r="CG254" t="s">
        <v>755</v>
      </c>
      <c r="CH254" t="s">
        <v>56</v>
      </c>
      <c r="CI254"/>
      <c r="CJ254"/>
      <c r="CK254"/>
      <c r="CL254"/>
      <c r="CM254">
        <v>1659346609</v>
      </c>
      <c r="CN254">
        <v>321</v>
      </c>
      <c r="CO254">
        <v>228</v>
      </c>
      <c r="CP254"/>
      <c r="CQ254"/>
      <c r="CR254"/>
      <c r="CS254" t="s">
        <v>2397</v>
      </c>
      <c r="CT254">
        <v>12</v>
      </c>
      <c r="CU254">
        <v>95</v>
      </c>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v>215</v>
      </c>
      <c r="EK254" t="s">
        <v>2917</v>
      </c>
      <c r="EL254"/>
      <c r="EM254"/>
      <c r="EN254"/>
      <c r="EO254"/>
      <c r="EP254"/>
      <c r="EQ254"/>
      <c r="ER254"/>
      <c r="ES254" s="569">
        <v>1420</v>
      </c>
      <c r="ET254" t="s">
        <v>2544</v>
      </c>
      <c r="EU254" t="s">
        <v>870</v>
      </c>
      <c r="EV254" t="s">
        <v>3076</v>
      </c>
      <c r="EW254" t="s">
        <v>54</v>
      </c>
      <c r="EX254" s="600">
        <v>56353</v>
      </c>
      <c r="EY254"/>
    </row>
    <row r="255" spans="1:155" x14ac:dyDescent="0.2">
      <c r="A255" s="598">
        <v>1315</v>
      </c>
      <c r="B255" t="s">
        <v>2172</v>
      </c>
      <c r="C255" t="s">
        <v>778</v>
      </c>
      <c r="D255" t="s">
        <v>2119</v>
      </c>
      <c r="E255"/>
      <c r="F255" t="s">
        <v>772</v>
      </c>
      <c r="G255" t="s">
        <v>54</v>
      </c>
      <c r="H255" t="s">
        <v>2428</v>
      </c>
      <c r="I255"/>
      <c r="J255" t="s">
        <v>2119</v>
      </c>
      <c r="K255"/>
      <c r="L255" t="s">
        <v>778</v>
      </c>
      <c r="M255" t="s">
        <v>772</v>
      </c>
      <c r="N255" t="s">
        <v>54</v>
      </c>
      <c r="O255" t="s">
        <v>2428</v>
      </c>
      <c r="P255"/>
      <c r="Q255">
        <v>9529318742</v>
      </c>
      <c r="R255">
        <v>9528311626</v>
      </c>
      <c r="S255" t="s">
        <v>1733</v>
      </c>
      <c r="T255" t="s">
        <v>1734</v>
      </c>
      <c r="U255" t="s">
        <v>1735</v>
      </c>
      <c r="V255" t="s">
        <v>1736</v>
      </c>
      <c r="W255" t="s">
        <v>1509</v>
      </c>
      <c r="X255" t="s">
        <v>807</v>
      </c>
      <c r="Y255" t="s">
        <v>1737</v>
      </c>
      <c r="Z255" t="s">
        <v>1738</v>
      </c>
      <c r="AA255" t="s">
        <v>1731</v>
      </c>
      <c r="AB255">
        <v>9529932059</v>
      </c>
      <c r="AC255"/>
      <c r="AD255">
        <v>8528311626</v>
      </c>
      <c r="AE255" t="s">
        <v>1739</v>
      </c>
      <c r="AF255" t="s">
        <v>1732</v>
      </c>
      <c r="AG255"/>
      <c r="AH255" t="s">
        <v>1279</v>
      </c>
      <c r="AI255" t="s">
        <v>737</v>
      </c>
      <c r="AJ255" t="s">
        <v>54</v>
      </c>
      <c r="AK255" t="s">
        <v>2918</v>
      </c>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t="s">
        <v>2919</v>
      </c>
      <c r="CG255" t="s">
        <v>1521</v>
      </c>
      <c r="CH255" t="s">
        <v>141</v>
      </c>
      <c r="CI255"/>
      <c r="CJ255"/>
      <c r="CK255"/>
      <c r="CL255"/>
      <c r="CM255">
        <v>1518273085</v>
      </c>
      <c r="CN255">
        <v>2277</v>
      </c>
      <c r="CO255">
        <v>3178</v>
      </c>
      <c r="CP255"/>
      <c r="CQ255"/>
      <c r="CR255"/>
      <c r="CS255" t="s">
        <v>2397</v>
      </c>
      <c r="CT255">
        <v>12</v>
      </c>
      <c r="CU255"/>
      <c r="CV255"/>
      <c r="CW255"/>
      <c r="CX255"/>
      <c r="CY255"/>
      <c r="CZ255"/>
      <c r="DA255"/>
      <c r="DB255"/>
      <c r="DC255"/>
      <c r="DD255">
        <v>128</v>
      </c>
      <c r="DE255" t="s">
        <v>2920</v>
      </c>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s="569">
        <v>867</v>
      </c>
      <c r="ET255" t="s">
        <v>2552</v>
      </c>
      <c r="EU255" t="s">
        <v>870</v>
      </c>
      <c r="EV255" t="s">
        <v>3076</v>
      </c>
      <c r="EW255" t="s">
        <v>54</v>
      </c>
      <c r="EX255" s="600">
        <v>56353</v>
      </c>
      <c r="EY255"/>
    </row>
    <row r="256" spans="1:155" x14ac:dyDescent="0.2">
      <c r="A256" s="598">
        <v>500</v>
      </c>
      <c r="B256" t="s">
        <v>2171</v>
      </c>
      <c r="C256" t="s">
        <v>1279</v>
      </c>
      <c r="D256" t="s">
        <v>1732</v>
      </c>
      <c r="E256"/>
      <c r="F256" t="s">
        <v>737</v>
      </c>
      <c r="G256" t="s">
        <v>54</v>
      </c>
      <c r="H256" t="s">
        <v>2918</v>
      </c>
      <c r="I256" t="s">
        <v>2921</v>
      </c>
      <c r="J256" t="s">
        <v>1732</v>
      </c>
      <c r="K256"/>
      <c r="L256" t="s">
        <v>1279</v>
      </c>
      <c r="M256" t="s">
        <v>737</v>
      </c>
      <c r="N256" t="s">
        <v>54</v>
      </c>
      <c r="O256" t="s">
        <v>2918</v>
      </c>
      <c r="P256"/>
      <c r="Q256">
        <v>9528318742</v>
      </c>
      <c r="R256">
        <v>9528311626</v>
      </c>
      <c r="S256" t="s">
        <v>1733</v>
      </c>
      <c r="T256" t="s">
        <v>1734</v>
      </c>
      <c r="U256" t="s">
        <v>1735</v>
      </c>
      <c r="V256" t="s">
        <v>1736</v>
      </c>
      <c r="W256" t="s">
        <v>1509</v>
      </c>
      <c r="X256" t="s">
        <v>807</v>
      </c>
      <c r="Y256" t="s">
        <v>1737</v>
      </c>
      <c r="Z256" t="s">
        <v>1738</v>
      </c>
      <c r="AA256" t="s">
        <v>1731</v>
      </c>
      <c r="AB256">
        <v>9529932059</v>
      </c>
      <c r="AC256"/>
      <c r="AD256">
        <v>8528311626</v>
      </c>
      <c r="AE256" t="s">
        <v>1739</v>
      </c>
      <c r="AF256" t="s">
        <v>1732</v>
      </c>
      <c r="AG256"/>
      <c r="AH256" t="s">
        <v>1279</v>
      </c>
      <c r="AI256" t="s">
        <v>737</v>
      </c>
      <c r="AJ256" t="s">
        <v>54</v>
      </c>
      <c r="AK256" t="s">
        <v>2918</v>
      </c>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t="s">
        <v>1740</v>
      </c>
      <c r="CG256" t="s">
        <v>1521</v>
      </c>
      <c r="CH256" t="s">
        <v>141</v>
      </c>
      <c r="CI256"/>
      <c r="CJ256"/>
      <c r="CK256"/>
      <c r="CL256"/>
      <c r="CM256">
        <v>1518273085</v>
      </c>
      <c r="CN256">
        <v>341</v>
      </c>
      <c r="CO256">
        <v>3178</v>
      </c>
      <c r="CP256"/>
      <c r="CQ256"/>
      <c r="CR256"/>
      <c r="CS256" t="s">
        <v>2397</v>
      </c>
      <c r="CT256">
        <v>12</v>
      </c>
      <c r="CU256"/>
      <c r="CV256"/>
      <c r="CW256"/>
      <c r="CX256"/>
      <c r="CY256"/>
      <c r="CZ256"/>
      <c r="DA256"/>
      <c r="DB256"/>
      <c r="DC256"/>
      <c r="DD256">
        <v>128</v>
      </c>
      <c r="DE256" t="s">
        <v>2702</v>
      </c>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s="569">
        <v>865</v>
      </c>
      <c r="ET256" t="s">
        <v>2553</v>
      </c>
      <c r="EU256" t="s">
        <v>870</v>
      </c>
      <c r="EV256" t="s">
        <v>3076</v>
      </c>
      <c r="EW256" t="s">
        <v>54</v>
      </c>
      <c r="EX256" s="600">
        <v>56353</v>
      </c>
      <c r="EY256"/>
    </row>
    <row r="257" spans="1:155" x14ac:dyDescent="0.2">
      <c r="A257" s="598">
        <v>1018</v>
      </c>
      <c r="B257" t="s">
        <v>1741</v>
      </c>
      <c r="C257" t="s">
        <v>732</v>
      </c>
      <c r="D257" t="s">
        <v>1742</v>
      </c>
      <c r="E257"/>
      <c r="F257"/>
      <c r="G257" t="s">
        <v>54</v>
      </c>
      <c r="H257" t="s">
        <v>2394</v>
      </c>
      <c r="I257"/>
      <c r="J257" t="s">
        <v>1742</v>
      </c>
      <c r="K257"/>
      <c r="L257" t="s">
        <v>732</v>
      </c>
      <c r="M257" t="s">
        <v>733</v>
      </c>
      <c r="N257" t="s">
        <v>54</v>
      </c>
      <c r="O257" t="s">
        <v>2394</v>
      </c>
      <c r="P257"/>
      <c r="Q257">
        <v>3207638888</v>
      </c>
      <c r="R257">
        <v>3202007478</v>
      </c>
      <c r="S257" t="s">
        <v>1264</v>
      </c>
      <c r="T257" t="s">
        <v>2193</v>
      </c>
      <c r="U257" t="s">
        <v>1084</v>
      </c>
      <c r="V257" t="s">
        <v>2194</v>
      </c>
      <c r="W257"/>
      <c r="X257" t="s">
        <v>2922</v>
      </c>
      <c r="Y257" t="s">
        <v>2923</v>
      </c>
      <c r="Z257" t="s">
        <v>2063</v>
      </c>
      <c r="AA257" t="s">
        <v>1741</v>
      </c>
      <c r="AB257">
        <v>3207638888</v>
      </c>
      <c r="AC257"/>
      <c r="AD257">
        <v>3202007478</v>
      </c>
      <c r="AE257" t="s">
        <v>2194</v>
      </c>
      <c r="AF257" t="s">
        <v>1742</v>
      </c>
      <c r="AG257"/>
      <c r="AH257" t="s">
        <v>732</v>
      </c>
      <c r="AI257" t="s">
        <v>733</v>
      </c>
      <c r="AJ257" t="s">
        <v>54</v>
      </c>
      <c r="AK257" t="s">
        <v>2394</v>
      </c>
      <c r="AL257"/>
      <c r="AM257" t="s">
        <v>2794</v>
      </c>
      <c r="AN257" t="s">
        <v>2924</v>
      </c>
      <c r="AO257" t="s">
        <v>760</v>
      </c>
      <c r="AP257" t="s">
        <v>1741</v>
      </c>
      <c r="AQ257">
        <v>3207637478</v>
      </c>
      <c r="AR257"/>
      <c r="AS257">
        <v>3202007478</v>
      </c>
      <c r="AT257" t="s">
        <v>2925</v>
      </c>
      <c r="AU257" t="s">
        <v>1742</v>
      </c>
      <c r="AV257"/>
      <c r="AW257" t="s">
        <v>732</v>
      </c>
      <c r="AX257" t="s">
        <v>733</v>
      </c>
      <c r="AY257" t="s">
        <v>54</v>
      </c>
      <c r="AZ257" t="s">
        <v>2394</v>
      </c>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t="s">
        <v>1241</v>
      </c>
      <c r="CG257" t="s">
        <v>755</v>
      </c>
      <c r="CH257" t="s">
        <v>141</v>
      </c>
      <c r="CI257"/>
      <c r="CJ257"/>
      <c r="CK257"/>
      <c r="CL257"/>
      <c r="CM257">
        <v>1659301992</v>
      </c>
      <c r="CN257">
        <v>500</v>
      </c>
      <c r="CO257">
        <v>501</v>
      </c>
      <c r="CP257">
        <v>589</v>
      </c>
      <c r="CQ257"/>
      <c r="CR257"/>
      <c r="CS257" t="s">
        <v>2397</v>
      </c>
      <c r="CT257">
        <v>12</v>
      </c>
      <c r="CU257"/>
      <c r="CV257"/>
      <c r="CW257"/>
      <c r="CX257"/>
      <c r="CY257"/>
      <c r="CZ257"/>
      <c r="DA257"/>
      <c r="DB257"/>
      <c r="DC257"/>
      <c r="DD257">
        <v>128</v>
      </c>
      <c r="DE257" t="s">
        <v>2926</v>
      </c>
      <c r="DF257"/>
      <c r="DG257"/>
      <c r="DH257">
        <v>129</v>
      </c>
      <c r="DI257" t="s">
        <v>2927</v>
      </c>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s="569">
        <v>864</v>
      </c>
      <c r="ET257" t="s">
        <v>2554</v>
      </c>
      <c r="EU257" t="s">
        <v>870</v>
      </c>
      <c r="EV257" t="s">
        <v>3076</v>
      </c>
      <c r="EW257" t="s">
        <v>54</v>
      </c>
      <c r="EX257" s="600">
        <v>56353</v>
      </c>
      <c r="EY257"/>
    </row>
    <row r="258" spans="1:155" x14ac:dyDescent="0.2">
      <c r="A258" s="598">
        <v>1044</v>
      </c>
      <c r="B258" t="s">
        <v>1743</v>
      </c>
      <c r="C258" t="s">
        <v>1369</v>
      </c>
      <c r="D258" t="s">
        <v>1744</v>
      </c>
      <c r="E258"/>
      <c r="F258" t="s">
        <v>737</v>
      </c>
      <c r="G258" t="s">
        <v>54</v>
      </c>
      <c r="H258" t="s">
        <v>2812</v>
      </c>
      <c r="I258"/>
      <c r="J258" t="s">
        <v>1744</v>
      </c>
      <c r="K258"/>
      <c r="L258" t="s">
        <v>1369</v>
      </c>
      <c r="M258" t="s">
        <v>737</v>
      </c>
      <c r="N258" t="s">
        <v>54</v>
      </c>
      <c r="O258" t="s">
        <v>2812</v>
      </c>
      <c r="P258"/>
      <c r="Q258">
        <v>7637178754</v>
      </c>
      <c r="R258">
        <v>7637178758</v>
      </c>
      <c r="S258" t="s">
        <v>1746</v>
      </c>
      <c r="T258" t="s">
        <v>1747</v>
      </c>
      <c r="U258"/>
      <c r="V258" t="s">
        <v>2928</v>
      </c>
      <c r="W258" t="s">
        <v>1745</v>
      </c>
      <c r="X258" t="s">
        <v>1746</v>
      </c>
      <c r="Y258" t="s">
        <v>1747</v>
      </c>
      <c r="Z258" t="s">
        <v>729</v>
      </c>
      <c r="AA258" t="s">
        <v>1743</v>
      </c>
      <c r="AB258">
        <v>7637178754</v>
      </c>
      <c r="AC258"/>
      <c r="AD258">
        <v>7637178758</v>
      </c>
      <c r="AE258" t="s">
        <v>2928</v>
      </c>
      <c r="AF258" t="s">
        <v>1744</v>
      </c>
      <c r="AG258"/>
      <c r="AH258" t="s">
        <v>1369</v>
      </c>
      <c r="AI258" t="s">
        <v>737</v>
      </c>
      <c r="AJ258" t="s">
        <v>54</v>
      </c>
      <c r="AK258" t="s">
        <v>2812</v>
      </c>
      <c r="AL258"/>
      <c r="AM258" t="s">
        <v>1433</v>
      </c>
      <c r="AN258" t="s">
        <v>2929</v>
      </c>
      <c r="AO258" t="s">
        <v>805</v>
      </c>
      <c r="AP258" t="s">
        <v>1743</v>
      </c>
      <c r="AQ258">
        <v>7637178754</v>
      </c>
      <c r="AR258"/>
      <c r="AS258">
        <v>7637178758</v>
      </c>
      <c r="AT258" t="s">
        <v>2928</v>
      </c>
      <c r="AU258" t="s">
        <v>1744</v>
      </c>
      <c r="AV258"/>
      <c r="AW258" t="s">
        <v>1369</v>
      </c>
      <c r="AX258" t="s">
        <v>737</v>
      </c>
      <c r="AY258" t="s">
        <v>54</v>
      </c>
      <c r="AZ258" t="s">
        <v>2812</v>
      </c>
      <c r="BA258"/>
      <c r="BB258" t="s">
        <v>2930</v>
      </c>
      <c r="BC258" t="s">
        <v>2931</v>
      </c>
      <c r="BD258" t="s">
        <v>2190</v>
      </c>
      <c r="BE258" t="s">
        <v>1743</v>
      </c>
      <c r="BF258">
        <v>7637178754</v>
      </c>
      <c r="BG258"/>
      <c r="BH258">
        <v>7637178758</v>
      </c>
      <c r="BI258" t="s">
        <v>2928</v>
      </c>
      <c r="BJ258" t="s">
        <v>1744</v>
      </c>
      <c r="BK258"/>
      <c r="BL258" t="s">
        <v>1369</v>
      </c>
      <c r="BM258" t="s">
        <v>737</v>
      </c>
      <c r="BN258" t="s">
        <v>54</v>
      </c>
      <c r="BO258" t="s">
        <v>2812</v>
      </c>
      <c r="BP258"/>
      <c r="BQ258" t="s">
        <v>1746</v>
      </c>
      <c r="BR258" t="s">
        <v>1747</v>
      </c>
      <c r="BS258" t="s">
        <v>729</v>
      </c>
      <c r="BT258" t="s">
        <v>1743</v>
      </c>
      <c r="BU258">
        <v>7637178754</v>
      </c>
      <c r="BV258"/>
      <c r="BW258">
        <v>7637178758</v>
      </c>
      <c r="BX258" t="s">
        <v>2928</v>
      </c>
      <c r="BY258" t="s">
        <v>1744</v>
      </c>
      <c r="BZ258"/>
      <c r="CA258" t="s">
        <v>1369</v>
      </c>
      <c r="CB258" t="s">
        <v>737</v>
      </c>
      <c r="CC258" t="s">
        <v>54</v>
      </c>
      <c r="CD258" t="s">
        <v>2812</v>
      </c>
      <c r="CE258"/>
      <c r="CF258" t="s">
        <v>1748</v>
      </c>
      <c r="CG258" t="s">
        <v>755</v>
      </c>
      <c r="CH258"/>
      <c r="CI258"/>
      <c r="CJ258"/>
      <c r="CK258"/>
      <c r="CL258"/>
      <c r="CM258">
        <v>1073953451</v>
      </c>
      <c r="CN258">
        <v>1730</v>
      </c>
      <c r="CO258">
        <v>252</v>
      </c>
      <c r="CP258">
        <v>2499</v>
      </c>
      <c r="CQ258">
        <v>2500</v>
      </c>
      <c r="CR258">
        <v>252</v>
      </c>
      <c r="CS258" t="s">
        <v>2397</v>
      </c>
      <c r="CT258">
        <v>12</v>
      </c>
      <c r="CU258"/>
      <c r="CV258"/>
      <c r="CW258"/>
      <c r="CX258"/>
      <c r="CY258"/>
      <c r="CZ258"/>
      <c r="DA258"/>
      <c r="DB258"/>
      <c r="DC258"/>
      <c r="DD258"/>
      <c r="DE258"/>
      <c r="DF258"/>
      <c r="DG258"/>
      <c r="DH258"/>
      <c r="DI258"/>
      <c r="DJ258"/>
      <c r="DK258"/>
      <c r="DL258">
        <v>132</v>
      </c>
      <c r="DM258" t="s">
        <v>2519</v>
      </c>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s="569">
        <v>2</v>
      </c>
      <c r="ET258" t="s">
        <v>1878</v>
      </c>
      <c r="EU258" t="s">
        <v>764</v>
      </c>
      <c r="EV258" t="s">
        <v>1415</v>
      </c>
      <c r="EW258" t="s">
        <v>54</v>
      </c>
      <c r="EX258" s="599">
        <v>55407</v>
      </c>
      <c r="EY258">
        <v>1760446256</v>
      </c>
    </row>
    <row r="259" spans="1:155" x14ac:dyDescent="0.2">
      <c r="A259" s="598">
        <v>709</v>
      </c>
      <c r="B259" t="s">
        <v>1469</v>
      </c>
      <c r="C259" t="s">
        <v>819</v>
      </c>
      <c r="D259" t="s">
        <v>1750</v>
      </c>
      <c r="E259"/>
      <c r="F259" t="s">
        <v>784</v>
      </c>
      <c r="G259" t="s">
        <v>54</v>
      </c>
      <c r="H259" t="s">
        <v>2498</v>
      </c>
      <c r="I259"/>
      <c r="J259" t="s">
        <v>1750</v>
      </c>
      <c r="K259"/>
      <c r="L259" t="s">
        <v>819</v>
      </c>
      <c r="M259" t="s">
        <v>784</v>
      </c>
      <c r="N259" t="s">
        <v>54</v>
      </c>
      <c r="O259" t="s">
        <v>2498</v>
      </c>
      <c r="P259"/>
      <c r="Q259">
        <v>9528083000</v>
      </c>
      <c r="R259">
        <v>9528083001</v>
      </c>
      <c r="S259" t="s">
        <v>1185</v>
      </c>
      <c r="T259" t="s">
        <v>1751</v>
      </c>
      <c r="U259" t="s">
        <v>729</v>
      </c>
      <c r="V259" t="s">
        <v>1752</v>
      </c>
      <c r="W259" t="s">
        <v>1467</v>
      </c>
      <c r="X259" t="s">
        <v>1120</v>
      </c>
      <c r="Y259" t="s">
        <v>2085</v>
      </c>
      <c r="Z259" t="s">
        <v>2190</v>
      </c>
      <c r="AA259" t="s">
        <v>1469</v>
      </c>
      <c r="AB259">
        <v>9524567059</v>
      </c>
      <c r="AC259"/>
      <c r="AD259">
        <v>9528320477</v>
      </c>
      <c r="AE259" t="s">
        <v>2120</v>
      </c>
      <c r="AF259" t="s">
        <v>1761</v>
      </c>
      <c r="AG259"/>
      <c r="AH259" t="s">
        <v>1049</v>
      </c>
      <c r="AI259" t="s">
        <v>737</v>
      </c>
      <c r="AJ259" t="s">
        <v>54</v>
      </c>
      <c r="AK259" t="s">
        <v>2433</v>
      </c>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t="s">
        <v>1185</v>
      </c>
      <c r="BR259" t="s">
        <v>1751</v>
      </c>
      <c r="BS259" t="s">
        <v>729</v>
      </c>
      <c r="BT259" t="s">
        <v>1469</v>
      </c>
      <c r="BU259">
        <v>9525125639</v>
      </c>
      <c r="BV259"/>
      <c r="BW259">
        <v>9525125650</v>
      </c>
      <c r="BX259" t="s">
        <v>1752</v>
      </c>
      <c r="BY259" t="s">
        <v>1753</v>
      </c>
      <c r="BZ259"/>
      <c r="CA259" t="s">
        <v>1369</v>
      </c>
      <c r="CB259" t="s">
        <v>737</v>
      </c>
      <c r="CC259" t="s">
        <v>54</v>
      </c>
      <c r="CD259" t="s">
        <v>2742</v>
      </c>
      <c r="CE259"/>
      <c r="CF259" t="s">
        <v>1470</v>
      </c>
      <c r="CG259" t="s">
        <v>1469</v>
      </c>
      <c r="CH259" t="s">
        <v>141</v>
      </c>
      <c r="CI259"/>
      <c r="CJ259"/>
      <c r="CK259"/>
      <c r="CL259"/>
      <c r="CM259">
        <v>1164474250</v>
      </c>
      <c r="CN259">
        <v>461</v>
      </c>
      <c r="CO259">
        <v>200</v>
      </c>
      <c r="CP259"/>
      <c r="CQ259"/>
      <c r="CR259">
        <v>218</v>
      </c>
      <c r="CS259" t="s">
        <v>2397</v>
      </c>
      <c r="CT259">
        <v>12</v>
      </c>
      <c r="CU259"/>
      <c r="CV259"/>
      <c r="CW259"/>
      <c r="CX259"/>
      <c r="CY259"/>
      <c r="CZ259"/>
      <c r="DA259"/>
      <c r="DB259"/>
      <c r="DC259"/>
      <c r="DD259"/>
      <c r="DE259"/>
      <c r="DF259"/>
      <c r="DG259"/>
      <c r="DH259"/>
      <c r="DI259"/>
      <c r="DJ259"/>
      <c r="DK259"/>
      <c r="DL259">
        <v>132</v>
      </c>
      <c r="DM259" t="s">
        <v>2914</v>
      </c>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s="569">
        <v>544</v>
      </c>
      <c r="ET259" t="s">
        <v>802</v>
      </c>
      <c r="EU259" t="s">
        <v>764</v>
      </c>
      <c r="EV259" t="s">
        <v>3077</v>
      </c>
      <c r="EW259" t="s">
        <v>54</v>
      </c>
      <c r="EX259" s="600">
        <v>55455</v>
      </c>
      <c r="EY259">
        <v>1477598118</v>
      </c>
    </row>
    <row r="260" spans="1:155" x14ac:dyDescent="0.2">
      <c r="A260" s="598">
        <v>755</v>
      </c>
      <c r="B260" t="s">
        <v>1469</v>
      </c>
      <c r="C260" t="s">
        <v>1358</v>
      </c>
      <c r="D260" t="s">
        <v>1754</v>
      </c>
      <c r="E260"/>
      <c r="F260" t="s">
        <v>772</v>
      </c>
      <c r="G260" t="s">
        <v>54</v>
      </c>
      <c r="H260" t="s">
        <v>2741</v>
      </c>
      <c r="I260"/>
      <c r="J260" t="s">
        <v>1755</v>
      </c>
      <c r="K260"/>
      <c r="L260" t="s">
        <v>1756</v>
      </c>
      <c r="M260" t="s">
        <v>772</v>
      </c>
      <c r="N260" t="s">
        <v>54</v>
      </c>
      <c r="O260" t="s">
        <v>2741</v>
      </c>
      <c r="P260" t="s">
        <v>2932</v>
      </c>
      <c r="Q260">
        <v>6514398807</v>
      </c>
      <c r="R260">
        <v>6514390232</v>
      </c>
      <c r="S260" t="s">
        <v>1185</v>
      </c>
      <c r="T260" t="s">
        <v>1751</v>
      </c>
      <c r="U260" t="s">
        <v>1084</v>
      </c>
      <c r="V260" t="s">
        <v>1752</v>
      </c>
      <c r="W260" t="s">
        <v>1467</v>
      </c>
      <c r="X260" t="s">
        <v>1120</v>
      </c>
      <c r="Y260" t="s">
        <v>2085</v>
      </c>
      <c r="Z260" t="s">
        <v>2190</v>
      </c>
      <c r="AA260" t="s">
        <v>1469</v>
      </c>
      <c r="AB260">
        <v>9524567059</v>
      </c>
      <c r="AC260"/>
      <c r="AD260">
        <v>9528320477</v>
      </c>
      <c r="AE260" t="s">
        <v>2120</v>
      </c>
      <c r="AF260" t="s">
        <v>1761</v>
      </c>
      <c r="AG260"/>
      <c r="AH260" t="s">
        <v>1049</v>
      </c>
      <c r="AI260" t="s">
        <v>737</v>
      </c>
      <c r="AJ260" t="s">
        <v>54</v>
      </c>
      <c r="AK260" t="s">
        <v>2433</v>
      </c>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t="s">
        <v>1185</v>
      </c>
      <c r="BR260" t="s">
        <v>1751</v>
      </c>
      <c r="BS260" t="s">
        <v>729</v>
      </c>
      <c r="BT260" t="s">
        <v>1469</v>
      </c>
      <c r="BU260">
        <v>9525125639</v>
      </c>
      <c r="BV260"/>
      <c r="BW260">
        <v>9525125650</v>
      </c>
      <c r="BX260" t="s">
        <v>1752</v>
      </c>
      <c r="BY260" t="s">
        <v>1753</v>
      </c>
      <c r="BZ260"/>
      <c r="CA260" t="s">
        <v>1369</v>
      </c>
      <c r="CB260" t="s">
        <v>737</v>
      </c>
      <c r="CC260" t="s">
        <v>54</v>
      </c>
      <c r="CD260" t="s">
        <v>2742</v>
      </c>
      <c r="CE260"/>
      <c r="CF260" t="s">
        <v>1470</v>
      </c>
      <c r="CG260" t="s">
        <v>1469</v>
      </c>
      <c r="CH260" t="s">
        <v>141</v>
      </c>
      <c r="CI260"/>
      <c r="CJ260"/>
      <c r="CK260"/>
      <c r="CL260"/>
      <c r="CM260">
        <v>1164474250</v>
      </c>
      <c r="CN260">
        <v>210</v>
      </c>
      <c r="CO260">
        <v>259</v>
      </c>
      <c r="CP260"/>
      <c r="CQ260"/>
      <c r="CR260">
        <v>218</v>
      </c>
      <c r="CS260" t="s">
        <v>2397</v>
      </c>
      <c r="CT260">
        <v>12</v>
      </c>
      <c r="CU260"/>
      <c r="CV260"/>
      <c r="CW260"/>
      <c r="CX260"/>
      <c r="CY260"/>
      <c r="CZ260"/>
      <c r="DA260"/>
      <c r="DB260"/>
      <c r="DC260"/>
      <c r="DD260">
        <v>128</v>
      </c>
      <c r="DE260" t="s">
        <v>2933</v>
      </c>
      <c r="DF260"/>
      <c r="DG260"/>
      <c r="DH260"/>
      <c r="DI260"/>
      <c r="DJ260"/>
      <c r="DK260"/>
      <c r="DL260">
        <v>132</v>
      </c>
      <c r="DM260" t="s">
        <v>2914</v>
      </c>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s="569">
        <v>91</v>
      </c>
      <c r="ET260" t="s">
        <v>1879</v>
      </c>
      <c r="EU260" t="s">
        <v>764</v>
      </c>
      <c r="EV260" t="s">
        <v>2311</v>
      </c>
      <c r="EW260" t="s">
        <v>54</v>
      </c>
      <c r="EX260" s="599">
        <v>55404</v>
      </c>
      <c r="EY260">
        <v>1881793750</v>
      </c>
    </row>
    <row r="261" spans="1:155" x14ac:dyDescent="0.2">
      <c r="A261" s="598">
        <v>721</v>
      </c>
      <c r="B261" t="s">
        <v>1469</v>
      </c>
      <c r="C261" t="s">
        <v>1259</v>
      </c>
      <c r="D261" t="s">
        <v>1757</v>
      </c>
      <c r="E261"/>
      <c r="F261" t="s">
        <v>1261</v>
      </c>
      <c r="G261" t="s">
        <v>54</v>
      </c>
      <c r="H261" t="s">
        <v>2706</v>
      </c>
      <c r="I261"/>
      <c r="J261" t="s">
        <v>1757</v>
      </c>
      <c r="K261"/>
      <c r="L261" t="s">
        <v>1259</v>
      </c>
      <c r="M261" t="s">
        <v>1261</v>
      </c>
      <c r="N261" t="s">
        <v>54</v>
      </c>
      <c r="O261" t="s">
        <v>2706</v>
      </c>
      <c r="P261"/>
      <c r="Q261">
        <v>9524422163</v>
      </c>
      <c r="R261">
        <v>9524425903</v>
      </c>
      <c r="S261" t="s">
        <v>1185</v>
      </c>
      <c r="T261" t="s">
        <v>1751</v>
      </c>
      <c r="U261" t="s">
        <v>729</v>
      </c>
      <c r="V261" t="s">
        <v>1752</v>
      </c>
      <c r="W261" t="s">
        <v>1467</v>
      </c>
      <c r="X261" t="s">
        <v>1120</v>
      </c>
      <c r="Y261" t="s">
        <v>2085</v>
      </c>
      <c r="Z261" t="s">
        <v>2190</v>
      </c>
      <c r="AA261" t="s">
        <v>1469</v>
      </c>
      <c r="AB261">
        <v>9524567059</v>
      </c>
      <c r="AC261"/>
      <c r="AD261">
        <v>9528320477</v>
      </c>
      <c r="AE261" t="s">
        <v>2120</v>
      </c>
      <c r="AF261" t="s">
        <v>1761</v>
      </c>
      <c r="AG261"/>
      <c r="AH261" t="s">
        <v>1049</v>
      </c>
      <c r="AI261" t="s">
        <v>737</v>
      </c>
      <c r="AJ261" t="s">
        <v>54</v>
      </c>
      <c r="AK261" t="s">
        <v>2433</v>
      </c>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t="s">
        <v>1185</v>
      </c>
      <c r="BR261" t="s">
        <v>1751</v>
      </c>
      <c r="BS261" t="s">
        <v>729</v>
      </c>
      <c r="BT261" t="s">
        <v>1469</v>
      </c>
      <c r="BU261">
        <v>9525125639</v>
      </c>
      <c r="BV261"/>
      <c r="BW261">
        <v>9525125650</v>
      </c>
      <c r="BX261" t="s">
        <v>1752</v>
      </c>
      <c r="BY261" t="s">
        <v>1753</v>
      </c>
      <c r="BZ261"/>
      <c r="CA261" t="s">
        <v>1369</v>
      </c>
      <c r="CB261" t="s">
        <v>737</v>
      </c>
      <c r="CC261" t="s">
        <v>54</v>
      </c>
      <c r="CD261" t="s">
        <v>2742</v>
      </c>
      <c r="CE261"/>
      <c r="CF261" t="s">
        <v>1470</v>
      </c>
      <c r="CG261" t="s">
        <v>1469</v>
      </c>
      <c r="CH261" t="s">
        <v>143</v>
      </c>
      <c r="CI261"/>
      <c r="CJ261"/>
      <c r="CK261"/>
      <c r="CL261"/>
      <c r="CM261">
        <v>1164474250</v>
      </c>
      <c r="CN261">
        <v>462</v>
      </c>
      <c r="CO261">
        <v>200</v>
      </c>
      <c r="CP261"/>
      <c r="CQ261"/>
      <c r="CR261">
        <v>218</v>
      </c>
      <c r="CS261" t="s">
        <v>2397</v>
      </c>
      <c r="CT261">
        <v>12</v>
      </c>
      <c r="CU261"/>
      <c r="CV261"/>
      <c r="CW261"/>
      <c r="CX261"/>
      <c r="CY261"/>
      <c r="CZ261"/>
      <c r="DA261"/>
      <c r="DB261"/>
      <c r="DC261"/>
      <c r="DD261">
        <v>128</v>
      </c>
      <c r="DE261" t="s">
        <v>2934</v>
      </c>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s="569">
        <v>700</v>
      </c>
      <c r="ET261" t="s">
        <v>2651</v>
      </c>
      <c r="EU261" t="s">
        <v>764</v>
      </c>
      <c r="EV261" t="s">
        <v>3078</v>
      </c>
      <c r="EW261" t="s">
        <v>54</v>
      </c>
      <c r="EX261" s="600">
        <v>55404</v>
      </c>
      <c r="EY261">
        <v>1336175744</v>
      </c>
    </row>
    <row r="262" spans="1:155" x14ac:dyDescent="0.2">
      <c r="A262" s="598">
        <v>1376</v>
      </c>
      <c r="B262" t="s">
        <v>2191</v>
      </c>
      <c r="C262" t="s">
        <v>1123</v>
      </c>
      <c r="D262" t="s">
        <v>2192</v>
      </c>
      <c r="E262" t="s">
        <v>2368</v>
      </c>
      <c r="F262" t="s">
        <v>784</v>
      </c>
      <c r="G262" t="s">
        <v>54</v>
      </c>
      <c r="H262" t="s">
        <v>2503</v>
      </c>
      <c r="I262" t="s">
        <v>2368</v>
      </c>
      <c r="J262" t="s">
        <v>2192</v>
      </c>
      <c r="K262" t="s">
        <v>2368</v>
      </c>
      <c r="L262" t="s">
        <v>1123</v>
      </c>
      <c r="M262" t="s">
        <v>784</v>
      </c>
      <c r="N262" t="s">
        <v>54</v>
      </c>
      <c r="O262" t="s">
        <v>2503</v>
      </c>
      <c r="P262" t="s">
        <v>2368</v>
      </c>
      <c r="Q262">
        <v>9524567600</v>
      </c>
      <c r="R262">
        <v>9524567601</v>
      </c>
      <c r="S262" t="s">
        <v>1185</v>
      </c>
      <c r="T262" t="s">
        <v>1751</v>
      </c>
      <c r="U262" t="s">
        <v>1084</v>
      </c>
      <c r="V262" t="s">
        <v>1752</v>
      </c>
      <c r="W262" t="s">
        <v>1467</v>
      </c>
      <c r="X262" t="s">
        <v>1120</v>
      </c>
      <c r="Y262" t="s">
        <v>2085</v>
      </c>
      <c r="Z262" t="s">
        <v>2190</v>
      </c>
      <c r="AA262" t="s">
        <v>1469</v>
      </c>
      <c r="AB262">
        <v>9524567059</v>
      </c>
      <c r="AC262"/>
      <c r="AD262">
        <v>9528320477</v>
      </c>
      <c r="AE262" t="s">
        <v>2120</v>
      </c>
      <c r="AF262" t="s">
        <v>1761</v>
      </c>
      <c r="AG262"/>
      <c r="AH262" t="s">
        <v>1049</v>
      </c>
      <c r="AI262" t="s">
        <v>737</v>
      </c>
      <c r="AJ262" t="s">
        <v>54</v>
      </c>
      <c r="AK262" t="s">
        <v>2433</v>
      </c>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t="s">
        <v>1185</v>
      </c>
      <c r="BR262" t="s">
        <v>1751</v>
      </c>
      <c r="BS262" t="s">
        <v>729</v>
      </c>
      <c r="BT262" t="s">
        <v>1469</v>
      </c>
      <c r="BU262">
        <v>9525125639</v>
      </c>
      <c r="BV262"/>
      <c r="BW262">
        <v>9525125650</v>
      </c>
      <c r="BX262" t="s">
        <v>1752</v>
      </c>
      <c r="BY262" t="s">
        <v>1753</v>
      </c>
      <c r="BZ262"/>
      <c r="CA262" t="s">
        <v>1369</v>
      </c>
      <c r="CB262" t="s">
        <v>737</v>
      </c>
      <c r="CC262" t="s">
        <v>54</v>
      </c>
      <c r="CD262" t="s">
        <v>2742</v>
      </c>
      <c r="CE262"/>
      <c r="CF262" t="s">
        <v>1470</v>
      </c>
      <c r="CG262" t="s">
        <v>1469</v>
      </c>
      <c r="CH262" t="s">
        <v>141</v>
      </c>
      <c r="CI262"/>
      <c r="CJ262"/>
      <c r="CK262"/>
      <c r="CL262"/>
      <c r="CM262">
        <v>1164474250</v>
      </c>
      <c r="CN262">
        <v>2401</v>
      </c>
      <c r="CO262">
        <v>200</v>
      </c>
      <c r="CP262"/>
      <c r="CQ262"/>
      <c r="CR262">
        <v>218</v>
      </c>
      <c r="CS262" t="s">
        <v>2397</v>
      </c>
      <c r="CT262">
        <v>9</v>
      </c>
      <c r="CU262"/>
      <c r="CV262"/>
      <c r="CW262"/>
      <c r="CX262" t="s">
        <v>2368</v>
      </c>
      <c r="CY262"/>
      <c r="CZ262" t="s">
        <v>2368</v>
      </c>
      <c r="DA262" t="s">
        <v>2368</v>
      </c>
      <c r="DB262" t="s">
        <v>2368</v>
      </c>
      <c r="DC262" t="s">
        <v>2368</v>
      </c>
      <c r="DD262"/>
      <c r="DE262"/>
      <c r="DF262"/>
      <c r="DG262"/>
      <c r="DH262"/>
      <c r="DI262"/>
      <c r="DJ262"/>
      <c r="DK262"/>
      <c r="DL262"/>
      <c r="DM262"/>
      <c r="DN262">
        <v>133</v>
      </c>
      <c r="DO262" t="s">
        <v>2935</v>
      </c>
      <c r="DP262"/>
      <c r="DQ262"/>
      <c r="DR262"/>
      <c r="DS262"/>
      <c r="DT262"/>
      <c r="DU262"/>
      <c r="DV262"/>
      <c r="DW262"/>
      <c r="DX262"/>
      <c r="DY262"/>
      <c r="DZ262"/>
      <c r="EA262"/>
      <c r="EB262"/>
      <c r="EC262"/>
      <c r="ED262"/>
      <c r="EE262"/>
      <c r="EF262"/>
      <c r="EG262"/>
      <c r="EH262"/>
      <c r="EI262"/>
      <c r="EJ262"/>
      <c r="EK262"/>
      <c r="EL262"/>
      <c r="EM262"/>
      <c r="EN262"/>
      <c r="EO262"/>
      <c r="EP262"/>
      <c r="EQ262"/>
      <c r="ER262"/>
      <c r="ES262" s="569">
        <v>59</v>
      </c>
      <c r="ET262" t="s">
        <v>1880</v>
      </c>
      <c r="EU262" t="s">
        <v>764</v>
      </c>
      <c r="EV262" t="s">
        <v>2312</v>
      </c>
      <c r="EW262" t="s">
        <v>54</v>
      </c>
      <c r="EX262" s="599">
        <v>55415</v>
      </c>
      <c r="EY262">
        <v>1407897309</v>
      </c>
    </row>
    <row r="263" spans="1:155" x14ac:dyDescent="0.2">
      <c r="A263" s="598">
        <v>1122</v>
      </c>
      <c r="B263" t="s">
        <v>1758</v>
      </c>
      <c r="C263" t="s">
        <v>1454</v>
      </c>
      <c r="D263" t="s">
        <v>1759</v>
      </c>
      <c r="E263" t="s">
        <v>759</v>
      </c>
      <c r="F263" t="s">
        <v>772</v>
      </c>
      <c r="G263" t="s">
        <v>54</v>
      </c>
      <c r="H263" t="s">
        <v>2779</v>
      </c>
      <c r="I263"/>
      <c r="J263" t="s">
        <v>1759</v>
      </c>
      <c r="K263" t="s">
        <v>759</v>
      </c>
      <c r="L263" t="s">
        <v>1454</v>
      </c>
      <c r="M263" t="s">
        <v>772</v>
      </c>
      <c r="N263" t="s">
        <v>54</v>
      </c>
      <c r="O263" t="s">
        <v>2779</v>
      </c>
      <c r="P263"/>
      <c r="Q263">
        <v>6514398807</v>
      </c>
      <c r="R263">
        <v>6514390232</v>
      </c>
      <c r="S263" t="s">
        <v>1185</v>
      </c>
      <c r="T263" t="s">
        <v>1751</v>
      </c>
      <c r="U263" t="s">
        <v>1084</v>
      </c>
      <c r="V263" t="s">
        <v>1752</v>
      </c>
      <c r="W263" t="s">
        <v>1467</v>
      </c>
      <c r="X263" t="s">
        <v>1120</v>
      </c>
      <c r="Y263" t="s">
        <v>2085</v>
      </c>
      <c r="Z263" t="s">
        <v>2190</v>
      </c>
      <c r="AA263" t="s">
        <v>1469</v>
      </c>
      <c r="AB263">
        <v>9524567059</v>
      </c>
      <c r="AC263"/>
      <c r="AD263">
        <v>9528320477</v>
      </c>
      <c r="AE263" t="s">
        <v>2120</v>
      </c>
      <c r="AF263" t="s">
        <v>1761</v>
      </c>
      <c r="AG263"/>
      <c r="AH263" t="s">
        <v>1049</v>
      </c>
      <c r="AI263" t="s">
        <v>737</v>
      </c>
      <c r="AJ263" t="s">
        <v>54</v>
      </c>
      <c r="AK263" t="s">
        <v>2433</v>
      </c>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t="s">
        <v>1185</v>
      </c>
      <c r="BR263" t="s">
        <v>1751</v>
      </c>
      <c r="BS263" t="s">
        <v>729</v>
      </c>
      <c r="BT263" t="s">
        <v>1469</v>
      </c>
      <c r="BU263">
        <v>9525125639</v>
      </c>
      <c r="BV263"/>
      <c r="BW263">
        <v>9525125650</v>
      </c>
      <c r="BX263" t="s">
        <v>1752</v>
      </c>
      <c r="BY263" t="s">
        <v>1753</v>
      </c>
      <c r="BZ263"/>
      <c r="CA263" t="s">
        <v>1369</v>
      </c>
      <c r="CB263" t="s">
        <v>737</v>
      </c>
      <c r="CC263" t="s">
        <v>54</v>
      </c>
      <c r="CD263" t="s">
        <v>2742</v>
      </c>
      <c r="CE263"/>
      <c r="CF263" t="s">
        <v>1470</v>
      </c>
      <c r="CG263" t="s">
        <v>1469</v>
      </c>
      <c r="CH263" t="s">
        <v>141</v>
      </c>
      <c r="CI263"/>
      <c r="CJ263"/>
      <c r="CK263"/>
      <c r="CL263"/>
      <c r="CM263">
        <v>1164474250</v>
      </c>
      <c r="CN263">
        <v>1841</v>
      </c>
      <c r="CO263">
        <v>259</v>
      </c>
      <c r="CP263"/>
      <c r="CQ263"/>
      <c r="CR263">
        <v>218</v>
      </c>
      <c r="CS263" t="s">
        <v>2397</v>
      </c>
      <c r="CT263">
        <v>12</v>
      </c>
      <c r="CU263"/>
      <c r="CV263"/>
      <c r="CW263"/>
      <c r="CX263"/>
      <c r="CY263"/>
      <c r="CZ263"/>
      <c r="DA263"/>
      <c r="DB263"/>
      <c r="DC263"/>
      <c r="DD263">
        <v>128</v>
      </c>
      <c r="DE263" t="s">
        <v>2936</v>
      </c>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s="569">
        <v>1155</v>
      </c>
      <c r="ET263" t="s">
        <v>1324</v>
      </c>
      <c r="EU263" t="s">
        <v>764</v>
      </c>
      <c r="EV263" t="s">
        <v>3079</v>
      </c>
      <c r="EW263" t="s">
        <v>54</v>
      </c>
      <c r="EX263" s="600">
        <v>55402</v>
      </c>
      <c r="EY263">
        <v>1922074434</v>
      </c>
    </row>
    <row r="264" spans="1:155" x14ac:dyDescent="0.2">
      <c r="A264" s="598">
        <v>1276</v>
      </c>
      <c r="B264" t="s">
        <v>2121</v>
      </c>
      <c r="C264" t="s">
        <v>833</v>
      </c>
      <c r="D264" t="s">
        <v>834</v>
      </c>
      <c r="E264" t="s">
        <v>759</v>
      </c>
      <c r="F264" t="s">
        <v>737</v>
      </c>
      <c r="G264" t="s">
        <v>54</v>
      </c>
      <c r="H264" t="s">
        <v>2516</v>
      </c>
      <c r="I264"/>
      <c r="J264" t="s">
        <v>1753</v>
      </c>
      <c r="K264" t="s">
        <v>1136</v>
      </c>
      <c r="L264" t="s">
        <v>1369</v>
      </c>
      <c r="M264" t="s">
        <v>737</v>
      </c>
      <c r="N264" t="s">
        <v>54</v>
      </c>
      <c r="O264" t="s">
        <v>2742</v>
      </c>
      <c r="P264"/>
      <c r="Q264">
        <v>7635207870</v>
      </c>
      <c r="R264">
        <v>7633022451</v>
      </c>
      <c r="S264" t="s">
        <v>1185</v>
      </c>
      <c r="T264" t="s">
        <v>1751</v>
      </c>
      <c r="U264" t="s">
        <v>1084</v>
      </c>
      <c r="V264" t="s">
        <v>1752</v>
      </c>
      <c r="W264" t="s">
        <v>1467</v>
      </c>
      <c r="X264" t="s">
        <v>1120</v>
      </c>
      <c r="Y264" t="s">
        <v>2085</v>
      </c>
      <c r="Z264" t="s">
        <v>2190</v>
      </c>
      <c r="AA264" t="s">
        <v>1469</v>
      </c>
      <c r="AB264">
        <v>9524567059</v>
      </c>
      <c r="AC264"/>
      <c r="AD264">
        <v>9528320477</v>
      </c>
      <c r="AE264" t="s">
        <v>2120</v>
      </c>
      <c r="AF264" t="s">
        <v>1761</v>
      </c>
      <c r="AG264"/>
      <c r="AH264" t="s">
        <v>1049</v>
      </c>
      <c r="AI264" t="s">
        <v>737</v>
      </c>
      <c r="AJ264" t="s">
        <v>54</v>
      </c>
      <c r="AK264" t="s">
        <v>2433</v>
      </c>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t="s">
        <v>1185</v>
      </c>
      <c r="BR264" t="s">
        <v>1751</v>
      </c>
      <c r="BS264" t="s">
        <v>729</v>
      </c>
      <c r="BT264" t="s">
        <v>1469</v>
      </c>
      <c r="BU264">
        <v>9525125639</v>
      </c>
      <c r="BV264"/>
      <c r="BW264">
        <v>9525125650</v>
      </c>
      <c r="BX264" t="s">
        <v>1752</v>
      </c>
      <c r="BY264" t="s">
        <v>1753</v>
      </c>
      <c r="BZ264"/>
      <c r="CA264" t="s">
        <v>1369</v>
      </c>
      <c r="CB264" t="s">
        <v>737</v>
      </c>
      <c r="CC264" t="s">
        <v>54</v>
      </c>
      <c r="CD264" t="s">
        <v>2742</v>
      </c>
      <c r="CE264"/>
      <c r="CF264" t="s">
        <v>1470</v>
      </c>
      <c r="CG264" t="s">
        <v>1469</v>
      </c>
      <c r="CH264" t="s">
        <v>141</v>
      </c>
      <c r="CI264"/>
      <c r="CJ264"/>
      <c r="CK264"/>
      <c r="CL264"/>
      <c r="CM264">
        <v>1164474250</v>
      </c>
      <c r="CN264">
        <v>2972</v>
      </c>
      <c r="CO264">
        <v>200</v>
      </c>
      <c r="CP264"/>
      <c r="CQ264"/>
      <c r="CR264">
        <v>218</v>
      </c>
      <c r="CS264" t="s">
        <v>2397</v>
      </c>
      <c r="CT264">
        <v>12</v>
      </c>
      <c r="CU264"/>
      <c r="CV264"/>
      <c r="CW264"/>
      <c r="CX264"/>
      <c r="CY264"/>
      <c r="CZ264"/>
      <c r="DA264"/>
      <c r="DB264"/>
      <c r="DC264"/>
      <c r="DD264">
        <v>128</v>
      </c>
      <c r="DE264" t="s">
        <v>2517</v>
      </c>
      <c r="DF264"/>
      <c r="DG264"/>
      <c r="DH264"/>
      <c r="DI264"/>
      <c r="DJ264"/>
      <c r="DK264"/>
      <c r="DL264"/>
      <c r="DM264"/>
      <c r="DN264">
        <v>133</v>
      </c>
      <c r="DO264" t="s">
        <v>2937</v>
      </c>
      <c r="DP264"/>
      <c r="DQ264"/>
      <c r="DR264"/>
      <c r="DS264"/>
      <c r="DT264"/>
      <c r="DU264"/>
      <c r="DV264"/>
      <c r="DW264"/>
      <c r="DX264"/>
      <c r="DY264"/>
      <c r="DZ264"/>
      <c r="EA264"/>
      <c r="EB264"/>
      <c r="EC264"/>
      <c r="ED264"/>
      <c r="EE264"/>
      <c r="EF264"/>
      <c r="EG264"/>
      <c r="EH264"/>
      <c r="EI264"/>
      <c r="EJ264"/>
      <c r="EK264"/>
      <c r="EL264"/>
      <c r="EM264"/>
      <c r="EN264"/>
      <c r="EO264"/>
      <c r="EP264"/>
      <c r="EQ264"/>
      <c r="ER264"/>
      <c r="ES264" s="569">
        <v>507</v>
      </c>
      <c r="ET264" t="s">
        <v>1380</v>
      </c>
      <c r="EU264" t="s">
        <v>764</v>
      </c>
      <c r="EV264" t="s">
        <v>3080</v>
      </c>
      <c r="EW264" t="s">
        <v>54</v>
      </c>
      <c r="EX264" s="600">
        <v>55404</v>
      </c>
      <c r="EY264">
        <v>1629121884</v>
      </c>
    </row>
    <row r="265" spans="1:155" x14ac:dyDescent="0.2">
      <c r="A265" s="598">
        <v>1407</v>
      </c>
      <c r="B265" t="s">
        <v>2938</v>
      </c>
      <c r="C265" t="s">
        <v>778</v>
      </c>
      <c r="D265" t="s">
        <v>2939</v>
      </c>
      <c r="E265"/>
      <c r="F265" t="s">
        <v>772</v>
      </c>
      <c r="G265" t="s">
        <v>54</v>
      </c>
      <c r="H265" t="s">
        <v>2940</v>
      </c>
      <c r="I265"/>
      <c r="J265" t="s">
        <v>2939</v>
      </c>
      <c r="K265"/>
      <c r="L265" t="s">
        <v>778</v>
      </c>
      <c r="M265" t="s">
        <v>772</v>
      </c>
      <c r="N265" t="s">
        <v>54</v>
      </c>
      <c r="O265" t="s">
        <v>2940</v>
      </c>
      <c r="P265"/>
      <c r="Q265">
        <v>6514398807</v>
      </c>
      <c r="R265">
        <v>6514390232</v>
      </c>
      <c r="S265" t="s">
        <v>1185</v>
      </c>
      <c r="T265" t="s">
        <v>1751</v>
      </c>
      <c r="U265" t="s">
        <v>1084</v>
      </c>
      <c r="V265" t="s">
        <v>1752</v>
      </c>
      <c r="W265" t="s">
        <v>1467</v>
      </c>
      <c r="X265" t="s">
        <v>1120</v>
      </c>
      <c r="Y265" t="s">
        <v>2085</v>
      </c>
      <c r="Z265" t="s">
        <v>2190</v>
      </c>
      <c r="AA265" t="s">
        <v>1469</v>
      </c>
      <c r="AB265">
        <v>9524567059</v>
      </c>
      <c r="AC265"/>
      <c r="AD265">
        <v>9528320477</v>
      </c>
      <c r="AE265" t="s">
        <v>2120</v>
      </c>
      <c r="AF265" t="s">
        <v>1761</v>
      </c>
      <c r="AG265"/>
      <c r="AH265" t="s">
        <v>1049</v>
      </c>
      <c r="AI265" t="s">
        <v>737</v>
      </c>
      <c r="AJ265" t="s">
        <v>54</v>
      </c>
      <c r="AK265" t="s">
        <v>2433</v>
      </c>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t="s">
        <v>1185</v>
      </c>
      <c r="BR265" t="s">
        <v>1751</v>
      </c>
      <c r="BS265" t="s">
        <v>729</v>
      </c>
      <c r="BT265" t="s">
        <v>1469</v>
      </c>
      <c r="BU265">
        <v>9525125639</v>
      </c>
      <c r="BV265"/>
      <c r="BW265">
        <v>9525125650</v>
      </c>
      <c r="BX265" t="s">
        <v>1752</v>
      </c>
      <c r="BY265" t="s">
        <v>1753</v>
      </c>
      <c r="BZ265"/>
      <c r="CA265" t="s">
        <v>1369</v>
      </c>
      <c r="CB265" t="s">
        <v>737</v>
      </c>
      <c r="CC265" t="s">
        <v>54</v>
      </c>
      <c r="CD265" t="s">
        <v>2742</v>
      </c>
      <c r="CE265"/>
      <c r="CF265" t="s">
        <v>1470</v>
      </c>
      <c r="CG265" t="s">
        <v>1469</v>
      </c>
      <c r="CH265" t="s">
        <v>141</v>
      </c>
      <c r="CI265"/>
      <c r="CJ265"/>
      <c r="CK265"/>
      <c r="CL265"/>
      <c r="CM265">
        <v>1164474250</v>
      </c>
      <c r="CN265">
        <v>184</v>
      </c>
      <c r="CO265">
        <v>200</v>
      </c>
      <c r="CP265"/>
      <c r="CQ265"/>
      <c r="CR265">
        <v>218</v>
      </c>
      <c r="CS265" t="s">
        <v>2397</v>
      </c>
      <c r="CT265">
        <v>12</v>
      </c>
      <c r="CU265"/>
      <c r="CV265"/>
      <c r="CW265"/>
      <c r="CX265"/>
      <c r="CY265"/>
      <c r="CZ265"/>
      <c r="DA265"/>
      <c r="DB265"/>
      <c r="DC265"/>
      <c r="DD265"/>
      <c r="DE265"/>
      <c r="DF265"/>
      <c r="DG265"/>
      <c r="DH265"/>
      <c r="DI265"/>
      <c r="DJ265"/>
      <c r="DK265"/>
      <c r="DL265"/>
      <c r="DM265"/>
      <c r="DN265">
        <v>133</v>
      </c>
      <c r="DO265" t="s">
        <v>2941</v>
      </c>
      <c r="DP265"/>
      <c r="DQ265"/>
      <c r="DR265"/>
      <c r="DS265"/>
      <c r="DT265"/>
      <c r="DU265"/>
      <c r="DV265"/>
      <c r="DW265"/>
      <c r="DX265"/>
      <c r="DY265"/>
      <c r="DZ265"/>
      <c r="EA265"/>
      <c r="EB265"/>
      <c r="EC265"/>
      <c r="ED265"/>
      <c r="EE265"/>
      <c r="EF265"/>
      <c r="EG265"/>
      <c r="EH265"/>
      <c r="EI265"/>
      <c r="EJ265"/>
      <c r="EK265"/>
      <c r="EL265"/>
      <c r="EM265"/>
      <c r="EN265"/>
      <c r="EO265"/>
      <c r="EP265"/>
      <c r="EQ265"/>
      <c r="ER265"/>
      <c r="ES265" s="569">
        <v>726</v>
      </c>
      <c r="ET265" t="s">
        <v>1430</v>
      </c>
      <c r="EU265" t="s">
        <v>764</v>
      </c>
      <c r="EV265" t="s">
        <v>3081</v>
      </c>
      <c r="EW265" t="s">
        <v>54</v>
      </c>
      <c r="EX265" s="600">
        <v>55407</v>
      </c>
      <c r="EY265">
        <v>1356458475</v>
      </c>
    </row>
    <row r="266" spans="1:155" x14ac:dyDescent="0.2">
      <c r="A266" s="598">
        <v>545</v>
      </c>
      <c r="B266" t="s">
        <v>1760</v>
      </c>
      <c r="C266" t="s">
        <v>1049</v>
      </c>
      <c r="D266" t="s">
        <v>1761</v>
      </c>
      <c r="E266"/>
      <c r="F266" t="s">
        <v>737</v>
      </c>
      <c r="G266" t="s">
        <v>54</v>
      </c>
      <c r="H266" t="s">
        <v>2433</v>
      </c>
      <c r="I266"/>
      <c r="J266" t="s">
        <v>1761</v>
      </c>
      <c r="K266"/>
      <c r="L266" t="s">
        <v>1049</v>
      </c>
      <c r="M266" t="s">
        <v>737</v>
      </c>
      <c r="N266" t="s">
        <v>54</v>
      </c>
      <c r="O266" t="s">
        <v>2433</v>
      </c>
      <c r="P266"/>
      <c r="Q266">
        <v>9524567005</v>
      </c>
      <c r="R266">
        <v>9524567599</v>
      </c>
      <c r="S266" t="s">
        <v>1185</v>
      </c>
      <c r="T266" t="s">
        <v>1751</v>
      </c>
      <c r="U266" t="s">
        <v>729</v>
      </c>
      <c r="V266" t="s">
        <v>1752</v>
      </c>
      <c r="W266" t="s">
        <v>1467</v>
      </c>
      <c r="X266" t="s">
        <v>1120</v>
      </c>
      <c r="Y266" t="s">
        <v>2085</v>
      </c>
      <c r="Z266" t="s">
        <v>2190</v>
      </c>
      <c r="AA266" t="s">
        <v>1469</v>
      </c>
      <c r="AB266">
        <v>9524567059</v>
      </c>
      <c r="AC266"/>
      <c r="AD266">
        <v>9528320477</v>
      </c>
      <c r="AE266" t="s">
        <v>2120</v>
      </c>
      <c r="AF266" t="s">
        <v>1761</v>
      </c>
      <c r="AG266"/>
      <c r="AH266" t="s">
        <v>1049</v>
      </c>
      <c r="AI266" t="s">
        <v>737</v>
      </c>
      <c r="AJ266" t="s">
        <v>54</v>
      </c>
      <c r="AK266" t="s">
        <v>2433</v>
      </c>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t="s">
        <v>1185</v>
      </c>
      <c r="BR266" t="s">
        <v>1751</v>
      </c>
      <c r="BS266" t="s">
        <v>729</v>
      </c>
      <c r="BT266" t="s">
        <v>1469</v>
      </c>
      <c r="BU266">
        <v>9525125639</v>
      </c>
      <c r="BV266"/>
      <c r="BW266">
        <v>9525125650</v>
      </c>
      <c r="BX266" t="s">
        <v>1752</v>
      </c>
      <c r="BY266" t="s">
        <v>1753</v>
      </c>
      <c r="BZ266"/>
      <c r="CA266" t="s">
        <v>1369</v>
      </c>
      <c r="CB266" t="s">
        <v>737</v>
      </c>
      <c r="CC266" t="s">
        <v>54</v>
      </c>
      <c r="CD266" t="s">
        <v>2742</v>
      </c>
      <c r="CE266"/>
      <c r="CF266" t="s">
        <v>1470</v>
      </c>
      <c r="CG266" t="s">
        <v>1469</v>
      </c>
      <c r="CH266" t="s">
        <v>141</v>
      </c>
      <c r="CI266"/>
      <c r="CJ266"/>
      <c r="CK266"/>
      <c r="CL266"/>
      <c r="CM266">
        <v>1164474250</v>
      </c>
      <c r="CN266">
        <v>459</v>
      </c>
      <c r="CO266">
        <v>200</v>
      </c>
      <c r="CP266"/>
      <c r="CQ266"/>
      <c r="CR266">
        <v>218</v>
      </c>
      <c r="CS266" t="s">
        <v>2397</v>
      </c>
      <c r="CT266">
        <v>12</v>
      </c>
      <c r="CU266"/>
      <c r="CV266"/>
      <c r="CW266"/>
      <c r="CX266"/>
      <c r="CY266"/>
      <c r="CZ266"/>
      <c r="DA266"/>
      <c r="DB266"/>
      <c r="DC266"/>
      <c r="DD266"/>
      <c r="DE266"/>
      <c r="DF266"/>
      <c r="DG266"/>
      <c r="DH266"/>
      <c r="DI266"/>
      <c r="DJ266"/>
      <c r="DK266"/>
      <c r="DL266">
        <v>132</v>
      </c>
      <c r="DM266" t="s">
        <v>2914</v>
      </c>
      <c r="DN266">
        <v>133</v>
      </c>
      <c r="DO266" t="s">
        <v>2397</v>
      </c>
      <c r="DP266"/>
      <c r="DQ266"/>
      <c r="DR266"/>
      <c r="DS266"/>
      <c r="DT266"/>
      <c r="DU266"/>
      <c r="DV266"/>
      <c r="DW266"/>
      <c r="DX266"/>
      <c r="DY266"/>
      <c r="DZ266"/>
      <c r="EA266"/>
      <c r="EB266"/>
      <c r="EC266"/>
      <c r="ED266"/>
      <c r="EE266"/>
      <c r="EF266"/>
      <c r="EG266"/>
      <c r="EH266"/>
      <c r="EI266"/>
      <c r="EJ266"/>
      <c r="EK266"/>
      <c r="EL266"/>
      <c r="EM266"/>
      <c r="EN266"/>
      <c r="EO266"/>
      <c r="EP266"/>
      <c r="EQ266"/>
      <c r="ER266"/>
      <c r="ES266" s="569">
        <v>701</v>
      </c>
      <c r="ET266" t="s">
        <v>1443</v>
      </c>
      <c r="EU266" t="s">
        <v>764</v>
      </c>
      <c r="EV266" t="s">
        <v>3082</v>
      </c>
      <c r="EW266" t="s">
        <v>54</v>
      </c>
      <c r="EX266" s="600">
        <v>55407</v>
      </c>
      <c r="EY266">
        <v>1710098306</v>
      </c>
    </row>
    <row r="267" spans="1:155" x14ac:dyDescent="0.2">
      <c r="A267" s="598">
        <v>1119</v>
      </c>
      <c r="B267" t="s">
        <v>1762</v>
      </c>
      <c r="C267" t="s">
        <v>1763</v>
      </c>
      <c r="D267" t="s">
        <v>1764</v>
      </c>
      <c r="E267" t="s">
        <v>859</v>
      </c>
      <c r="F267"/>
      <c r="G267" t="s">
        <v>54</v>
      </c>
      <c r="H267" t="s">
        <v>2942</v>
      </c>
      <c r="I267"/>
      <c r="J267" t="s">
        <v>1764</v>
      </c>
      <c r="K267" t="s">
        <v>859</v>
      </c>
      <c r="L267" t="s">
        <v>1763</v>
      </c>
      <c r="M267"/>
      <c r="N267" t="s">
        <v>54</v>
      </c>
      <c r="O267" t="s">
        <v>2942</v>
      </c>
      <c r="P267"/>
      <c r="Q267">
        <v>9524422163</v>
      </c>
      <c r="R267"/>
      <c r="S267" t="s">
        <v>1185</v>
      </c>
      <c r="T267" t="s">
        <v>1751</v>
      </c>
      <c r="U267" t="s">
        <v>1084</v>
      </c>
      <c r="V267" t="s">
        <v>1752</v>
      </c>
      <c r="W267" t="s">
        <v>1467</v>
      </c>
      <c r="X267" t="s">
        <v>1120</v>
      </c>
      <c r="Y267" t="s">
        <v>2085</v>
      </c>
      <c r="Z267" t="s">
        <v>2190</v>
      </c>
      <c r="AA267" t="s">
        <v>1469</v>
      </c>
      <c r="AB267">
        <v>9524567059</v>
      </c>
      <c r="AC267"/>
      <c r="AD267">
        <v>9528320477</v>
      </c>
      <c r="AE267" t="s">
        <v>2120</v>
      </c>
      <c r="AF267" t="s">
        <v>1761</v>
      </c>
      <c r="AG267"/>
      <c r="AH267" t="s">
        <v>1049</v>
      </c>
      <c r="AI267" t="s">
        <v>737</v>
      </c>
      <c r="AJ267" t="s">
        <v>54</v>
      </c>
      <c r="AK267" t="s">
        <v>2433</v>
      </c>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t="s">
        <v>1185</v>
      </c>
      <c r="BR267" t="s">
        <v>1751</v>
      </c>
      <c r="BS267" t="s">
        <v>729</v>
      </c>
      <c r="BT267" t="s">
        <v>1469</v>
      </c>
      <c r="BU267">
        <v>9525125639</v>
      </c>
      <c r="BV267"/>
      <c r="BW267">
        <v>9525125650</v>
      </c>
      <c r="BX267" t="s">
        <v>1752</v>
      </c>
      <c r="BY267" t="s">
        <v>1753</v>
      </c>
      <c r="BZ267"/>
      <c r="CA267" t="s">
        <v>1369</v>
      </c>
      <c r="CB267" t="s">
        <v>737</v>
      </c>
      <c r="CC267" t="s">
        <v>54</v>
      </c>
      <c r="CD267" t="s">
        <v>2742</v>
      </c>
      <c r="CE267"/>
      <c r="CF267" t="s">
        <v>1470</v>
      </c>
      <c r="CG267" t="s">
        <v>1469</v>
      </c>
      <c r="CH267" t="s">
        <v>143</v>
      </c>
      <c r="CI267"/>
      <c r="CJ267"/>
      <c r="CK267"/>
      <c r="CL267"/>
      <c r="CM267">
        <v>1164474250</v>
      </c>
      <c r="CN267">
        <v>1838</v>
      </c>
      <c r="CO267">
        <v>200</v>
      </c>
      <c r="CP267"/>
      <c r="CQ267"/>
      <c r="CR267">
        <v>218</v>
      </c>
      <c r="CS267" t="s">
        <v>2397</v>
      </c>
      <c r="CT267">
        <v>12</v>
      </c>
      <c r="CU267"/>
      <c r="CV267"/>
      <c r="CW267"/>
      <c r="CX267"/>
      <c r="CY267"/>
      <c r="CZ267"/>
      <c r="DA267"/>
      <c r="DB267"/>
      <c r="DC267"/>
      <c r="DD267">
        <v>128</v>
      </c>
      <c r="DE267" t="s">
        <v>2943</v>
      </c>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s="569">
        <v>184</v>
      </c>
      <c r="ET267" t="s">
        <v>1881</v>
      </c>
      <c r="EU267" t="s">
        <v>764</v>
      </c>
      <c r="EV267" t="s">
        <v>2313</v>
      </c>
      <c r="EW267" t="s">
        <v>54</v>
      </c>
      <c r="EX267" s="599">
        <v>55404</v>
      </c>
      <c r="EY267">
        <v>1457319527</v>
      </c>
    </row>
    <row r="268" spans="1:155" x14ac:dyDescent="0.2">
      <c r="A268" s="598">
        <v>1225</v>
      </c>
      <c r="B268" t="s">
        <v>1765</v>
      </c>
      <c r="C268" t="s">
        <v>764</v>
      </c>
      <c r="D268" t="s">
        <v>1766</v>
      </c>
      <c r="E268"/>
      <c r="F268"/>
      <c r="G268" t="s">
        <v>54</v>
      </c>
      <c r="H268" t="s">
        <v>2486</v>
      </c>
      <c r="I268"/>
      <c r="J268" t="s">
        <v>1766</v>
      </c>
      <c r="K268"/>
      <c r="L268" t="s">
        <v>764</v>
      </c>
      <c r="M268" t="s">
        <v>737</v>
      </c>
      <c r="N268" t="s">
        <v>54</v>
      </c>
      <c r="O268" t="s">
        <v>2486</v>
      </c>
      <c r="P268"/>
      <c r="Q268">
        <v>6126765957</v>
      </c>
      <c r="R268">
        <v>6126765173</v>
      </c>
      <c r="S268" t="s">
        <v>780</v>
      </c>
      <c r="T268" t="s">
        <v>807</v>
      </c>
      <c r="U268" t="s">
        <v>1468</v>
      </c>
      <c r="V268" t="s">
        <v>2122</v>
      </c>
      <c r="W268"/>
      <c r="X268" t="s">
        <v>806</v>
      </c>
      <c r="Y268" t="s">
        <v>807</v>
      </c>
      <c r="Z268" t="s">
        <v>2944</v>
      </c>
      <c r="AA268" t="s">
        <v>1765</v>
      </c>
      <c r="AB268">
        <v>6126765189</v>
      </c>
      <c r="AC268"/>
      <c r="AD268">
        <v>6126765173</v>
      </c>
      <c r="AE268" t="s">
        <v>2123</v>
      </c>
      <c r="AF268" t="s">
        <v>1766</v>
      </c>
      <c r="AG268"/>
      <c r="AH268" t="s">
        <v>764</v>
      </c>
      <c r="AI268" t="s">
        <v>737</v>
      </c>
      <c r="AJ268" t="s">
        <v>54</v>
      </c>
      <c r="AK268" t="s">
        <v>2486</v>
      </c>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t="s">
        <v>806</v>
      </c>
      <c r="BR268" t="s">
        <v>807</v>
      </c>
      <c r="BS268" t="s">
        <v>2944</v>
      </c>
      <c r="BT268" t="s">
        <v>1765</v>
      </c>
      <c r="BU268">
        <v>6126765189</v>
      </c>
      <c r="BV268"/>
      <c r="BW268">
        <v>6126765173</v>
      </c>
      <c r="BX268" t="s">
        <v>2123</v>
      </c>
      <c r="BY268" t="s">
        <v>1766</v>
      </c>
      <c r="BZ268"/>
      <c r="CA268" t="s">
        <v>764</v>
      </c>
      <c r="CB268" t="s">
        <v>737</v>
      </c>
      <c r="CC268" t="s">
        <v>54</v>
      </c>
      <c r="CD268" t="s">
        <v>2486</v>
      </c>
      <c r="CE268"/>
      <c r="CF268" t="s">
        <v>2124</v>
      </c>
      <c r="CG268" t="s">
        <v>809</v>
      </c>
      <c r="CH268" t="s">
        <v>141</v>
      </c>
      <c r="CI268" t="s">
        <v>2490</v>
      </c>
      <c r="CJ268" t="s">
        <v>141</v>
      </c>
      <c r="CK268" t="s">
        <v>809</v>
      </c>
      <c r="CL268" t="s">
        <v>142</v>
      </c>
      <c r="CM268">
        <v>1639553779</v>
      </c>
      <c r="CN268">
        <v>112</v>
      </c>
      <c r="CO268">
        <v>243</v>
      </c>
      <c r="CP268"/>
      <c r="CQ268"/>
      <c r="CR268">
        <v>243</v>
      </c>
      <c r="CS268" t="s">
        <v>2397</v>
      </c>
      <c r="CT268">
        <v>12</v>
      </c>
      <c r="CU268"/>
      <c r="CV268"/>
      <c r="CW268"/>
      <c r="CX268"/>
      <c r="CY268"/>
      <c r="CZ268"/>
      <c r="DA268"/>
      <c r="DB268"/>
      <c r="DC268"/>
      <c r="DD268">
        <v>128</v>
      </c>
      <c r="DE268" t="s">
        <v>2945</v>
      </c>
      <c r="DF268"/>
      <c r="DG268"/>
      <c r="DH268">
        <v>129</v>
      </c>
      <c r="DI268" t="s">
        <v>2945</v>
      </c>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s="569">
        <v>819</v>
      </c>
      <c r="ET268" t="s">
        <v>1533</v>
      </c>
      <c r="EU268" t="s">
        <v>764</v>
      </c>
      <c r="EV268" t="s">
        <v>3083</v>
      </c>
      <c r="EW268" t="s">
        <v>54</v>
      </c>
      <c r="EX268" s="600">
        <v>55414</v>
      </c>
      <c r="EY268"/>
    </row>
    <row r="269" spans="1:155" s="561" customFormat="1" x14ac:dyDescent="0.2">
      <c r="A269" s="598">
        <v>601</v>
      </c>
      <c r="B269" t="s">
        <v>1767</v>
      </c>
      <c r="C269" t="s">
        <v>1123</v>
      </c>
      <c r="D269" t="s">
        <v>1768</v>
      </c>
      <c r="E269"/>
      <c r="F269" t="s">
        <v>784</v>
      </c>
      <c r="G269" t="s">
        <v>54</v>
      </c>
      <c r="H269" t="s">
        <v>2503</v>
      </c>
      <c r="I269"/>
      <c r="J269" t="s">
        <v>1768</v>
      </c>
      <c r="K269"/>
      <c r="L269" t="s">
        <v>1123</v>
      </c>
      <c r="M269" t="s">
        <v>784</v>
      </c>
      <c r="N269" t="s">
        <v>54</v>
      </c>
      <c r="O269" t="s">
        <v>2503</v>
      </c>
      <c r="P269"/>
      <c r="Q269">
        <v>6517899900</v>
      </c>
      <c r="R269">
        <v>6517899901</v>
      </c>
      <c r="S269" t="s">
        <v>730</v>
      </c>
      <c r="T269" t="s">
        <v>1769</v>
      </c>
      <c r="U269" t="s">
        <v>1468</v>
      </c>
      <c r="V269" t="s">
        <v>1770</v>
      </c>
      <c r="W269"/>
      <c r="X269" t="s">
        <v>2946</v>
      </c>
      <c r="Y269" t="s">
        <v>2947</v>
      </c>
      <c r="Z269" t="s">
        <v>1208</v>
      </c>
      <c r="AA269" t="s">
        <v>1771</v>
      </c>
      <c r="AB269">
        <v>9527674405</v>
      </c>
      <c r="AC269"/>
      <c r="AD269">
        <v>9528571554</v>
      </c>
      <c r="AE269" t="s">
        <v>2948</v>
      </c>
      <c r="AF269" t="s">
        <v>2949</v>
      </c>
      <c r="AG269" t="s">
        <v>759</v>
      </c>
      <c r="AH269" t="s">
        <v>1279</v>
      </c>
      <c r="AI269" t="s">
        <v>737</v>
      </c>
      <c r="AJ269" t="s">
        <v>54</v>
      </c>
      <c r="AK269" t="s">
        <v>2433</v>
      </c>
      <c r="AL269"/>
      <c r="AM269" t="s">
        <v>1571</v>
      </c>
      <c r="AN269" t="s">
        <v>1774</v>
      </c>
      <c r="AO269" t="s">
        <v>1775</v>
      </c>
      <c r="AP269" t="s">
        <v>1771</v>
      </c>
      <c r="AQ269">
        <v>9528570641</v>
      </c>
      <c r="AR269"/>
      <c r="AS269">
        <v>9528571554</v>
      </c>
      <c r="AT269" t="s">
        <v>1776</v>
      </c>
      <c r="AU269" t="s">
        <v>2949</v>
      </c>
      <c r="AV269" t="s">
        <v>759</v>
      </c>
      <c r="AW269" t="s">
        <v>1279</v>
      </c>
      <c r="AX269" t="s">
        <v>737</v>
      </c>
      <c r="AY269" t="s">
        <v>54</v>
      </c>
      <c r="AZ269" t="s">
        <v>2433</v>
      </c>
      <c r="BA269"/>
      <c r="BB269" t="s">
        <v>1094</v>
      </c>
      <c r="BC269" t="s">
        <v>1772</v>
      </c>
      <c r="BD269" t="s">
        <v>766</v>
      </c>
      <c r="BE269" t="s">
        <v>1771</v>
      </c>
      <c r="BF269">
        <v>9528571501</v>
      </c>
      <c r="BG269"/>
      <c r="BH269">
        <v>9528571554</v>
      </c>
      <c r="BI269" t="s">
        <v>1773</v>
      </c>
      <c r="BJ269" t="s">
        <v>2949</v>
      </c>
      <c r="BK269" t="s">
        <v>759</v>
      </c>
      <c r="BL269" t="s">
        <v>1279</v>
      </c>
      <c r="BM269" t="s">
        <v>737</v>
      </c>
      <c r="BN269" t="s">
        <v>54</v>
      </c>
      <c r="BO269" t="s">
        <v>2433</v>
      </c>
      <c r="BP269"/>
      <c r="BQ269" t="s">
        <v>730</v>
      </c>
      <c r="BR269" t="s">
        <v>1769</v>
      </c>
      <c r="BS269" t="s">
        <v>1468</v>
      </c>
      <c r="BT269" t="s">
        <v>1771</v>
      </c>
      <c r="BU269">
        <v>9528571529</v>
      </c>
      <c r="BV269"/>
      <c r="BW269">
        <v>9528571554</v>
      </c>
      <c r="BX269" t="s">
        <v>1770</v>
      </c>
      <c r="BY269" t="s">
        <v>2949</v>
      </c>
      <c r="BZ269" t="s">
        <v>759</v>
      </c>
      <c r="CA269" t="s">
        <v>1279</v>
      </c>
      <c r="CB269" t="s">
        <v>737</v>
      </c>
      <c r="CC269" t="s">
        <v>54</v>
      </c>
      <c r="CD269" t="s">
        <v>2433</v>
      </c>
      <c r="CE269"/>
      <c r="CF269" t="s">
        <v>1777</v>
      </c>
      <c r="CG269" t="s">
        <v>1778</v>
      </c>
      <c r="CH269" t="s">
        <v>141</v>
      </c>
      <c r="CI269"/>
      <c r="CJ269"/>
      <c r="CK269"/>
      <c r="CL269"/>
      <c r="CM269">
        <v>1407102882</v>
      </c>
      <c r="CN269">
        <v>85</v>
      </c>
      <c r="CO269">
        <v>3190</v>
      </c>
      <c r="CP269">
        <v>2929</v>
      </c>
      <c r="CQ269">
        <v>3191</v>
      </c>
      <c r="CR269">
        <v>3193</v>
      </c>
      <c r="CS269" t="s">
        <v>2386</v>
      </c>
      <c r="CT269">
        <v>12</v>
      </c>
      <c r="CU269"/>
      <c r="CV269"/>
      <c r="CW269"/>
      <c r="CX269"/>
      <c r="CY269"/>
      <c r="CZ269"/>
      <c r="DA269"/>
      <c r="DB269"/>
      <c r="DC269"/>
      <c r="DD269"/>
      <c r="DE269"/>
      <c r="DF269"/>
      <c r="DG269"/>
      <c r="DH269">
        <v>129</v>
      </c>
      <c r="DI269" t="s">
        <v>2950</v>
      </c>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s="569">
        <v>210</v>
      </c>
      <c r="ET269" t="s">
        <v>1882</v>
      </c>
      <c r="EU269" t="s">
        <v>764</v>
      </c>
      <c r="EV269" t="s">
        <v>3084</v>
      </c>
      <c r="EW269" t="s">
        <v>54</v>
      </c>
      <c r="EX269" s="599">
        <v>55414</v>
      </c>
      <c r="EY269">
        <v>1871636522</v>
      </c>
    </row>
    <row r="270" spans="1:155" x14ac:dyDescent="0.2">
      <c r="A270" s="598">
        <v>1020</v>
      </c>
      <c r="B270" t="s">
        <v>1779</v>
      </c>
      <c r="C270" t="s">
        <v>757</v>
      </c>
      <c r="D270" t="s">
        <v>1780</v>
      </c>
      <c r="E270"/>
      <c r="F270" t="s">
        <v>752</v>
      </c>
      <c r="G270" t="s">
        <v>54</v>
      </c>
      <c r="H270" t="s">
        <v>2415</v>
      </c>
      <c r="I270"/>
      <c r="J270" t="s">
        <v>1780</v>
      </c>
      <c r="K270"/>
      <c r="L270" t="s">
        <v>1781</v>
      </c>
      <c r="M270" t="s">
        <v>752</v>
      </c>
      <c r="N270" t="s">
        <v>54</v>
      </c>
      <c r="O270" t="s">
        <v>2415</v>
      </c>
      <c r="P270"/>
      <c r="Q270">
        <v>6517896500</v>
      </c>
      <c r="R270">
        <v>6517896501</v>
      </c>
      <c r="S270" t="s">
        <v>730</v>
      </c>
      <c r="T270" t="s">
        <v>1769</v>
      </c>
      <c r="U270" t="s">
        <v>1468</v>
      </c>
      <c r="V270" t="s">
        <v>1770</v>
      </c>
      <c r="W270"/>
      <c r="X270" t="s">
        <v>2946</v>
      </c>
      <c r="Y270" t="s">
        <v>2947</v>
      </c>
      <c r="Z270" t="s">
        <v>1208</v>
      </c>
      <c r="AA270" t="s">
        <v>1771</v>
      </c>
      <c r="AB270">
        <v>9527674405</v>
      </c>
      <c r="AC270"/>
      <c r="AD270">
        <v>9528571554</v>
      </c>
      <c r="AE270" t="s">
        <v>2948</v>
      </c>
      <c r="AF270" t="s">
        <v>2949</v>
      </c>
      <c r="AG270" t="s">
        <v>759</v>
      </c>
      <c r="AH270" t="s">
        <v>1279</v>
      </c>
      <c r="AI270" t="s">
        <v>737</v>
      </c>
      <c r="AJ270" t="s">
        <v>54</v>
      </c>
      <c r="AK270" t="s">
        <v>2433</v>
      </c>
      <c r="AL270"/>
      <c r="AM270" t="s">
        <v>1571</v>
      </c>
      <c r="AN270" t="s">
        <v>1774</v>
      </c>
      <c r="AO270" t="s">
        <v>1775</v>
      </c>
      <c r="AP270" t="s">
        <v>1771</v>
      </c>
      <c r="AQ270">
        <v>9528570641</v>
      </c>
      <c r="AR270"/>
      <c r="AS270">
        <v>9528571554</v>
      </c>
      <c r="AT270" t="s">
        <v>1776</v>
      </c>
      <c r="AU270" t="s">
        <v>2949</v>
      </c>
      <c r="AV270" t="s">
        <v>759</v>
      </c>
      <c r="AW270" t="s">
        <v>1279</v>
      </c>
      <c r="AX270" t="s">
        <v>737</v>
      </c>
      <c r="AY270" t="s">
        <v>54</v>
      </c>
      <c r="AZ270" t="s">
        <v>2433</v>
      </c>
      <c r="BA270"/>
      <c r="BB270" t="s">
        <v>1094</v>
      </c>
      <c r="BC270" t="s">
        <v>1772</v>
      </c>
      <c r="BD270" t="s">
        <v>766</v>
      </c>
      <c r="BE270" t="s">
        <v>1771</v>
      </c>
      <c r="BF270">
        <v>9528571501</v>
      </c>
      <c r="BG270"/>
      <c r="BH270">
        <v>9528571554</v>
      </c>
      <c r="BI270" t="s">
        <v>1773</v>
      </c>
      <c r="BJ270" t="s">
        <v>2949</v>
      </c>
      <c r="BK270" t="s">
        <v>759</v>
      </c>
      <c r="BL270" t="s">
        <v>1279</v>
      </c>
      <c r="BM270" t="s">
        <v>737</v>
      </c>
      <c r="BN270" t="s">
        <v>54</v>
      </c>
      <c r="BO270" t="s">
        <v>2433</v>
      </c>
      <c r="BP270"/>
      <c r="BQ270" t="s">
        <v>730</v>
      </c>
      <c r="BR270" t="s">
        <v>1769</v>
      </c>
      <c r="BS270" t="s">
        <v>1468</v>
      </c>
      <c r="BT270" t="s">
        <v>1771</v>
      </c>
      <c r="BU270">
        <v>9528571529</v>
      </c>
      <c r="BV270"/>
      <c r="BW270">
        <v>9528571554</v>
      </c>
      <c r="BX270" t="s">
        <v>1770</v>
      </c>
      <c r="BY270" t="s">
        <v>2949</v>
      </c>
      <c r="BZ270" t="s">
        <v>759</v>
      </c>
      <c r="CA270" t="s">
        <v>1279</v>
      </c>
      <c r="CB270" t="s">
        <v>737</v>
      </c>
      <c r="CC270" t="s">
        <v>54</v>
      </c>
      <c r="CD270" t="s">
        <v>2433</v>
      </c>
      <c r="CE270"/>
      <c r="CF270" t="s">
        <v>1777</v>
      </c>
      <c r="CG270" t="s">
        <v>1778</v>
      </c>
      <c r="CH270" t="s">
        <v>141</v>
      </c>
      <c r="CI270"/>
      <c r="CJ270"/>
      <c r="CK270"/>
      <c r="CL270"/>
      <c r="CM270">
        <v>1134468465</v>
      </c>
      <c r="CN270">
        <v>1501</v>
      </c>
      <c r="CO270">
        <v>3190</v>
      </c>
      <c r="CP270">
        <v>2929</v>
      </c>
      <c r="CQ270">
        <v>3191</v>
      </c>
      <c r="CR270">
        <v>3193</v>
      </c>
      <c r="CS270" t="s">
        <v>2386</v>
      </c>
      <c r="CT270">
        <v>12</v>
      </c>
      <c r="CU270"/>
      <c r="CV270"/>
      <c r="CW270"/>
      <c r="CX270"/>
      <c r="CY270"/>
      <c r="CZ270"/>
      <c r="DA270"/>
      <c r="DB270"/>
      <c r="DC270"/>
      <c r="DD270"/>
      <c r="DE270"/>
      <c r="DF270"/>
      <c r="DG270"/>
      <c r="DH270">
        <v>129</v>
      </c>
      <c r="DI270" t="s">
        <v>2420</v>
      </c>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s="569">
        <v>1225</v>
      </c>
      <c r="ET270" t="s">
        <v>1765</v>
      </c>
      <c r="EU270" t="s">
        <v>764</v>
      </c>
      <c r="EV270" t="s">
        <v>3085</v>
      </c>
      <c r="EW270" t="s">
        <v>54</v>
      </c>
      <c r="EX270" s="600">
        <v>55455</v>
      </c>
      <c r="EY270">
        <v>1639553779</v>
      </c>
    </row>
    <row r="271" spans="1:155" x14ac:dyDescent="0.2">
      <c r="A271" s="598">
        <v>538</v>
      </c>
      <c r="B271" t="s">
        <v>1782</v>
      </c>
      <c r="C271" t="s">
        <v>778</v>
      </c>
      <c r="D271" t="s">
        <v>1783</v>
      </c>
      <c r="E271"/>
      <c r="F271" t="s">
        <v>772</v>
      </c>
      <c r="G271" t="s">
        <v>54</v>
      </c>
      <c r="H271" t="s">
        <v>2428</v>
      </c>
      <c r="I271"/>
      <c r="J271" t="s">
        <v>1783</v>
      </c>
      <c r="K271"/>
      <c r="L271" t="s">
        <v>778</v>
      </c>
      <c r="M271" t="s">
        <v>772</v>
      </c>
      <c r="N271" t="s">
        <v>54</v>
      </c>
      <c r="O271" t="s">
        <v>2428</v>
      </c>
      <c r="P271"/>
      <c r="Q271">
        <v>6517897000</v>
      </c>
      <c r="R271">
        <v>6517899626</v>
      </c>
      <c r="S271" t="s">
        <v>730</v>
      </c>
      <c r="T271" t="s">
        <v>1769</v>
      </c>
      <c r="U271" t="s">
        <v>1468</v>
      </c>
      <c r="V271" t="s">
        <v>1770</v>
      </c>
      <c r="W271"/>
      <c r="X271" t="s">
        <v>2946</v>
      </c>
      <c r="Y271" t="s">
        <v>2947</v>
      </c>
      <c r="Z271" t="s">
        <v>1208</v>
      </c>
      <c r="AA271" t="s">
        <v>1771</v>
      </c>
      <c r="AB271">
        <v>9527674405</v>
      </c>
      <c r="AC271"/>
      <c r="AD271">
        <v>9528571554</v>
      </c>
      <c r="AE271" t="s">
        <v>2948</v>
      </c>
      <c r="AF271" t="s">
        <v>2949</v>
      </c>
      <c r="AG271" t="s">
        <v>759</v>
      </c>
      <c r="AH271" t="s">
        <v>1279</v>
      </c>
      <c r="AI271" t="s">
        <v>737</v>
      </c>
      <c r="AJ271" t="s">
        <v>54</v>
      </c>
      <c r="AK271" t="s">
        <v>2433</v>
      </c>
      <c r="AL271"/>
      <c r="AM271" t="s">
        <v>1094</v>
      </c>
      <c r="AN271" t="s">
        <v>1772</v>
      </c>
      <c r="AO271" t="s">
        <v>766</v>
      </c>
      <c r="AP271" t="s">
        <v>1771</v>
      </c>
      <c r="AQ271">
        <v>9528571501</v>
      </c>
      <c r="AR271"/>
      <c r="AS271">
        <v>9528571554</v>
      </c>
      <c r="AT271" t="s">
        <v>1773</v>
      </c>
      <c r="AU271" t="s">
        <v>2949</v>
      </c>
      <c r="AV271" t="s">
        <v>759</v>
      </c>
      <c r="AW271" t="s">
        <v>1279</v>
      </c>
      <c r="AX271" t="s">
        <v>737</v>
      </c>
      <c r="AY271" t="s">
        <v>54</v>
      </c>
      <c r="AZ271" t="s">
        <v>2433</v>
      </c>
      <c r="BA271"/>
      <c r="BB271" t="s">
        <v>1571</v>
      </c>
      <c r="BC271" t="s">
        <v>1774</v>
      </c>
      <c r="BD271" t="s">
        <v>1775</v>
      </c>
      <c r="BE271" t="s">
        <v>1771</v>
      </c>
      <c r="BF271">
        <v>9528570641</v>
      </c>
      <c r="BG271"/>
      <c r="BH271">
        <v>9528571554</v>
      </c>
      <c r="BI271" t="s">
        <v>1776</v>
      </c>
      <c r="BJ271" t="s">
        <v>2949</v>
      </c>
      <c r="BK271" t="s">
        <v>759</v>
      </c>
      <c r="BL271" t="s">
        <v>1279</v>
      </c>
      <c r="BM271" t="s">
        <v>737</v>
      </c>
      <c r="BN271" t="s">
        <v>54</v>
      </c>
      <c r="BO271" t="s">
        <v>2433</v>
      </c>
      <c r="BP271"/>
      <c r="BQ271" t="s">
        <v>730</v>
      </c>
      <c r="BR271" t="s">
        <v>1769</v>
      </c>
      <c r="BS271" t="s">
        <v>1468</v>
      </c>
      <c r="BT271" t="s">
        <v>1771</v>
      </c>
      <c r="BU271">
        <v>9528571529</v>
      </c>
      <c r="BV271"/>
      <c r="BW271">
        <v>9528571554</v>
      </c>
      <c r="BX271" t="s">
        <v>1770</v>
      </c>
      <c r="BY271" t="s">
        <v>2949</v>
      </c>
      <c r="BZ271" t="s">
        <v>759</v>
      </c>
      <c r="CA271" t="s">
        <v>1279</v>
      </c>
      <c r="CB271" t="s">
        <v>737</v>
      </c>
      <c r="CC271" t="s">
        <v>54</v>
      </c>
      <c r="CD271" t="s">
        <v>2433</v>
      </c>
      <c r="CE271"/>
      <c r="CF271" t="s">
        <v>1777</v>
      </c>
      <c r="CG271" t="s">
        <v>1778</v>
      </c>
      <c r="CH271" t="s">
        <v>141</v>
      </c>
      <c r="CI271"/>
      <c r="CJ271"/>
      <c r="CK271"/>
      <c r="CL271"/>
      <c r="CM271">
        <v>1972734721</v>
      </c>
      <c r="CN271">
        <v>2925</v>
      </c>
      <c r="CO271">
        <v>3190</v>
      </c>
      <c r="CP271">
        <v>3191</v>
      </c>
      <c r="CQ271">
        <v>3192</v>
      </c>
      <c r="CR271">
        <v>3193</v>
      </c>
      <c r="CS271" t="s">
        <v>2386</v>
      </c>
      <c r="CT271">
        <v>12</v>
      </c>
      <c r="CU271"/>
      <c r="CV271"/>
      <c r="CW271"/>
      <c r="CX271"/>
      <c r="CY271"/>
      <c r="CZ271"/>
      <c r="DA271"/>
      <c r="DB271"/>
      <c r="DC271"/>
      <c r="DD271"/>
      <c r="DE271"/>
      <c r="DF271"/>
      <c r="DG271"/>
      <c r="DH271">
        <v>129</v>
      </c>
      <c r="DI271" t="s">
        <v>2951</v>
      </c>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s="569">
        <v>185</v>
      </c>
      <c r="ET271" t="s">
        <v>1883</v>
      </c>
      <c r="EU271" t="s">
        <v>764</v>
      </c>
      <c r="EV271" t="s">
        <v>2314</v>
      </c>
      <c r="EW271" t="s">
        <v>54</v>
      </c>
      <c r="EX271" s="599">
        <v>55454</v>
      </c>
      <c r="EY271">
        <v>1013994359</v>
      </c>
    </row>
    <row r="272" spans="1:155" x14ac:dyDescent="0.2">
      <c r="A272" s="598">
        <v>1058</v>
      </c>
      <c r="B272" t="s">
        <v>1789</v>
      </c>
      <c r="C272" t="s">
        <v>757</v>
      </c>
      <c r="D272" t="s">
        <v>1790</v>
      </c>
      <c r="E272"/>
      <c r="F272" t="s">
        <v>752</v>
      </c>
      <c r="G272" t="s">
        <v>54</v>
      </c>
      <c r="H272" t="s">
        <v>2801</v>
      </c>
      <c r="I272"/>
      <c r="J272" t="s">
        <v>1125</v>
      </c>
      <c r="K272" t="s">
        <v>1126</v>
      </c>
      <c r="L272" t="s">
        <v>778</v>
      </c>
      <c r="M272" t="s">
        <v>772</v>
      </c>
      <c r="N272" t="s">
        <v>54</v>
      </c>
      <c r="O272" t="s">
        <v>2428</v>
      </c>
      <c r="P272"/>
      <c r="Q272">
        <v>6519685760</v>
      </c>
      <c r="R272">
        <v>6519685775</v>
      </c>
      <c r="S272" t="s">
        <v>1083</v>
      </c>
      <c r="T272" t="s">
        <v>2187</v>
      </c>
      <c r="U272" t="s">
        <v>731</v>
      </c>
      <c r="V272" t="s">
        <v>2188</v>
      </c>
      <c r="W272" t="s">
        <v>2189</v>
      </c>
      <c r="X272" t="s">
        <v>2645</v>
      </c>
      <c r="Y272" t="s">
        <v>2646</v>
      </c>
      <c r="Z272" t="s">
        <v>2647</v>
      </c>
      <c r="AA272" t="s">
        <v>2648</v>
      </c>
      <c r="AB272">
        <v>6519685654</v>
      </c>
      <c r="AC272"/>
      <c r="AD272">
        <v>6517303527</v>
      </c>
      <c r="AE272" t="s">
        <v>2649</v>
      </c>
      <c r="AF272" t="s">
        <v>1125</v>
      </c>
      <c r="AG272" t="s">
        <v>1126</v>
      </c>
      <c r="AH272" t="s">
        <v>778</v>
      </c>
      <c r="AI272" t="s">
        <v>772</v>
      </c>
      <c r="AJ272" t="s">
        <v>54</v>
      </c>
      <c r="AK272" t="s">
        <v>2428</v>
      </c>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t="s">
        <v>1127</v>
      </c>
      <c r="CG272" t="s">
        <v>2648</v>
      </c>
      <c r="CH272" t="s">
        <v>141</v>
      </c>
      <c r="CI272"/>
      <c r="CJ272"/>
      <c r="CK272"/>
      <c r="CL272"/>
      <c r="CM272">
        <v>1306899463</v>
      </c>
      <c r="CN272">
        <v>194</v>
      </c>
      <c r="CO272">
        <v>2945</v>
      </c>
      <c r="CP272"/>
      <c r="CQ272"/>
      <c r="CR272"/>
      <c r="CS272" t="s">
        <v>2397</v>
      </c>
      <c r="CT272">
        <v>12</v>
      </c>
      <c r="CU272"/>
      <c r="CV272"/>
      <c r="CW272"/>
      <c r="CX272"/>
      <c r="CY272"/>
      <c r="CZ272"/>
      <c r="DA272"/>
      <c r="DB272"/>
      <c r="DC272"/>
      <c r="DD272">
        <v>128</v>
      </c>
      <c r="DE272" t="s">
        <v>2916</v>
      </c>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s="569">
        <v>211</v>
      </c>
      <c r="ET272" t="s">
        <v>1884</v>
      </c>
      <c r="EU272" t="s">
        <v>764</v>
      </c>
      <c r="EV272" t="s">
        <v>2315</v>
      </c>
      <c r="EW272" t="s">
        <v>54</v>
      </c>
      <c r="EX272" s="599">
        <v>55417</v>
      </c>
      <c r="EY272">
        <v>1073627931</v>
      </c>
    </row>
    <row r="273" spans="1:155" x14ac:dyDescent="0.2">
      <c r="A273" s="598">
        <v>1016</v>
      </c>
      <c r="B273" t="s">
        <v>1791</v>
      </c>
      <c r="C273" t="s">
        <v>787</v>
      </c>
      <c r="D273" t="s">
        <v>1792</v>
      </c>
      <c r="E273" t="s">
        <v>1793</v>
      </c>
      <c r="F273" t="s">
        <v>752</v>
      </c>
      <c r="G273" t="s">
        <v>54</v>
      </c>
      <c r="H273" t="s">
        <v>2823</v>
      </c>
      <c r="I273"/>
      <c r="J273" t="s">
        <v>1792</v>
      </c>
      <c r="K273" t="s">
        <v>1793</v>
      </c>
      <c r="L273" t="s">
        <v>787</v>
      </c>
      <c r="M273" t="s">
        <v>752</v>
      </c>
      <c r="N273" t="s">
        <v>54</v>
      </c>
      <c r="O273" t="s">
        <v>2823</v>
      </c>
      <c r="P273"/>
      <c r="Q273">
        <v>6516470000</v>
      </c>
      <c r="R273">
        <v>6518471111</v>
      </c>
      <c r="S273" t="s">
        <v>1794</v>
      </c>
      <c r="T273" t="s">
        <v>1795</v>
      </c>
      <c r="U273" t="s">
        <v>753</v>
      </c>
      <c r="V273" t="s">
        <v>1796</v>
      </c>
      <c r="W273" t="s">
        <v>1797</v>
      </c>
      <c r="X273" t="s">
        <v>1494</v>
      </c>
      <c r="Y273" t="s">
        <v>1798</v>
      </c>
      <c r="Z273" t="s">
        <v>1799</v>
      </c>
      <c r="AA273" t="s">
        <v>1791</v>
      </c>
      <c r="AB273">
        <v>6516470000</v>
      </c>
      <c r="AC273"/>
      <c r="AD273">
        <v>6518471111</v>
      </c>
      <c r="AE273" t="s">
        <v>1796</v>
      </c>
      <c r="AF273" t="s">
        <v>1792</v>
      </c>
      <c r="AG273" t="s">
        <v>1793</v>
      </c>
      <c r="AH273" t="s">
        <v>787</v>
      </c>
      <c r="AI273" t="s">
        <v>752</v>
      </c>
      <c r="AJ273" t="s">
        <v>54</v>
      </c>
      <c r="AK273" t="s">
        <v>2823</v>
      </c>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t="s">
        <v>755</v>
      </c>
      <c r="CH273"/>
      <c r="CI273"/>
      <c r="CJ273"/>
      <c r="CK273"/>
      <c r="CL273"/>
      <c r="CM273">
        <v>1043643059</v>
      </c>
      <c r="CN273">
        <v>275</v>
      </c>
      <c r="CO273">
        <v>219</v>
      </c>
      <c r="CP273"/>
      <c r="CQ273"/>
      <c r="CR273"/>
      <c r="CS273" t="s">
        <v>2397</v>
      </c>
      <c r="CT273">
        <v>12</v>
      </c>
      <c r="CU273"/>
      <c r="CV273"/>
      <c r="CW273"/>
      <c r="CX273"/>
      <c r="CY273"/>
      <c r="CZ273"/>
      <c r="DA273"/>
      <c r="DB273"/>
      <c r="DC273"/>
      <c r="DD273">
        <v>128</v>
      </c>
      <c r="DE273" t="s">
        <v>2952</v>
      </c>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s="569">
        <v>1429</v>
      </c>
      <c r="ET273" t="s">
        <v>2364</v>
      </c>
      <c r="EU273" t="s">
        <v>1046</v>
      </c>
      <c r="EV273" t="s">
        <v>3086</v>
      </c>
      <c r="EW273" t="s">
        <v>54</v>
      </c>
      <c r="EX273" s="600">
        <v>55305</v>
      </c>
      <c r="EY273"/>
    </row>
    <row r="274" spans="1:155" x14ac:dyDescent="0.2">
      <c r="A274" s="598">
        <v>907</v>
      </c>
      <c r="B274" t="s">
        <v>1800</v>
      </c>
      <c r="C274" t="s">
        <v>1369</v>
      </c>
      <c r="D274" t="s">
        <v>1694</v>
      </c>
      <c r="E274"/>
      <c r="F274" t="s">
        <v>737</v>
      </c>
      <c r="G274" t="s">
        <v>54</v>
      </c>
      <c r="H274" t="s">
        <v>2742</v>
      </c>
      <c r="I274"/>
      <c r="J274" t="s">
        <v>1694</v>
      </c>
      <c r="K274"/>
      <c r="L274" t="s">
        <v>1369</v>
      </c>
      <c r="M274" t="s">
        <v>737</v>
      </c>
      <c r="N274" t="s">
        <v>54</v>
      </c>
      <c r="O274" t="s">
        <v>2742</v>
      </c>
      <c r="P274"/>
      <c r="Q274">
        <v>7635215000</v>
      </c>
      <c r="R274">
        <v>7635212000</v>
      </c>
      <c r="S274" t="s">
        <v>1695</v>
      </c>
      <c r="T274" t="s">
        <v>1696</v>
      </c>
      <c r="U274" t="s">
        <v>1697</v>
      </c>
      <c r="V274" t="s">
        <v>1698</v>
      </c>
      <c r="W274"/>
      <c r="X274" t="s">
        <v>1637</v>
      </c>
      <c r="Y274" t="s">
        <v>1145</v>
      </c>
      <c r="Z274" t="s">
        <v>753</v>
      </c>
      <c r="AA274" t="s">
        <v>1699</v>
      </c>
      <c r="AB274">
        <v>7635215000</v>
      </c>
      <c r="AC274"/>
      <c r="AD274">
        <v>7635212000</v>
      </c>
      <c r="AE274" t="s">
        <v>1700</v>
      </c>
      <c r="AF274" t="s">
        <v>1694</v>
      </c>
      <c r="AG274" t="s">
        <v>759</v>
      </c>
      <c r="AH274" t="s">
        <v>1369</v>
      </c>
      <c r="AI274" t="s">
        <v>737</v>
      </c>
      <c r="AJ274" t="s">
        <v>54</v>
      </c>
      <c r="AK274" t="s">
        <v>2742</v>
      </c>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t="s">
        <v>1701</v>
      </c>
      <c r="CG274" t="s">
        <v>1702</v>
      </c>
      <c r="CH274" t="s">
        <v>141</v>
      </c>
      <c r="CI274"/>
      <c r="CJ274"/>
      <c r="CK274"/>
      <c r="CL274"/>
      <c r="CM274">
        <v>1568561546</v>
      </c>
      <c r="CN274">
        <v>2880</v>
      </c>
      <c r="CO274">
        <v>160</v>
      </c>
      <c r="CP274"/>
      <c r="CQ274"/>
      <c r="CR274"/>
      <c r="CS274" t="s">
        <v>2397</v>
      </c>
      <c r="CT274">
        <v>12</v>
      </c>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s="569">
        <v>300</v>
      </c>
      <c r="ET274" t="s">
        <v>2226</v>
      </c>
      <c r="EU274" t="s">
        <v>1046</v>
      </c>
      <c r="EV274" t="s">
        <v>3087</v>
      </c>
      <c r="EW274" t="s">
        <v>54</v>
      </c>
      <c r="EX274" s="600">
        <v>55343</v>
      </c>
      <c r="EY274">
        <v>1952405284</v>
      </c>
    </row>
    <row r="275" spans="1:155" x14ac:dyDescent="0.2">
      <c r="A275" s="598">
        <v>990</v>
      </c>
      <c r="B275" t="s">
        <v>1801</v>
      </c>
      <c r="C275" t="s">
        <v>728</v>
      </c>
      <c r="D275" t="s">
        <v>854</v>
      </c>
      <c r="E275" t="s">
        <v>855</v>
      </c>
      <c r="F275" t="s">
        <v>846</v>
      </c>
      <c r="G275" t="s">
        <v>54</v>
      </c>
      <c r="H275" t="s">
        <v>2374</v>
      </c>
      <c r="I275"/>
      <c r="J275" t="s">
        <v>734</v>
      </c>
      <c r="K275" t="s">
        <v>735</v>
      </c>
      <c r="L275" t="s">
        <v>736</v>
      </c>
      <c r="M275" t="s">
        <v>737</v>
      </c>
      <c r="N275" t="s">
        <v>54</v>
      </c>
      <c r="O275" t="s">
        <v>2396</v>
      </c>
      <c r="P275"/>
      <c r="Q275">
        <v>3202318910</v>
      </c>
      <c r="R275">
        <v>3202530273</v>
      </c>
      <c r="S275" t="s">
        <v>1262</v>
      </c>
      <c r="T275" t="s">
        <v>816</v>
      </c>
      <c r="U275" t="s">
        <v>2135</v>
      </c>
      <c r="V275" t="s">
        <v>817</v>
      </c>
      <c r="W275" t="s">
        <v>2029</v>
      </c>
      <c r="X275" t="s">
        <v>738</v>
      </c>
      <c r="Y275" t="s">
        <v>739</v>
      </c>
      <c r="Z275" t="s">
        <v>1992</v>
      </c>
      <c r="AA275" t="s">
        <v>740</v>
      </c>
      <c r="AB275">
        <v>9525136831</v>
      </c>
      <c r="AC275"/>
      <c r="AD275">
        <v>9525136880</v>
      </c>
      <c r="AE275" t="s">
        <v>741</v>
      </c>
      <c r="AF275" t="s">
        <v>734</v>
      </c>
      <c r="AG275" t="s">
        <v>742</v>
      </c>
      <c r="AH275" t="s">
        <v>736</v>
      </c>
      <c r="AI275" t="s">
        <v>737</v>
      </c>
      <c r="AJ275" t="s">
        <v>54</v>
      </c>
      <c r="AK275" t="s">
        <v>2396</v>
      </c>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t="s">
        <v>748</v>
      </c>
      <c r="CG275" t="s">
        <v>740</v>
      </c>
      <c r="CH275" t="s">
        <v>142</v>
      </c>
      <c r="CI275" t="s">
        <v>856</v>
      </c>
      <c r="CJ275" t="s">
        <v>141</v>
      </c>
      <c r="CK275"/>
      <c r="CL275"/>
      <c r="CM275"/>
      <c r="CN275">
        <v>395</v>
      </c>
      <c r="CO275">
        <v>142</v>
      </c>
      <c r="CP275"/>
      <c r="CQ275"/>
      <c r="CR275"/>
      <c r="CS275" t="s">
        <v>2397</v>
      </c>
      <c r="CT275">
        <v>12</v>
      </c>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s="569">
        <v>1256</v>
      </c>
      <c r="ET275" t="s">
        <v>1456</v>
      </c>
      <c r="EU275" t="s">
        <v>1046</v>
      </c>
      <c r="EV275" t="s">
        <v>3088</v>
      </c>
      <c r="EW275" t="s">
        <v>54</v>
      </c>
      <c r="EX275" s="600">
        <v>55345</v>
      </c>
      <c r="EY275">
        <v>1952732729</v>
      </c>
    </row>
    <row r="276" spans="1:155" x14ac:dyDescent="0.2">
      <c r="A276" s="598">
        <v>1493</v>
      </c>
      <c r="B276" t="s">
        <v>711</v>
      </c>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t="s">
        <v>2397</v>
      </c>
      <c r="CT276">
        <v>12</v>
      </c>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s="569">
        <v>1135</v>
      </c>
      <c r="ET276" t="s">
        <v>901</v>
      </c>
      <c r="EU276" t="s">
        <v>902</v>
      </c>
      <c r="EV276" t="s">
        <v>3089</v>
      </c>
      <c r="EW276" t="s">
        <v>54</v>
      </c>
      <c r="EX276" s="600">
        <v>56265</v>
      </c>
      <c r="EY276"/>
    </row>
    <row r="277" spans="1:155" x14ac:dyDescent="0.2">
      <c r="A277" s="598">
        <v>1483</v>
      </c>
      <c r="B277" t="s">
        <v>712</v>
      </c>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t="s">
        <v>2397</v>
      </c>
      <c r="CT277">
        <v>12</v>
      </c>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S277" s="569">
        <v>17</v>
      </c>
      <c r="ET277" t="s">
        <v>1885</v>
      </c>
      <c r="EU277" t="s">
        <v>902</v>
      </c>
      <c r="EV277" t="s">
        <v>2316</v>
      </c>
      <c r="EW277" t="s">
        <v>54</v>
      </c>
      <c r="EX277" s="599">
        <v>56265</v>
      </c>
      <c r="EY277">
        <v>1720086028</v>
      </c>
    </row>
    <row r="278" spans="1:155" x14ac:dyDescent="0.2">
      <c r="A278" s="598">
        <v>1490</v>
      </c>
      <c r="B278" t="s">
        <v>713</v>
      </c>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t="s">
        <v>2397</v>
      </c>
      <c r="CT278">
        <v>12</v>
      </c>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S278" s="569">
        <v>94</v>
      </c>
      <c r="ET278" t="s">
        <v>1886</v>
      </c>
      <c r="EU278" t="s">
        <v>892</v>
      </c>
      <c r="EV278" t="s">
        <v>893</v>
      </c>
      <c r="EW278" t="s">
        <v>54</v>
      </c>
      <c r="EX278" s="599">
        <v>55362</v>
      </c>
      <c r="EY278">
        <v>1275872772</v>
      </c>
    </row>
    <row r="279" spans="1:155" x14ac:dyDescent="0.2">
      <c r="A279" s="598">
        <v>1480</v>
      </c>
      <c r="B279" t="s">
        <v>714</v>
      </c>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t="s">
        <v>2397</v>
      </c>
      <c r="CT279">
        <v>12</v>
      </c>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S279" s="569">
        <v>848</v>
      </c>
      <c r="ET279" t="s">
        <v>891</v>
      </c>
      <c r="EU279" t="s">
        <v>892</v>
      </c>
      <c r="EV279" t="s">
        <v>3090</v>
      </c>
      <c r="EW279" t="s">
        <v>54</v>
      </c>
      <c r="EX279" s="600">
        <v>55362</v>
      </c>
      <c r="EY279"/>
    </row>
    <row r="280" spans="1:155" x14ac:dyDescent="0.2">
      <c r="A280" s="598">
        <v>1491</v>
      </c>
      <c r="B280" t="s">
        <v>715</v>
      </c>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t="s">
        <v>2397</v>
      </c>
      <c r="CT280">
        <v>12</v>
      </c>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S280" s="569">
        <v>849</v>
      </c>
      <c r="ET280" t="s">
        <v>978</v>
      </c>
      <c r="EU280" t="s">
        <v>979</v>
      </c>
      <c r="EV280" t="s">
        <v>3091</v>
      </c>
      <c r="EW280" t="s">
        <v>54</v>
      </c>
      <c r="EX280" s="600">
        <v>55767</v>
      </c>
      <c r="EY280"/>
    </row>
    <row r="281" spans="1:155" x14ac:dyDescent="0.2">
      <c r="A281" s="598">
        <v>1481</v>
      </c>
      <c r="B281" t="s">
        <v>716</v>
      </c>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t="s">
        <v>2397</v>
      </c>
      <c r="CT281">
        <v>12</v>
      </c>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S281" s="569">
        <v>83</v>
      </c>
      <c r="ET281" t="s">
        <v>1830</v>
      </c>
      <c r="EU281" t="s">
        <v>979</v>
      </c>
      <c r="EV281" t="s">
        <v>2317</v>
      </c>
      <c r="EW281" t="s">
        <v>54</v>
      </c>
      <c r="EX281" s="599">
        <v>55767</v>
      </c>
      <c r="EY281">
        <v>1942398029</v>
      </c>
    </row>
    <row r="282" spans="1:155" x14ac:dyDescent="0.2">
      <c r="A282" s="598">
        <v>1492</v>
      </c>
      <c r="B282" t="s">
        <v>717</v>
      </c>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t="s">
        <v>2397</v>
      </c>
      <c r="CT282">
        <v>12</v>
      </c>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S282" s="569">
        <v>850</v>
      </c>
      <c r="ET282" t="s">
        <v>941</v>
      </c>
      <c r="EU282" t="s">
        <v>942</v>
      </c>
      <c r="EV282" t="s">
        <v>3092</v>
      </c>
      <c r="EW282" t="s">
        <v>54</v>
      </c>
      <c r="EX282" s="600">
        <v>55051</v>
      </c>
      <c r="EY282"/>
    </row>
    <row r="283" spans="1:155" x14ac:dyDescent="0.2">
      <c r="A283" s="598">
        <v>1482</v>
      </c>
      <c r="B283" t="s">
        <v>718</v>
      </c>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t="s">
        <v>2397</v>
      </c>
      <c r="CT283">
        <v>12</v>
      </c>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S283" s="569">
        <v>67</v>
      </c>
      <c r="ET283" t="s">
        <v>1887</v>
      </c>
      <c r="EU283" t="s">
        <v>942</v>
      </c>
      <c r="EV283" t="s">
        <v>943</v>
      </c>
      <c r="EW283" t="s">
        <v>54</v>
      </c>
      <c r="EX283" s="599">
        <v>55051</v>
      </c>
      <c r="EY283">
        <v>1528031390</v>
      </c>
    </row>
    <row r="284" spans="1:155" x14ac:dyDescent="0.2">
      <c r="A284" s="598">
        <v>1495</v>
      </c>
      <c r="B284" t="s">
        <v>719</v>
      </c>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t="s">
        <v>2397</v>
      </c>
      <c r="CT284">
        <v>12</v>
      </c>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S284" s="569">
        <v>152</v>
      </c>
      <c r="ET284" t="s">
        <v>1888</v>
      </c>
      <c r="EU284" t="s">
        <v>1889</v>
      </c>
      <c r="EV284" t="s">
        <v>2318</v>
      </c>
      <c r="EW284" t="s">
        <v>54</v>
      </c>
      <c r="EX284" s="599">
        <v>56267</v>
      </c>
      <c r="EY284">
        <v>1487678942</v>
      </c>
    </row>
    <row r="285" spans="1:155" s="559" customFormat="1" x14ac:dyDescent="0.2">
      <c r="A285" s="598">
        <v>1485</v>
      </c>
      <c r="B285" t="s">
        <v>720</v>
      </c>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t="s">
        <v>2397</v>
      </c>
      <c r="CT285">
        <v>12</v>
      </c>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S285" s="569">
        <v>114</v>
      </c>
      <c r="ET285" t="s">
        <v>1890</v>
      </c>
      <c r="EU285" t="s">
        <v>1891</v>
      </c>
      <c r="EV285" t="s">
        <v>2319</v>
      </c>
      <c r="EW285" t="s">
        <v>54</v>
      </c>
      <c r="EX285" s="599">
        <v>56071</v>
      </c>
      <c r="EY285">
        <v>1124035282</v>
      </c>
    </row>
    <row r="286" spans="1:155" x14ac:dyDescent="0.2">
      <c r="A286" s="598">
        <v>1484</v>
      </c>
      <c r="B286" t="s">
        <v>721</v>
      </c>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t="s">
        <v>2397</v>
      </c>
      <c r="CT286">
        <v>12</v>
      </c>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S286" s="569">
        <v>527</v>
      </c>
      <c r="ET286" t="s">
        <v>1425</v>
      </c>
      <c r="EU286" t="s">
        <v>1426</v>
      </c>
      <c r="EV286" t="s">
        <v>3093</v>
      </c>
      <c r="EW286" t="s">
        <v>54</v>
      </c>
      <c r="EX286" s="600">
        <v>56073</v>
      </c>
      <c r="EY286"/>
    </row>
    <row r="287" spans="1:155" x14ac:dyDescent="0.2">
      <c r="A287" s="598">
        <v>1494</v>
      </c>
      <c r="B287" t="s">
        <v>722</v>
      </c>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t="s">
        <v>2397</v>
      </c>
      <c r="CT287">
        <v>12</v>
      </c>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S287" s="569">
        <v>127</v>
      </c>
      <c r="ET287" t="s">
        <v>1892</v>
      </c>
      <c r="EU287" t="s">
        <v>1426</v>
      </c>
      <c r="EV287" t="s">
        <v>3094</v>
      </c>
      <c r="EW287" t="s">
        <v>54</v>
      </c>
      <c r="EX287" s="599">
        <v>56073</v>
      </c>
      <c r="EY287">
        <v>1558328435</v>
      </c>
    </row>
    <row r="288" spans="1:155" x14ac:dyDescent="0.2">
      <c r="A288" s="542"/>
      <c r="B288" s="19"/>
      <c r="C288" s="19"/>
      <c r="D288" s="19"/>
      <c r="E288" s="547"/>
      <c r="F288" s="547"/>
      <c r="G288" s="547"/>
      <c r="H288" s="547"/>
      <c r="I288" s="547"/>
      <c r="J288" s="547"/>
      <c r="K288" s="547"/>
      <c r="L288" s="547"/>
      <c r="M288" s="547"/>
      <c r="N288" s="547"/>
      <c r="O288" s="547"/>
      <c r="P288" s="548"/>
      <c r="Q288" s="548"/>
      <c r="R288" s="547"/>
      <c r="S288" s="547"/>
      <c r="T288" s="547"/>
      <c r="U288" s="547"/>
      <c r="V288" s="547"/>
      <c r="W288" s="547"/>
      <c r="X288" s="547"/>
      <c r="Y288" s="547"/>
      <c r="Z288" s="548"/>
      <c r="AA288" s="547"/>
      <c r="AB288" s="548"/>
      <c r="AC288" s="547"/>
      <c r="AD288" s="547"/>
      <c r="AE288" s="547"/>
      <c r="AF288" s="547"/>
      <c r="AG288" s="547"/>
      <c r="AH288" s="547"/>
      <c r="AI288" s="547"/>
      <c r="AJ288" s="547"/>
      <c r="AK288" s="547"/>
      <c r="AL288" s="547"/>
      <c r="AM288" s="548"/>
      <c r="AN288" s="547"/>
      <c r="AO288" s="548"/>
      <c r="AP288" s="547"/>
      <c r="AQ288" s="547"/>
      <c r="AR288" s="547"/>
      <c r="AS288" s="547"/>
      <c r="AT288" s="547"/>
      <c r="AU288" s="547"/>
      <c r="AV288" s="547"/>
      <c r="AW288" s="547"/>
      <c r="AX288" s="547"/>
      <c r="AY288" s="547"/>
      <c r="AZ288" s="547"/>
      <c r="BA288" s="548"/>
      <c r="BB288" s="548"/>
      <c r="BC288" s="547"/>
      <c r="BD288" s="547"/>
      <c r="BE288" s="547"/>
      <c r="BF288" s="547"/>
      <c r="BG288" s="547"/>
      <c r="BH288" s="547"/>
      <c r="BI288" s="547"/>
      <c r="BJ288" s="547"/>
      <c r="BK288" s="547"/>
      <c r="BL288" s="547"/>
      <c r="BM288" s="547"/>
      <c r="BN288" s="547"/>
      <c r="BO288" s="547"/>
      <c r="BP288" s="548"/>
      <c r="BQ288" s="547"/>
      <c r="BR288" s="547"/>
      <c r="BS288" s="547"/>
      <c r="BT288" s="547"/>
      <c r="BU288" s="547"/>
      <c r="BV288" s="547"/>
      <c r="BW288" s="547"/>
      <c r="BX288" s="547"/>
      <c r="BY288" s="547"/>
      <c r="BZ288" s="547"/>
      <c r="CA288" s="547"/>
      <c r="CB288" s="547"/>
      <c r="CC288" s="547"/>
      <c r="CD288" s="547"/>
      <c r="CE288" s="547"/>
      <c r="CF288" s="547"/>
      <c r="CG288" s="549"/>
      <c r="CH288" s="547"/>
      <c r="CI288" s="547"/>
      <c r="CJ288" s="547"/>
      <c r="CK288" s="547"/>
      <c r="CL288" s="547"/>
      <c r="CM288" s="19"/>
      <c r="CN288" s="19"/>
      <c r="CO288" s="19"/>
      <c r="CP288" s="551"/>
      <c r="CQ288" s="19"/>
      <c r="CR288" s="19"/>
      <c r="CS288" s="19"/>
      <c r="CT288" s="19"/>
      <c r="CU288" s="19"/>
      <c r="CX288" s="92"/>
      <c r="CY288" s="93"/>
      <c r="CZ288" s="93"/>
      <c r="DA288" s="93"/>
      <c r="DB288" s="552"/>
      <c r="DV288" s="542"/>
      <c r="DW288" s="19"/>
      <c r="DX288" s="542"/>
      <c r="EI288" s="93"/>
      <c r="EJ288" s="93"/>
      <c r="EK288" s="93"/>
      <c r="EL288" s="93"/>
      <c r="EM288" s="93"/>
      <c r="EN288" s="569"/>
      <c r="EO288" s="93"/>
      <c r="EP288" s="93"/>
      <c r="EQ288" s="93"/>
      <c r="ES288" s="569">
        <v>686</v>
      </c>
      <c r="ET288" t="s">
        <v>773</v>
      </c>
      <c r="EU288" t="s">
        <v>774</v>
      </c>
      <c r="EV288" t="s">
        <v>3095</v>
      </c>
      <c r="EW288" t="s">
        <v>54</v>
      </c>
      <c r="EX288" s="600">
        <v>55057</v>
      </c>
      <c r="EY288">
        <v>1619919214</v>
      </c>
    </row>
    <row r="289" spans="1:155" x14ac:dyDescent="0.2">
      <c r="A289" s="542"/>
      <c r="B289" s="543"/>
      <c r="C289" s="543"/>
      <c r="D289" s="543"/>
      <c r="E289" s="543"/>
      <c r="F289" s="543"/>
      <c r="G289" s="543"/>
      <c r="H289" s="543"/>
      <c r="I289" s="543"/>
      <c r="J289" s="543"/>
      <c r="K289" s="543"/>
      <c r="L289" s="543"/>
      <c r="M289" s="543"/>
      <c r="N289" s="543"/>
      <c r="O289" s="543"/>
      <c r="P289" s="543"/>
      <c r="Q289" s="543"/>
      <c r="R289" s="543"/>
      <c r="S289" s="543"/>
      <c r="T289" s="543"/>
      <c r="U289" s="543"/>
      <c r="V289" s="543"/>
      <c r="W289" s="543"/>
      <c r="X289" s="543"/>
      <c r="Y289" s="543"/>
      <c r="Z289" s="543"/>
      <c r="AA289" s="543"/>
      <c r="AB289" s="543"/>
      <c r="AC289" s="543"/>
      <c r="AD289" s="543"/>
      <c r="AE289" s="543"/>
      <c r="AF289" s="543"/>
      <c r="AG289" s="543"/>
      <c r="AH289" s="543"/>
      <c r="AI289" s="543"/>
      <c r="AJ289" s="543"/>
      <c r="AK289" s="543"/>
      <c r="AL289" s="543"/>
      <c r="AM289" s="543"/>
      <c r="AN289" s="543"/>
      <c r="AO289" s="543"/>
      <c r="AP289" s="543"/>
      <c r="AQ289" s="543"/>
      <c r="AR289" s="543"/>
      <c r="AS289" s="543"/>
      <c r="AT289" s="543"/>
      <c r="AU289" s="543"/>
      <c r="AV289" s="543"/>
      <c r="AW289" s="543"/>
      <c r="AX289" s="543"/>
      <c r="AY289" s="543"/>
      <c r="AZ289" s="543"/>
      <c r="BA289" s="543"/>
      <c r="BB289" s="543"/>
      <c r="BC289" s="543"/>
      <c r="BD289" s="543"/>
      <c r="BE289" s="543"/>
      <c r="BF289" s="543"/>
      <c r="BG289" s="543"/>
      <c r="BH289" s="543"/>
      <c r="BI289" s="543"/>
      <c r="BJ289" s="543"/>
      <c r="BK289" s="543"/>
      <c r="BL289" s="543"/>
      <c r="BM289" s="543"/>
      <c r="BN289" s="543"/>
      <c r="BO289" s="543"/>
      <c r="BP289" s="543"/>
      <c r="BQ289" s="543"/>
      <c r="BR289" s="543"/>
      <c r="BS289" s="543"/>
      <c r="BT289" s="543"/>
      <c r="BU289" s="543"/>
      <c r="BV289" s="543"/>
      <c r="BW289" s="543"/>
      <c r="BX289" s="543"/>
      <c r="BY289" s="543"/>
      <c r="BZ289" s="543"/>
      <c r="CA289" s="543"/>
      <c r="CB289" s="544"/>
      <c r="CC289" s="543"/>
      <c r="CD289" s="543"/>
      <c r="CE289" s="543"/>
      <c r="CF289" s="543"/>
      <c r="CG289" s="544"/>
      <c r="CH289" s="543"/>
      <c r="CI289" s="543"/>
      <c r="CJ289" s="543"/>
      <c r="CK289" s="543"/>
      <c r="CL289" s="545"/>
      <c r="CM289" s="543"/>
      <c r="CN289" s="545"/>
      <c r="CO289" s="543"/>
      <c r="CP289" s="543"/>
      <c r="CQ289" s="545"/>
      <c r="CR289" s="543"/>
      <c r="CS289" s="543"/>
      <c r="CT289" s="543"/>
      <c r="CU289" s="543"/>
      <c r="CV289" s="543"/>
      <c r="CW289" s="543"/>
      <c r="CX289" s="543"/>
      <c r="CY289" s="543"/>
      <c r="CZ289" s="543"/>
      <c r="DA289" s="543"/>
      <c r="DB289" s="543"/>
      <c r="DC289" s="545"/>
      <c r="DD289" s="543"/>
      <c r="DE289" s="543"/>
      <c r="DF289" s="543"/>
      <c r="DG289" s="543"/>
      <c r="DH289" s="543"/>
      <c r="DI289" s="543"/>
      <c r="DM289" s="546"/>
      <c r="DN289" s="19"/>
      <c r="DO289" s="19"/>
      <c r="DP289" s="19"/>
      <c r="DQ289" s="19"/>
      <c r="DR289" s="19"/>
      <c r="DS289" s="19"/>
      <c r="DW289" s="542"/>
      <c r="DX289" s="19"/>
      <c r="DY289" s="542"/>
      <c r="EI289" s="93"/>
      <c r="EJ289" s="93"/>
      <c r="EK289" s="93"/>
      <c r="EL289" s="93"/>
      <c r="EM289" s="93"/>
      <c r="EN289" s="569"/>
      <c r="EO289" s="93"/>
      <c r="EP289" s="93"/>
      <c r="EQ289" s="93"/>
      <c r="ES289" s="569">
        <v>528</v>
      </c>
      <c r="ET289" t="s">
        <v>1414</v>
      </c>
      <c r="EU289" t="s">
        <v>774</v>
      </c>
      <c r="EV289" t="s">
        <v>3095</v>
      </c>
      <c r="EW289" t="s">
        <v>54</v>
      </c>
      <c r="EX289" s="600">
        <v>55057</v>
      </c>
      <c r="EY289"/>
    </row>
    <row r="290" spans="1:155" x14ac:dyDescent="0.2">
      <c r="A290" s="542"/>
      <c r="B290" s="19"/>
      <c r="C290" s="19"/>
      <c r="D290" s="19"/>
      <c r="E290" s="547"/>
      <c r="F290" s="547"/>
      <c r="G290" s="547"/>
      <c r="H290" s="547"/>
      <c r="I290" s="547"/>
      <c r="J290" s="547"/>
      <c r="K290" s="547"/>
      <c r="L290" s="547"/>
      <c r="M290" s="547"/>
      <c r="N290" s="547"/>
      <c r="O290" s="547"/>
      <c r="P290" s="548"/>
      <c r="Q290" s="548"/>
      <c r="R290" s="547"/>
      <c r="S290" s="547"/>
      <c r="T290" s="547"/>
      <c r="U290" s="547"/>
      <c r="V290" s="547"/>
      <c r="W290" s="547"/>
      <c r="X290" s="547"/>
      <c r="Y290" s="547"/>
      <c r="Z290" s="548"/>
      <c r="AA290" s="547"/>
      <c r="AB290" s="548"/>
      <c r="AC290" s="547"/>
      <c r="AD290" s="547"/>
      <c r="AE290" s="547"/>
      <c r="AF290" s="547"/>
      <c r="AG290" s="547"/>
      <c r="AH290" s="547"/>
      <c r="AI290" s="547"/>
      <c r="AJ290" s="547"/>
      <c r="AK290" s="547"/>
      <c r="AL290" s="547"/>
      <c r="AM290" s="548"/>
      <c r="AN290" s="547"/>
      <c r="AO290" s="548"/>
      <c r="AP290" s="547"/>
      <c r="AQ290" s="547"/>
      <c r="AR290" s="547"/>
      <c r="AS290" s="547"/>
      <c r="AT290" s="547"/>
      <c r="AU290" s="547"/>
      <c r="AV290" s="547"/>
      <c r="AW290" s="547"/>
      <c r="AX290" s="547"/>
      <c r="AY290" s="547"/>
      <c r="AZ290" s="547"/>
      <c r="BA290" s="548"/>
      <c r="BB290" s="548"/>
      <c r="BC290" s="547"/>
      <c r="BD290" s="547"/>
      <c r="BE290" s="547"/>
      <c r="BF290" s="547"/>
      <c r="BG290" s="547"/>
      <c r="BH290" s="547"/>
      <c r="BI290" s="547"/>
      <c r="BJ290" s="547"/>
      <c r="BK290" s="547"/>
      <c r="BL290" s="547"/>
      <c r="BM290" s="547"/>
      <c r="BN290" s="547"/>
      <c r="BO290" s="547"/>
      <c r="BP290" s="548"/>
      <c r="BQ290" s="547"/>
      <c r="BR290" s="547"/>
      <c r="BS290" s="547"/>
      <c r="BT290" s="547"/>
      <c r="BU290" s="547"/>
      <c r="BV290" s="547"/>
      <c r="BW290" s="547"/>
      <c r="BX290" s="547"/>
      <c r="BY290" s="547"/>
      <c r="BZ290" s="547"/>
      <c r="CA290" s="547"/>
      <c r="CB290" s="547"/>
      <c r="CC290" s="547"/>
      <c r="CD290" s="547"/>
      <c r="CE290" s="547"/>
      <c r="CF290" s="547"/>
      <c r="CG290" s="547"/>
      <c r="CH290" s="549"/>
      <c r="CI290" s="547"/>
      <c r="CJ290" s="547"/>
      <c r="CK290" s="547"/>
      <c r="CL290" s="547"/>
      <c r="CM290" s="547"/>
      <c r="CN290" s="19"/>
      <c r="CO290" s="19"/>
      <c r="CP290" s="19"/>
      <c r="CQ290" s="551"/>
      <c r="CR290" s="19"/>
      <c r="CS290" s="19"/>
      <c r="CT290" s="19"/>
      <c r="CU290" s="19"/>
      <c r="CY290" s="92"/>
      <c r="CZ290" s="93"/>
      <c r="DA290" s="93"/>
      <c r="DW290" s="542"/>
      <c r="DX290" s="19"/>
      <c r="DY290" s="562"/>
      <c r="DZ290" s="561"/>
      <c r="EA290" s="561"/>
      <c r="EB290" s="561"/>
      <c r="EC290" s="561"/>
      <c r="ED290" s="561"/>
      <c r="EE290" s="561"/>
      <c r="EF290" s="561"/>
      <c r="EG290" s="561"/>
      <c r="EH290" s="561"/>
      <c r="EI290" s="561"/>
      <c r="EJ290" s="561"/>
      <c r="EK290" s="561"/>
      <c r="EL290" s="561"/>
      <c r="EM290" s="561"/>
      <c r="EN290" s="569"/>
      <c r="EO290" s="93"/>
      <c r="EP290" s="93"/>
      <c r="EQ290" s="93"/>
      <c r="ES290" s="569">
        <v>105</v>
      </c>
      <c r="ET290" t="s">
        <v>1893</v>
      </c>
      <c r="EU290" t="s">
        <v>774</v>
      </c>
      <c r="EV290" t="s">
        <v>2320</v>
      </c>
      <c r="EW290" t="s">
        <v>54</v>
      </c>
      <c r="EX290" s="599">
        <v>55057</v>
      </c>
      <c r="EY290">
        <v>1417990805</v>
      </c>
    </row>
    <row r="291" spans="1:155" x14ac:dyDescent="0.2">
      <c r="A291" s="542"/>
      <c r="B291" s="543"/>
      <c r="C291" s="543"/>
      <c r="D291" s="543"/>
      <c r="E291" s="543"/>
      <c r="F291" s="543"/>
      <c r="G291" s="543"/>
      <c r="H291" s="543"/>
      <c r="I291" s="543"/>
      <c r="J291" s="543"/>
      <c r="K291" s="543"/>
      <c r="L291" s="543"/>
      <c r="M291" s="543"/>
      <c r="N291" s="543"/>
      <c r="O291" s="543"/>
      <c r="P291" s="543"/>
      <c r="Q291" s="543"/>
      <c r="R291" s="543"/>
      <c r="S291" s="543"/>
      <c r="T291" s="543"/>
      <c r="U291" s="543"/>
      <c r="V291" s="543"/>
      <c r="W291" s="543"/>
      <c r="X291" s="543"/>
      <c r="Y291" s="543"/>
      <c r="Z291" s="543"/>
      <c r="AA291" s="543"/>
      <c r="AB291" s="543"/>
      <c r="AC291" s="543"/>
      <c r="AD291" s="543"/>
      <c r="AE291" s="543"/>
      <c r="AF291" s="543"/>
      <c r="AG291" s="543"/>
      <c r="AH291" s="543"/>
      <c r="AI291" s="543"/>
      <c r="AJ291" s="543"/>
      <c r="AK291" s="543"/>
      <c r="AL291" s="543"/>
      <c r="AM291" s="543"/>
      <c r="AN291" s="543"/>
      <c r="AO291" s="543"/>
      <c r="AP291" s="543"/>
      <c r="AQ291" s="543"/>
      <c r="AR291" s="543"/>
      <c r="AS291" s="543"/>
      <c r="AT291" s="543"/>
      <c r="AU291" s="543"/>
      <c r="AV291" s="543"/>
      <c r="AW291" s="543"/>
      <c r="AX291" s="543"/>
      <c r="AY291" s="543"/>
      <c r="AZ291" s="543"/>
      <c r="BA291" s="543"/>
      <c r="BB291" s="543"/>
      <c r="BC291" s="543"/>
      <c r="BD291" s="543"/>
      <c r="BE291" s="543"/>
      <c r="BF291" s="543"/>
      <c r="BG291" s="543"/>
      <c r="BH291" s="543"/>
      <c r="BI291" s="543"/>
      <c r="BJ291" s="543"/>
      <c r="BK291" s="543"/>
      <c r="BL291" s="543"/>
      <c r="BM291" s="543"/>
      <c r="BN291" s="543"/>
      <c r="BO291" s="543"/>
      <c r="BP291" s="543"/>
      <c r="BQ291" s="543"/>
      <c r="BR291" s="543"/>
      <c r="BS291" s="543"/>
      <c r="BT291" s="543"/>
      <c r="BU291" s="543"/>
      <c r="BV291" s="543"/>
      <c r="BW291" s="543"/>
      <c r="BX291" s="543"/>
      <c r="BY291" s="543"/>
      <c r="BZ291" s="543"/>
      <c r="CA291" s="543"/>
      <c r="CB291" s="544"/>
      <c r="CC291" s="543"/>
      <c r="CD291" s="543"/>
      <c r="CE291" s="543"/>
      <c r="CF291" s="543"/>
      <c r="CG291" s="544"/>
      <c r="CH291" s="543"/>
      <c r="CI291" s="543"/>
      <c r="CJ291" s="543"/>
      <c r="CK291" s="543"/>
      <c r="CL291" s="545"/>
      <c r="CM291" s="543"/>
      <c r="CN291" s="543"/>
      <c r="CO291" s="543"/>
      <c r="CP291" s="543"/>
      <c r="CQ291" s="545"/>
      <c r="CR291" s="543"/>
      <c r="CS291" s="543"/>
      <c r="CT291" s="543"/>
      <c r="CU291" s="543"/>
      <c r="CV291" s="543"/>
      <c r="CW291" s="543"/>
      <c r="CX291" s="545"/>
      <c r="CY291" s="543"/>
      <c r="CZ291" s="545"/>
      <c r="DA291" s="543"/>
      <c r="DB291" s="543"/>
      <c r="DC291" s="545"/>
      <c r="DD291" s="543"/>
      <c r="DE291" s="543"/>
      <c r="DF291" s="543"/>
      <c r="DG291" s="543"/>
      <c r="DH291" s="543"/>
      <c r="DI291" s="543"/>
      <c r="DM291" s="546"/>
      <c r="DN291" s="19"/>
      <c r="DO291" s="19"/>
      <c r="DP291" s="19"/>
      <c r="DQ291" s="19"/>
      <c r="DR291" s="19"/>
      <c r="DS291" s="19"/>
      <c r="DW291" s="542"/>
      <c r="DX291" s="19"/>
      <c r="DY291" s="542"/>
      <c r="EI291" s="93"/>
      <c r="EJ291" s="93"/>
      <c r="EK291" s="93"/>
      <c r="EL291" s="93"/>
      <c r="EM291" s="93"/>
      <c r="EN291" s="569"/>
      <c r="EO291" s="93"/>
      <c r="EP291" s="93"/>
      <c r="EQ291" s="93"/>
      <c r="ES291" s="569">
        <v>1046</v>
      </c>
      <c r="ET291" t="s">
        <v>1000</v>
      </c>
      <c r="EU291" t="s">
        <v>1001</v>
      </c>
      <c r="EV291" t="s">
        <v>3096</v>
      </c>
      <c r="EW291" t="s">
        <v>54</v>
      </c>
      <c r="EX291" s="600">
        <v>56277</v>
      </c>
      <c r="EY291"/>
    </row>
    <row r="292" spans="1:155" x14ac:dyDescent="0.2">
      <c r="A292" s="542"/>
      <c r="B292" s="543"/>
      <c r="C292" s="543"/>
      <c r="D292" s="543"/>
      <c r="E292" s="543"/>
      <c r="F292" s="543"/>
      <c r="G292" s="543"/>
      <c r="H292" s="543"/>
      <c r="I292" s="543"/>
      <c r="J292" s="543"/>
      <c r="K292" s="543"/>
      <c r="L292" s="543"/>
      <c r="M292" s="543"/>
      <c r="N292" s="543"/>
      <c r="O292" s="543"/>
      <c r="P292" s="543"/>
      <c r="Q292" s="543"/>
      <c r="R292" s="543"/>
      <c r="S292" s="543"/>
      <c r="T292" s="543"/>
      <c r="U292" s="543"/>
      <c r="V292" s="543"/>
      <c r="W292" s="543"/>
      <c r="X292" s="543"/>
      <c r="Y292" s="543"/>
      <c r="Z292" s="543"/>
      <c r="AA292" s="543"/>
      <c r="AB292" s="543"/>
      <c r="AC292" s="543"/>
      <c r="AD292" s="543"/>
      <c r="AE292" s="543"/>
      <c r="AF292" s="543"/>
      <c r="AG292" s="543"/>
      <c r="AH292" s="543"/>
      <c r="AI292" s="543"/>
      <c r="AJ292" s="543"/>
      <c r="AK292" s="543"/>
      <c r="AL292" s="543"/>
      <c r="AM292" s="543"/>
      <c r="AN292" s="543"/>
      <c r="AO292" s="543"/>
      <c r="AP292" s="543"/>
      <c r="AQ292" s="543"/>
      <c r="AR292" s="543"/>
      <c r="AS292" s="543"/>
      <c r="AT292" s="543"/>
      <c r="AU292" s="543"/>
      <c r="AV292" s="543"/>
      <c r="AW292" s="543"/>
      <c r="AX292" s="543"/>
      <c r="AY292" s="543"/>
      <c r="AZ292" s="543"/>
      <c r="BA292" s="543"/>
      <c r="BB292" s="543"/>
      <c r="BC292" s="543"/>
      <c r="BD292" s="543"/>
      <c r="BE292" s="543"/>
      <c r="BF292" s="543"/>
      <c r="BG292" s="543"/>
      <c r="BH292" s="543"/>
      <c r="BI292" s="543"/>
      <c r="BJ292" s="543"/>
      <c r="BK292" s="543"/>
      <c r="BL292" s="543"/>
      <c r="BM292" s="543"/>
      <c r="BN292" s="543"/>
      <c r="BO292" s="543"/>
      <c r="BP292" s="543"/>
      <c r="BQ292" s="543"/>
      <c r="BR292" s="543"/>
      <c r="BS292" s="543"/>
      <c r="BT292" s="543"/>
      <c r="BU292" s="543"/>
      <c r="BV292" s="543"/>
      <c r="BW292" s="543"/>
      <c r="BX292" s="543"/>
      <c r="BY292" s="543"/>
      <c r="BZ292" s="543"/>
      <c r="CA292" s="543"/>
      <c r="CB292" s="544"/>
      <c r="CC292" s="543"/>
      <c r="CD292" s="543"/>
      <c r="CE292" s="543"/>
      <c r="CF292" s="543"/>
      <c r="CG292" s="544"/>
      <c r="CH292" s="543"/>
      <c r="CI292" s="543"/>
      <c r="CJ292" s="543"/>
      <c r="CK292" s="543"/>
      <c r="CL292" s="545"/>
      <c r="CM292" s="543"/>
      <c r="CN292" s="545"/>
      <c r="CO292" s="543"/>
      <c r="CP292" s="543"/>
      <c r="CQ292" s="545"/>
      <c r="CR292" s="543"/>
      <c r="CS292" s="543"/>
      <c r="CT292" s="543"/>
      <c r="CU292" s="543"/>
      <c r="CV292" s="543"/>
      <c r="CW292" s="543"/>
      <c r="CX292" s="545"/>
      <c r="CY292" s="543"/>
      <c r="CZ292" s="545"/>
      <c r="DA292" s="543"/>
      <c r="DB292" s="543"/>
      <c r="DC292" s="545"/>
      <c r="DD292" s="543"/>
      <c r="DE292" s="543"/>
      <c r="DF292" s="543"/>
      <c r="DG292" s="543"/>
      <c r="DH292" s="543"/>
      <c r="DI292" s="543"/>
      <c r="DM292" s="546"/>
      <c r="DN292" s="19"/>
      <c r="DO292" s="19"/>
      <c r="DP292" s="19"/>
      <c r="DQ292" s="19"/>
      <c r="DR292" s="19"/>
      <c r="DS292" s="19"/>
      <c r="DW292" s="542"/>
      <c r="DX292" s="19"/>
      <c r="DY292" s="542"/>
      <c r="EI292" s="93"/>
      <c r="EJ292" s="93"/>
      <c r="EK292" s="93"/>
      <c r="EL292" s="93"/>
      <c r="EM292" s="93"/>
      <c r="EN292" s="569"/>
      <c r="EO292" s="93"/>
      <c r="EP292" s="93"/>
      <c r="EQ292" s="93"/>
      <c r="ES292" s="569">
        <v>116</v>
      </c>
      <c r="ET292" t="s">
        <v>1894</v>
      </c>
      <c r="EU292" t="s">
        <v>1001</v>
      </c>
      <c r="EV292" t="s">
        <v>2321</v>
      </c>
      <c r="EW292" t="s">
        <v>54</v>
      </c>
      <c r="EX292" s="599">
        <v>56277</v>
      </c>
      <c r="EY292">
        <v>1629091871</v>
      </c>
    </row>
    <row r="293" spans="1:155" x14ac:dyDescent="0.2">
      <c r="A293" s="542"/>
      <c r="B293" s="543"/>
      <c r="C293" s="543"/>
      <c r="D293" s="543"/>
      <c r="E293" s="543"/>
      <c r="F293" s="543"/>
      <c r="G293" s="543"/>
      <c r="H293" s="543"/>
      <c r="I293" s="543"/>
      <c r="J293" s="543"/>
      <c r="K293" s="543"/>
      <c r="L293" s="543"/>
      <c r="M293" s="543"/>
      <c r="N293" s="543"/>
      <c r="O293" s="543"/>
      <c r="P293" s="543"/>
      <c r="Q293" s="543"/>
      <c r="R293" s="543"/>
      <c r="S293" s="543"/>
      <c r="T293" s="543"/>
      <c r="U293" s="543"/>
      <c r="V293" s="543"/>
      <c r="W293" s="543"/>
      <c r="X293" s="543"/>
      <c r="Y293" s="543"/>
      <c r="Z293" s="543"/>
      <c r="AA293" s="543"/>
      <c r="AB293" s="543"/>
      <c r="AC293" s="543"/>
      <c r="AD293" s="543"/>
      <c r="AE293" s="543"/>
      <c r="AF293" s="543"/>
      <c r="AG293" s="543"/>
      <c r="AH293" s="543"/>
      <c r="AI293" s="543"/>
      <c r="AJ293" s="543"/>
      <c r="AK293" s="543"/>
      <c r="AL293" s="543"/>
      <c r="AM293" s="543"/>
      <c r="AN293" s="543"/>
      <c r="AO293" s="543"/>
      <c r="AP293" s="543"/>
      <c r="AQ293" s="543"/>
      <c r="AR293" s="543"/>
      <c r="AS293" s="543"/>
      <c r="AT293" s="543"/>
      <c r="AU293" s="543"/>
      <c r="AV293" s="543"/>
      <c r="AW293" s="543"/>
      <c r="AX293" s="543"/>
      <c r="AY293" s="543"/>
      <c r="AZ293" s="543"/>
      <c r="BA293" s="543"/>
      <c r="BB293" s="543"/>
      <c r="BC293" s="543"/>
      <c r="BD293" s="543"/>
      <c r="BE293" s="543"/>
      <c r="BF293" s="543"/>
      <c r="BG293" s="543"/>
      <c r="BH293" s="543"/>
      <c r="BI293" s="543"/>
      <c r="BJ293" s="543"/>
      <c r="BK293" s="543"/>
      <c r="BL293" s="543"/>
      <c r="BM293" s="543"/>
      <c r="BN293" s="543"/>
      <c r="BO293" s="543"/>
      <c r="BP293" s="543"/>
      <c r="BQ293" s="543"/>
      <c r="BR293" s="543"/>
      <c r="BS293" s="543"/>
      <c r="BT293" s="543"/>
      <c r="BU293" s="543"/>
      <c r="BV293" s="543"/>
      <c r="BW293" s="543"/>
      <c r="BX293" s="543"/>
      <c r="BY293" s="543"/>
      <c r="BZ293" s="543"/>
      <c r="CA293" s="543"/>
      <c r="CB293" s="544"/>
      <c r="CC293" s="543"/>
      <c r="CD293" s="543"/>
      <c r="CE293" s="543"/>
      <c r="CF293" s="543"/>
      <c r="CG293" s="544"/>
      <c r="CH293" s="543"/>
      <c r="CI293" s="543"/>
      <c r="CJ293" s="543"/>
      <c r="CK293" s="543"/>
      <c r="CL293" s="545"/>
      <c r="CM293" s="543"/>
      <c r="CN293" s="543"/>
      <c r="CO293" s="543"/>
      <c r="CP293" s="543"/>
      <c r="CQ293" s="545"/>
      <c r="CR293" s="543"/>
      <c r="CS293" s="543"/>
      <c r="CT293" s="543"/>
      <c r="CU293" s="543"/>
      <c r="CV293" s="543"/>
      <c r="CW293" s="543"/>
      <c r="CX293" s="545"/>
      <c r="CY293" s="543"/>
      <c r="CZ293" s="545"/>
      <c r="DA293" s="543"/>
      <c r="DB293" s="543"/>
      <c r="DC293" s="545"/>
      <c r="DD293" s="543"/>
      <c r="DE293" s="543"/>
      <c r="DF293" s="543"/>
      <c r="DG293" s="543"/>
      <c r="DH293" s="543"/>
      <c r="DI293" s="543"/>
      <c r="DM293" s="546"/>
      <c r="DN293" s="19"/>
      <c r="DO293" s="19"/>
      <c r="DP293" s="19"/>
      <c r="DQ293" s="19"/>
      <c r="DR293" s="19"/>
      <c r="DS293" s="19"/>
      <c r="DW293" s="542"/>
      <c r="DX293" s="19"/>
      <c r="DY293" s="542"/>
      <c r="EI293" s="93"/>
      <c r="EJ293" s="93"/>
      <c r="EK293" s="93"/>
      <c r="EL293" s="93"/>
      <c r="EM293" s="93"/>
      <c r="EN293" s="569"/>
      <c r="EO293" s="93"/>
      <c r="EP293" s="93"/>
      <c r="EQ293" s="93"/>
      <c r="ES293" s="569">
        <v>851</v>
      </c>
      <c r="ET293" t="s">
        <v>981</v>
      </c>
      <c r="EU293" t="s">
        <v>982</v>
      </c>
      <c r="EV293" t="s">
        <v>3097</v>
      </c>
      <c r="EW293" t="s">
        <v>54</v>
      </c>
      <c r="EX293" s="600">
        <v>56359</v>
      </c>
      <c r="EY293"/>
    </row>
    <row r="294" spans="1:155" x14ac:dyDescent="0.2">
      <c r="A294" s="542"/>
      <c r="B294" s="556"/>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56"/>
      <c r="AK294" s="556"/>
      <c r="AL294" s="556"/>
      <c r="AM294" s="556"/>
      <c r="AN294" s="556"/>
      <c r="AO294" s="556"/>
      <c r="AP294" s="556"/>
      <c r="AQ294" s="556"/>
      <c r="AR294" s="556"/>
      <c r="AS294" s="556"/>
      <c r="AT294" s="556"/>
      <c r="AU294" s="556"/>
      <c r="AV294" s="556"/>
      <c r="AW294" s="556"/>
      <c r="AX294" s="556"/>
      <c r="AY294" s="556"/>
      <c r="AZ294" s="556"/>
      <c r="BA294" s="556"/>
      <c r="BB294" s="556"/>
      <c r="BC294" s="556"/>
      <c r="BD294" s="556"/>
      <c r="BE294" s="556"/>
      <c r="BF294" s="556"/>
      <c r="BG294" s="556"/>
      <c r="BH294" s="556"/>
      <c r="BI294" s="556"/>
      <c r="BJ294" s="556"/>
      <c r="BK294" s="556"/>
      <c r="BL294" s="556"/>
      <c r="BM294" s="556"/>
      <c r="BN294" s="556"/>
      <c r="BO294" s="556"/>
      <c r="BP294" s="556"/>
      <c r="BQ294" s="556"/>
      <c r="BR294" s="556"/>
      <c r="BS294" s="556"/>
      <c r="BT294" s="556"/>
      <c r="BU294" s="556"/>
      <c r="BV294" s="556"/>
      <c r="BW294" s="556"/>
      <c r="BX294" s="556"/>
      <c r="BY294" s="556"/>
      <c r="BZ294" s="556"/>
      <c r="CA294" s="556"/>
      <c r="CB294" s="556"/>
      <c r="CC294" s="557"/>
      <c r="CD294" s="556"/>
      <c r="CE294" s="556"/>
      <c r="CF294" s="556"/>
      <c r="CG294" s="556"/>
      <c r="CH294" s="557"/>
      <c r="CI294" s="556"/>
      <c r="CJ294" s="556"/>
      <c r="CK294" s="556"/>
      <c r="CL294" s="556"/>
      <c r="CM294" s="558"/>
      <c r="CN294" s="556"/>
      <c r="CO294" s="558"/>
      <c r="CP294" s="556"/>
      <c r="CQ294" s="556"/>
      <c r="CR294" s="558"/>
      <c r="CS294" s="556"/>
      <c r="CT294" s="556"/>
      <c r="CU294" s="556"/>
      <c r="CV294" s="556"/>
      <c r="CW294" s="556"/>
      <c r="CX294" s="556"/>
      <c r="CY294" s="556"/>
      <c r="CZ294" s="556"/>
      <c r="DA294" s="558"/>
      <c r="DB294" s="556"/>
      <c r="DC294" s="556"/>
      <c r="DD294" s="546"/>
      <c r="DE294" s="556"/>
      <c r="DF294" s="556"/>
      <c r="DG294" s="556"/>
      <c r="DH294" s="556"/>
      <c r="DI294" s="556"/>
      <c r="DJ294" s="556"/>
      <c r="DK294" s="559"/>
      <c r="DL294" s="559"/>
      <c r="DM294" s="559"/>
      <c r="DN294" s="546"/>
      <c r="DO294" s="547"/>
      <c r="DP294" s="547"/>
      <c r="DQ294" s="547"/>
      <c r="DR294" s="547"/>
      <c r="DS294" s="547"/>
      <c r="DT294" s="547"/>
      <c r="DU294" s="559"/>
      <c r="DV294" s="559"/>
      <c r="DW294" s="559"/>
      <c r="DX294" s="560"/>
      <c r="DY294" s="547"/>
      <c r="DZ294" s="542"/>
      <c r="EA294" s="559"/>
      <c r="EB294" s="559"/>
      <c r="EC294" s="559"/>
      <c r="ED294" s="559"/>
      <c r="EE294" s="570"/>
      <c r="EF294" s="570"/>
      <c r="EG294" s="570"/>
      <c r="EH294" s="570"/>
      <c r="EI294" s="570"/>
      <c r="EJ294" s="570"/>
      <c r="EK294" s="570"/>
      <c r="EL294" s="570"/>
      <c r="EM294" s="559"/>
      <c r="EN294" s="569"/>
      <c r="EO294" s="559"/>
      <c r="EP294" s="559"/>
      <c r="EQ294" s="559"/>
      <c r="ES294" s="569">
        <v>28</v>
      </c>
      <c r="ET294" t="s">
        <v>1895</v>
      </c>
      <c r="EU294" t="s">
        <v>982</v>
      </c>
      <c r="EV294" t="s">
        <v>2322</v>
      </c>
      <c r="EW294" t="s">
        <v>54</v>
      </c>
      <c r="EX294" s="599">
        <v>56359</v>
      </c>
      <c r="EY294">
        <v>1548212699</v>
      </c>
    </row>
    <row r="295" spans="1:155" s="559" customFormat="1" x14ac:dyDescent="0.2">
      <c r="A295" s="542"/>
      <c r="B295" s="19"/>
      <c r="C295" s="19"/>
      <c r="D295" s="19"/>
      <c r="E295" s="547"/>
      <c r="F295" s="547"/>
      <c r="G295" s="547"/>
      <c r="H295" s="547"/>
      <c r="I295" s="547"/>
      <c r="J295" s="547"/>
      <c r="K295" s="547"/>
      <c r="L295" s="547"/>
      <c r="M295" s="547"/>
      <c r="N295" s="547"/>
      <c r="O295" s="547"/>
      <c r="P295" s="548"/>
      <c r="Q295" s="548"/>
      <c r="R295" s="547"/>
      <c r="S295" s="547"/>
      <c r="T295" s="547"/>
      <c r="U295" s="547"/>
      <c r="V295" s="547"/>
      <c r="W295" s="547"/>
      <c r="X295" s="547"/>
      <c r="Y295" s="547"/>
      <c r="Z295" s="548"/>
      <c r="AA295" s="547"/>
      <c r="AB295" s="548"/>
      <c r="AC295" s="547"/>
      <c r="AD295" s="547"/>
      <c r="AE295" s="547"/>
      <c r="AF295" s="547"/>
      <c r="AG295" s="547"/>
      <c r="AH295" s="547"/>
      <c r="AI295" s="547"/>
      <c r="AJ295" s="547"/>
      <c r="AK295" s="547"/>
      <c r="AL295" s="547"/>
      <c r="AM295" s="547"/>
      <c r="AN295" s="548"/>
      <c r="AO295" s="547"/>
      <c r="AP295" s="548"/>
      <c r="AQ295" s="547"/>
      <c r="AR295" s="547"/>
      <c r="AS295" s="547"/>
      <c r="AT295" s="547"/>
      <c r="AU295" s="547"/>
      <c r="AV295" s="547"/>
      <c r="AW295" s="547"/>
      <c r="AX295" s="547"/>
      <c r="AY295" s="547"/>
      <c r="AZ295" s="547"/>
      <c r="BA295" s="547"/>
      <c r="BB295" s="547"/>
      <c r="BC295" s="548"/>
      <c r="BD295" s="547"/>
      <c r="BE295" s="547"/>
      <c r="BF295" s="547"/>
      <c r="BG295" s="547"/>
      <c r="BH295" s="547"/>
      <c r="BI295" s="547"/>
      <c r="BJ295" s="547"/>
      <c r="BK295" s="547"/>
      <c r="BL295" s="547"/>
      <c r="BM295" s="547"/>
      <c r="BN295" s="547"/>
      <c r="BO295" s="547"/>
      <c r="BP295" s="547"/>
      <c r="BQ295" s="548"/>
      <c r="BR295" s="547"/>
      <c r="BS295" s="547"/>
      <c r="BT295" s="547"/>
      <c r="BU295" s="547"/>
      <c r="BV295" s="547"/>
      <c r="BW295" s="547"/>
      <c r="BX295" s="547"/>
      <c r="BY295" s="547"/>
      <c r="BZ295" s="547"/>
      <c r="CA295" s="547"/>
      <c r="CB295" s="547"/>
      <c r="CC295" s="547"/>
      <c r="CD295" s="547"/>
      <c r="CE295" s="547"/>
      <c r="CF295" s="547"/>
      <c r="CG295" s="547"/>
      <c r="CH295" s="547"/>
      <c r="CI295" s="549"/>
      <c r="CJ295" s="547"/>
      <c r="CK295" s="547"/>
      <c r="CL295" s="547"/>
      <c r="CM295" s="550"/>
      <c r="CN295" s="547"/>
      <c r="CO295" s="19"/>
      <c r="CP295" s="19"/>
      <c r="CQ295" s="19"/>
      <c r="CR295" s="551"/>
      <c r="CS295" s="19"/>
      <c r="CT295" s="19"/>
      <c r="CU295" s="19"/>
      <c r="CV295" s="19"/>
      <c r="CW295" s="19"/>
      <c r="CX295" s="19"/>
      <c r="CY295" s="19"/>
      <c r="CZ295" s="92"/>
      <c r="DA295" s="93"/>
      <c r="DB295" s="93"/>
      <c r="DC295" s="93"/>
      <c r="DD295" s="93"/>
      <c r="DE295" s="93"/>
      <c r="DF295" s="93"/>
      <c r="DG295" s="93"/>
      <c r="DH295" s="93"/>
      <c r="DI295" s="93"/>
      <c r="DJ295" s="93"/>
      <c r="DK295" s="552"/>
      <c r="DL295" s="93"/>
      <c r="DM295" s="93"/>
      <c r="DN295" s="93"/>
      <c r="DO295" s="93"/>
      <c r="DP295" s="93"/>
      <c r="DQ295" s="93"/>
      <c r="DR295" s="93"/>
      <c r="DS295" s="93"/>
      <c r="DT295" s="93"/>
      <c r="DU295" s="93"/>
      <c r="DV295" s="93"/>
      <c r="DW295" s="93"/>
      <c r="DX295" s="93"/>
      <c r="DY295" s="93"/>
      <c r="DZ295" s="93"/>
      <c r="EA295" s="93"/>
      <c r="EB295" s="93"/>
      <c r="EC295" s="542"/>
      <c r="ED295" s="19"/>
      <c r="EE295" s="19"/>
      <c r="EF295" s="19"/>
      <c r="EG295" s="19"/>
      <c r="EH295" s="19"/>
      <c r="EI295" s="19"/>
      <c r="EJ295" s="19"/>
      <c r="EK295" s="19"/>
      <c r="EL295" s="19"/>
      <c r="EM295" s="542"/>
      <c r="EN295" s="569"/>
      <c r="EO295" s="93"/>
      <c r="EP295" s="93"/>
      <c r="EQ295" s="93"/>
      <c r="ES295" s="569">
        <v>108</v>
      </c>
      <c r="ET295" t="s">
        <v>1896</v>
      </c>
      <c r="EU295" t="s">
        <v>1897</v>
      </c>
      <c r="EV295" t="s">
        <v>2323</v>
      </c>
      <c r="EW295" t="s">
        <v>54</v>
      </c>
      <c r="EX295" s="599">
        <v>56278</v>
      </c>
      <c r="EY295">
        <v>1790783587</v>
      </c>
    </row>
    <row r="296" spans="1:155" x14ac:dyDescent="0.2">
      <c r="A296" s="542"/>
      <c r="B296" s="543"/>
      <c r="C296" s="543"/>
      <c r="D296" s="543"/>
      <c r="E296" s="543"/>
      <c r="F296" s="543"/>
      <c r="G296" s="543"/>
      <c r="H296" s="543"/>
      <c r="I296" s="543"/>
      <c r="J296" s="543"/>
      <c r="K296" s="543"/>
      <c r="L296" s="543"/>
      <c r="M296" s="543"/>
      <c r="N296" s="543"/>
      <c r="O296" s="543"/>
      <c r="P296" s="543"/>
      <c r="Q296" s="543"/>
      <c r="R296" s="543"/>
      <c r="S296" s="543"/>
      <c r="T296" s="543"/>
      <c r="U296" s="543"/>
      <c r="V296" s="543"/>
      <c r="W296" s="543"/>
      <c r="X296" s="543"/>
      <c r="Y296" s="543"/>
      <c r="Z296" s="543"/>
      <c r="AA296" s="543"/>
      <c r="AB296" s="543"/>
      <c r="AC296" s="543"/>
      <c r="AD296" s="543"/>
      <c r="AE296" s="543"/>
      <c r="AF296" s="543"/>
      <c r="AG296" s="543"/>
      <c r="AH296" s="543"/>
      <c r="AI296" s="543"/>
      <c r="AJ296" s="543"/>
      <c r="AK296" s="543"/>
      <c r="AL296" s="543"/>
      <c r="AM296" s="543"/>
      <c r="AN296" s="543"/>
      <c r="AO296" s="543"/>
      <c r="AP296" s="543"/>
      <c r="AQ296" s="543"/>
      <c r="AR296" s="543"/>
      <c r="AS296" s="543"/>
      <c r="AT296" s="543"/>
      <c r="AU296" s="543"/>
      <c r="AV296" s="543"/>
      <c r="AW296" s="543"/>
      <c r="AX296" s="543"/>
      <c r="AY296" s="543"/>
      <c r="AZ296" s="543"/>
      <c r="BA296" s="543"/>
      <c r="BB296" s="543"/>
      <c r="BC296" s="543"/>
      <c r="BD296" s="543"/>
      <c r="BE296" s="543"/>
      <c r="BF296" s="543"/>
      <c r="BG296" s="543"/>
      <c r="BH296" s="543"/>
      <c r="BI296" s="543"/>
      <c r="BJ296" s="543"/>
      <c r="BK296" s="543"/>
      <c r="BL296" s="543"/>
      <c r="BM296" s="543"/>
      <c r="BN296" s="543"/>
      <c r="BO296" s="543"/>
      <c r="BP296" s="543"/>
      <c r="BQ296" s="543"/>
      <c r="BR296" s="543"/>
      <c r="BS296" s="543"/>
      <c r="BT296" s="543"/>
      <c r="BU296" s="543"/>
      <c r="BV296" s="543"/>
      <c r="BW296" s="543"/>
      <c r="BX296" s="543"/>
      <c r="BY296" s="543"/>
      <c r="BZ296" s="543"/>
      <c r="CA296" s="543"/>
      <c r="CB296" s="543"/>
      <c r="CC296" s="544"/>
      <c r="CD296" s="543"/>
      <c r="CE296" s="543"/>
      <c r="CF296" s="543"/>
      <c r="CG296" s="543"/>
      <c r="CH296" s="544"/>
      <c r="CI296" s="543"/>
      <c r="CJ296" s="543"/>
      <c r="CK296" s="543"/>
      <c r="CL296" s="543"/>
      <c r="CM296" s="543"/>
      <c r="CN296" s="543"/>
      <c r="CO296" s="545"/>
      <c r="CP296" s="543"/>
      <c r="CQ296" s="543"/>
      <c r="CR296" s="545"/>
      <c r="CS296" s="543"/>
      <c r="CT296" s="543"/>
      <c r="CU296" s="543"/>
      <c r="CV296" s="543"/>
      <c r="CW296" s="543"/>
      <c r="CX296" s="543"/>
      <c r="CY296" s="543"/>
      <c r="CZ296" s="543"/>
      <c r="DA296" s="543"/>
      <c r="DB296" s="543"/>
      <c r="DC296" s="543"/>
      <c r="DD296" s="543"/>
      <c r="DE296" s="543"/>
      <c r="DF296" s="543"/>
      <c r="DG296" s="543"/>
      <c r="DH296" s="543"/>
      <c r="DI296" s="546"/>
      <c r="DJ296" s="543"/>
      <c r="DK296" s="545"/>
      <c r="DL296" s="556"/>
      <c r="DM296" s="543"/>
      <c r="DN296" s="543"/>
      <c r="DO296" s="543"/>
      <c r="DS296" s="546"/>
      <c r="DT296" s="19"/>
      <c r="DU296" s="19"/>
      <c r="DV296" s="547"/>
      <c r="DW296" s="19"/>
      <c r="DX296" s="19"/>
      <c r="DY296" s="19"/>
      <c r="EC296" s="542"/>
      <c r="ED296" s="19"/>
      <c r="EE296" s="19"/>
      <c r="EF296" s="19"/>
      <c r="EG296" s="19"/>
      <c r="EH296" s="19"/>
      <c r="EI296" s="19"/>
      <c r="EJ296" s="19"/>
      <c r="EK296" s="19"/>
      <c r="EL296" s="19"/>
      <c r="EM296" s="542"/>
      <c r="EN296" s="569"/>
      <c r="EO296" s="93"/>
      <c r="EP296" s="93"/>
      <c r="EQ296" s="93"/>
      <c r="ES296" s="569">
        <v>746</v>
      </c>
      <c r="ET296" t="s">
        <v>1334</v>
      </c>
      <c r="EU296" t="s">
        <v>1335</v>
      </c>
      <c r="EV296" t="s">
        <v>3098</v>
      </c>
      <c r="EW296" t="s">
        <v>54</v>
      </c>
      <c r="EX296" s="600">
        <v>55060</v>
      </c>
      <c r="EY296">
        <v>1568415875</v>
      </c>
    </row>
    <row r="297" spans="1:155" x14ac:dyDescent="0.2">
      <c r="A297" s="542"/>
      <c r="B297" s="19"/>
      <c r="C297" s="19"/>
      <c r="D297" s="19"/>
      <c r="E297" s="547"/>
      <c r="F297" s="547"/>
      <c r="G297" s="547"/>
      <c r="H297" s="547"/>
      <c r="I297" s="547"/>
      <c r="J297" s="547"/>
      <c r="K297" s="547"/>
      <c r="L297" s="547"/>
      <c r="M297" s="547"/>
      <c r="N297" s="547"/>
      <c r="O297" s="547"/>
      <c r="P297" s="548"/>
      <c r="Q297" s="548"/>
      <c r="R297" s="547"/>
      <c r="S297" s="547"/>
      <c r="T297" s="547"/>
      <c r="U297" s="547"/>
      <c r="V297" s="547"/>
      <c r="W297" s="547"/>
      <c r="X297" s="547"/>
      <c r="Y297" s="547"/>
      <c r="Z297" s="548"/>
      <c r="AA297" s="547"/>
      <c r="AB297" s="548"/>
      <c r="AC297" s="547"/>
      <c r="AD297" s="547"/>
      <c r="AE297" s="547"/>
      <c r="AF297" s="547"/>
      <c r="AG297" s="547"/>
      <c r="AH297" s="547"/>
      <c r="AI297" s="547"/>
      <c r="AJ297" s="547"/>
      <c r="AK297" s="547"/>
      <c r="AL297" s="547"/>
      <c r="AM297" s="547"/>
      <c r="AN297" s="548"/>
      <c r="AO297" s="547"/>
      <c r="AP297" s="548"/>
      <c r="AQ297" s="547"/>
      <c r="AR297" s="547"/>
      <c r="AS297" s="547"/>
      <c r="AT297" s="547"/>
      <c r="AU297" s="547"/>
      <c r="AV297" s="547"/>
      <c r="AW297" s="547"/>
      <c r="AX297" s="547"/>
      <c r="AY297" s="547"/>
      <c r="AZ297" s="547"/>
      <c r="BA297" s="547"/>
      <c r="BB297" s="548"/>
      <c r="BC297" s="547"/>
      <c r="BD297" s="548"/>
      <c r="BE297" s="547"/>
      <c r="BF297" s="547"/>
      <c r="BG297" s="547"/>
      <c r="BH297" s="547"/>
      <c r="BI297" s="547"/>
      <c r="BJ297" s="547"/>
      <c r="BK297" s="547"/>
      <c r="BL297" s="547"/>
      <c r="BM297" s="547"/>
      <c r="BN297" s="547"/>
      <c r="BO297" s="547"/>
      <c r="BP297" s="547"/>
      <c r="BQ297" s="547"/>
      <c r="BR297" s="548"/>
      <c r="BS297" s="547"/>
      <c r="BT297" s="547"/>
      <c r="BU297" s="547"/>
      <c r="BV297" s="547"/>
      <c r="BW297" s="547"/>
      <c r="BX297" s="547"/>
      <c r="BY297" s="547"/>
      <c r="BZ297" s="547"/>
      <c r="CA297" s="547"/>
      <c r="CB297" s="547"/>
      <c r="CC297" s="547"/>
      <c r="CD297" s="547"/>
      <c r="CE297" s="547"/>
      <c r="CF297" s="547"/>
      <c r="CG297" s="547"/>
      <c r="CH297" s="547"/>
      <c r="CI297" s="547"/>
      <c r="CJ297" s="549"/>
      <c r="CK297" s="547"/>
      <c r="CL297" s="547"/>
      <c r="CM297" s="547"/>
      <c r="CN297" s="547"/>
      <c r="CO297" s="547"/>
      <c r="CP297" s="19"/>
      <c r="CQ297" s="19"/>
      <c r="CR297" s="19"/>
      <c r="CS297" s="551"/>
      <c r="CT297" s="19"/>
      <c r="CU297" s="19"/>
      <c r="DD297" s="552"/>
      <c r="ED297" s="542"/>
      <c r="EE297" s="542"/>
      <c r="EF297" s="542"/>
      <c r="EG297" s="542"/>
      <c r="EH297" s="542"/>
      <c r="EI297" s="542"/>
      <c r="EJ297" s="542"/>
      <c r="EK297" s="542"/>
      <c r="EL297" s="542"/>
      <c r="EM297" s="19"/>
      <c r="EN297" s="569"/>
      <c r="EO297" s="93"/>
      <c r="EP297" s="93"/>
      <c r="EQ297" s="93"/>
      <c r="ES297" s="569">
        <v>57</v>
      </c>
      <c r="ET297" t="s">
        <v>1898</v>
      </c>
      <c r="EU297" t="s">
        <v>1335</v>
      </c>
      <c r="EV297" t="s">
        <v>2324</v>
      </c>
      <c r="EW297" t="s">
        <v>54</v>
      </c>
      <c r="EX297" s="599">
        <v>55060</v>
      </c>
      <c r="EY297">
        <v>1528025632</v>
      </c>
    </row>
    <row r="298" spans="1:155" x14ac:dyDescent="0.2">
      <c r="A298" s="542"/>
      <c r="B298" s="19"/>
      <c r="C298" s="19"/>
      <c r="D298" s="19"/>
      <c r="E298" s="547"/>
      <c r="F298" s="547"/>
      <c r="G298" s="547"/>
      <c r="H298" s="547"/>
      <c r="I298" s="547"/>
      <c r="J298" s="547"/>
      <c r="K298" s="547"/>
      <c r="L298" s="547"/>
      <c r="M298" s="547"/>
      <c r="N298" s="547"/>
      <c r="O298" s="547"/>
      <c r="P298" s="548"/>
      <c r="Q298" s="548"/>
      <c r="R298" s="547"/>
      <c r="S298" s="547"/>
      <c r="T298" s="547"/>
      <c r="U298" s="547"/>
      <c r="V298" s="547"/>
      <c r="W298" s="547"/>
      <c r="X298" s="547"/>
      <c r="Y298" s="547"/>
      <c r="Z298" s="548"/>
      <c r="AA298" s="547"/>
      <c r="AB298" s="548"/>
      <c r="AC298" s="547"/>
      <c r="AD298" s="547"/>
      <c r="AE298" s="547"/>
      <c r="AF298" s="547"/>
      <c r="AG298" s="547"/>
      <c r="AH298" s="547"/>
      <c r="AI298" s="547"/>
      <c r="AJ298" s="547"/>
      <c r="AK298" s="547"/>
      <c r="AL298" s="547"/>
      <c r="AM298" s="547"/>
      <c r="AN298" s="548"/>
      <c r="AO298" s="547"/>
      <c r="AP298" s="548"/>
      <c r="AQ298" s="547"/>
      <c r="AR298" s="547"/>
      <c r="AS298" s="547"/>
      <c r="AT298" s="547"/>
      <c r="AU298" s="547"/>
      <c r="AV298" s="547"/>
      <c r="AW298" s="547"/>
      <c r="AX298" s="547"/>
      <c r="AY298" s="547"/>
      <c r="AZ298" s="547"/>
      <c r="BA298" s="547"/>
      <c r="BB298" s="548"/>
      <c r="BC298" s="547"/>
      <c r="BD298" s="548"/>
      <c r="BE298" s="547"/>
      <c r="BF298" s="547"/>
      <c r="BG298" s="547"/>
      <c r="BH298" s="547"/>
      <c r="BI298" s="547"/>
      <c r="BJ298" s="547"/>
      <c r="BK298" s="547"/>
      <c r="BL298" s="547"/>
      <c r="BM298" s="547"/>
      <c r="BN298" s="547"/>
      <c r="BO298" s="547"/>
      <c r="BP298" s="547"/>
      <c r="BQ298" s="547"/>
      <c r="BR298" s="548"/>
      <c r="BS298" s="547"/>
      <c r="BT298" s="547"/>
      <c r="BU298" s="547"/>
      <c r="BV298" s="547"/>
      <c r="BW298" s="547"/>
      <c r="BX298" s="547"/>
      <c r="BY298" s="547"/>
      <c r="BZ298" s="547"/>
      <c r="CA298" s="547"/>
      <c r="CB298" s="547"/>
      <c r="CC298" s="547"/>
      <c r="CD298" s="547"/>
      <c r="CE298" s="547"/>
      <c r="CF298" s="550"/>
      <c r="CG298" s="547"/>
      <c r="CH298" s="547"/>
      <c r="CI298" s="547"/>
      <c r="CJ298" s="549"/>
      <c r="CK298" s="547"/>
      <c r="CL298" s="547"/>
      <c r="CM298" s="547"/>
      <c r="CN298" s="547"/>
      <c r="CO298" s="547"/>
      <c r="CP298" s="19"/>
      <c r="CQ298" s="19"/>
      <c r="CR298" s="19"/>
      <c r="CS298" s="551"/>
      <c r="CT298" s="19"/>
      <c r="CU298" s="19"/>
      <c r="DD298" s="552"/>
      <c r="DL298" s="552"/>
      <c r="ED298" s="542"/>
      <c r="EE298" s="542"/>
      <c r="EF298" s="542"/>
      <c r="EG298" s="542"/>
      <c r="EH298" s="542"/>
      <c r="EI298" s="542"/>
      <c r="EJ298" s="542"/>
      <c r="EK298" s="542"/>
      <c r="EL298" s="542"/>
      <c r="EM298" s="19"/>
      <c r="EN298" s="569"/>
      <c r="EO298" s="93"/>
      <c r="EP298" s="93"/>
      <c r="EQ298" s="93"/>
      <c r="ES298" s="569">
        <v>852</v>
      </c>
      <c r="ET298" t="s">
        <v>1033</v>
      </c>
      <c r="EU298" t="s">
        <v>1034</v>
      </c>
      <c r="EV298" t="s">
        <v>3099</v>
      </c>
      <c r="EW298" t="s">
        <v>54</v>
      </c>
      <c r="EX298" s="600">
        <v>56470</v>
      </c>
      <c r="EY298"/>
    </row>
    <row r="299" spans="1:155" x14ac:dyDescent="0.2">
      <c r="A299" s="542"/>
      <c r="B299" s="19"/>
      <c r="C299" s="19"/>
      <c r="D299" s="19"/>
      <c r="E299" s="547"/>
      <c r="F299" s="547"/>
      <c r="G299" s="547"/>
      <c r="H299" s="547"/>
      <c r="I299" s="547"/>
      <c r="J299" s="547"/>
      <c r="K299" s="547"/>
      <c r="L299" s="547"/>
      <c r="M299" s="547"/>
      <c r="N299" s="547"/>
      <c r="O299" s="547"/>
      <c r="P299" s="548"/>
      <c r="Q299" s="548"/>
      <c r="R299" s="547"/>
      <c r="S299" s="547"/>
      <c r="T299" s="547"/>
      <c r="U299" s="547"/>
      <c r="V299" s="547"/>
      <c r="W299" s="547"/>
      <c r="X299" s="547"/>
      <c r="Y299" s="547"/>
      <c r="Z299" s="548"/>
      <c r="AA299" s="547"/>
      <c r="AB299" s="548"/>
      <c r="AC299" s="547"/>
      <c r="AD299" s="547"/>
      <c r="AE299" s="547"/>
      <c r="AF299" s="547"/>
      <c r="AG299" s="547"/>
      <c r="AH299" s="547"/>
      <c r="AI299" s="547"/>
      <c r="AJ299" s="547"/>
      <c r="AK299" s="547"/>
      <c r="AL299" s="547"/>
      <c r="AM299" s="547"/>
      <c r="AN299" s="548"/>
      <c r="AO299" s="547"/>
      <c r="AP299" s="548"/>
      <c r="AQ299" s="547"/>
      <c r="AR299" s="547"/>
      <c r="AS299" s="547"/>
      <c r="AT299" s="547"/>
      <c r="AU299" s="547"/>
      <c r="AV299" s="547"/>
      <c r="AW299" s="547"/>
      <c r="AX299" s="547"/>
      <c r="AY299" s="547"/>
      <c r="AZ299" s="547"/>
      <c r="BA299" s="547"/>
      <c r="BB299" s="548"/>
      <c r="BC299" s="547"/>
      <c r="BD299" s="548"/>
      <c r="BE299" s="547"/>
      <c r="BF299" s="547"/>
      <c r="BG299" s="547"/>
      <c r="BH299" s="547"/>
      <c r="BI299" s="547"/>
      <c r="BJ299" s="547"/>
      <c r="BK299" s="547"/>
      <c r="BL299" s="547"/>
      <c r="BM299" s="547"/>
      <c r="BN299" s="547"/>
      <c r="BO299" s="547"/>
      <c r="BP299" s="547"/>
      <c r="BQ299" s="547"/>
      <c r="BR299" s="548"/>
      <c r="BS299" s="547"/>
      <c r="BT299" s="547"/>
      <c r="BU299" s="547"/>
      <c r="BV299" s="547"/>
      <c r="BW299" s="547"/>
      <c r="BX299" s="547"/>
      <c r="BY299" s="547"/>
      <c r="BZ299" s="547"/>
      <c r="CA299" s="547"/>
      <c r="CB299" s="547"/>
      <c r="CC299" s="547"/>
      <c r="CD299" s="547"/>
      <c r="CE299" s="547"/>
      <c r="CF299" s="547"/>
      <c r="CG299" s="547"/>
      <c r="CH299" s="547"/>
      <c r="CI299" s="547"/>
      <c r="CJ299" s="549"/>
      <c r="CK299" s="547"/>
      <c r="CL299" s="547"/>
      <c r="CM299" s="547"/>
      <c r="CN299" s="547"/>
      <c r="CO299" s="547"/>
      <c r="CP299" s="19"/>
      <c r="CQ299" s="19"/>
      <c r="CR299" s="19"/>
      <c r="CS299" s="551"/>
      <c r="CT299" s="19"/>
      <c r="CU299" s="19"/>
      <c r="ED299" s="542"/>
      <c r="EE299" s="542"/>
      <c r="EF299" s="542"/>
      <c r="EG299" s="542"/>
      <c r="EH299" s="542"/>
      <c r="EI299" s="542"/>
      <c r="EJ299" s="542"/>
      <c r="EK299" s="542"/>
      <c r="EL299" s="542"/>
      <c r="EM299" s="19"/>
      <c r="EN299" s="569"/>
      <c r="EO299" s="93"/>
      <c r="EP299" s="93"/>
      <c r="EQ299" s="93"/>
      <c r="ES299" s="569">
        <v>140</v>
      </c>
      <c r="ET299" t="s">
        <v>1899</v>
      </c>
      <c r="EU299" t="s">
        <v>1034</v>
      </c>
      <c r="EV299" t="s">
        <v>1035</v>
      </c>
      <c r="EW299" t="s">
        <v>54</v>
      </c>
      <c r="EX299" s="599">
        <v>56470</v>
      </c>
      <c r="EY299">
        <v>1023086055</v>
      </c>
    </row>
    <row r="300" spans="1:155" x14ac:dyDescent="0.2">
      <c r="A300" s="542"/>
      <c r="B300" s="19"/>
      <c r="C300" s="19"/>
      <c r="D300" s="19"/>
      <c r="E300" s="547"/>
      <c r="F300" s="547"/>
      <c r="G300" s="547"/>
      <c r="H300" s="547"/>
      <c r="I300" s="547"/>
      <c r="J300" s="547"/>
      <c r="K300" s="547"/>
      <c r="L300" s="547"/>
      <c r="M300" s="547"/>
      <c r="N300" s="547"/>
      <c r="O300" s="547"/>
      <c r="P300" s="548"/>
      <c r="Q300" s="548"/>
      <c r="R300" s="547"/>
      <c r="S300" s="547"/>
      <c r="T300" s="547"/>
      <c r="U300" s="547"/>
      <c r="V300" s="547"/>
      <c r="W300" s="547"/>
      <c r="X300" s="547"/>
      <c r="Y300" s="547"/>
      <c r="Z300" s="548"/>
      <c r="AA300" s="547"/>
      <c r="AB300" s="548"/>
      <c r="AC300" s="547"/>
      <c r="AD300" s="547"/>
      <c r="AE300" s="547"/>
      <c r="AF300" s="547"/>
      <c r="AG300" s="547"/>
      <c r="AH300" s="547"/>
      <c r="AI300" s="547"/>
      <c r="AJ300" s="547"/>
      <c r="AK300" s="547"/>
      <c r="AL300" s="547"/>
      <c r="AM300" s="547"/>
      <c r="AN300" s="548"/>
      <c r="AO300" s="547"/>
      <c r="AP300" s="548"/>
      <c r="AQ300" s="547"/>
      <c r="AR300" s="547"/>
      <c r="AS300" s="547"/>
      <c r="AT300" s="547"/>
      <c r="AU300" s="547"/>
      <c r="AV300" s="547"/>
      <c r="AW300" s="547"/>
      <c r="AX300" s="547"/>
      <c r="AY300" s="547"/>
      <c r="AZ300" s="547"/>
      <c r="BA300" s="547"/>
      <c r="BB300" s="548"/>
      <c r="BC300" s="547"/>
      <c r="BD300" s="548"/>
      <c r="BE300" s="547"/>
      <c r="BF300" s="547"/>
      <c r="BG300" s="547"/>
      <c r="BH300" s="547"/>
      <c r="BI300" s="547"/>
      <c r="BJ300" s="547"/>
      <c r="BK300" s="547"/>
      <c r="BL300" s="547"/>
      <c r="BM300" s="547"/>
      <c r="BN300" s="547"/>
      <c r="BO300" s="547"/>
      <c r="BP300" s="547"/>
      <c r="BQ300" s="547"/>
      <c r="BR300" s="548"/>
      <c r="BS300" s="547"/>
      <c r="BT300" s="547"/>
      <c r="BU300" s="547"/>
      <c r="BV300" s="547"/>
      <c r="BW300" s="547"/>
      <c r="BX300" s="547"/>
      <c r="BY300" s="547"/>
      <c r="BZ300" s="547"/>
      <c r="CA300" s="547"/>
      <c r="CB300" s="547"/>
      <c r="CC300" s="547"/>
      <c r="CD300" s="547"/>
      <c r="CE300" s="547"/>
      <c r="CF300" s="547"/>
      <c r="CG300" s="547"/>
      <c r="CH300" s="547"/>
      <c r="CI300" s="547"/>
      <c r="CJ300" s="549"/>
      <c r="CK300" s="547"/>
      <c r="CL300" s="547"/>
      <c r="CM300" s="547"/>
      <c r="CN300" s="547"/>
      <c r="CO300" s="547"/>
      <c r="CP300" s="19"/>
      <c r="CQ300" s="19"/>
      <c r="CR300" s="19"/>
      <c r="CS300" s="551"/>
      <c r="CT300" s="19"/>
      <c r="CU300" s="19"/>
      <c r="ED300" s="542"/>
      <c r="EE300" s="542"/>
      <c r="EF300" s="542"/>
      <c r="EG300" s="542"/>
      <c r="EH300" s="542"/>
      <c r="EI300" s="542"/>
      <c r="EJ300" s="542"/>
      <c r="EK300" s="542"/>
      <c r="EL300" s="542"/>
      <c r="EM300" s="19"/>
      <c r="EN300" s="569"/>
      <c r="EO300" s="93"/>
      <c r="EP300" s="93"/>
      <c r="EQ300" s="93"/>
      <c r="ES300" s="569">
        <v>110</v>
      </c>
      <c r="ET300" t="s">
        <v>1900</v>
      </c>
      <c r="EU300" t="s">
        <v>896</v>
      </c>
      <c r="EV300" t="s">
        <v>897</v>
      </c>
      <c r="EW300" t="s">
        <v>54</v>
      </c>
      <c r="EX300" s="599">
        <v>56362</v>
      </c>
      <c r="EY300">
        <v>1205269941</v>
      </c>
    </row>
    <row r="301" spans="1:155" ht="15" x14ac:dyDescent="0.25">
      <c r="A301" s="542"/>
      <c r="B301" s="19"/>
      <c r="C301" s="19"/>
      <c r="D301" s="16"/>
      <c r="E301" s="547"/>
      <c r="F301" s="547"/>
      <c r="G301" s="547"/>
      <c r="H301" s="547"/>
      <c r="I301" s="547"/>
      <c r="J301" s="547"/>
      <c r="K301" s="547"/>
      <c r="L301" s="547"/>
      <c r="M301" s="547"/>
      <c r="N301" s="547"/>
      <c r="O301" s="547"/>
      <c r="P301" s="548"/>
      <c r="Q301" s="548"/>
      <c r="R301" s="547"/>
      <c r="S301" s="547"/>
      <c r="T301" s="547"/>
      <c r="U301" s="547"/>
      <c r="V301" s="547"/>
      <c r="W301" s="547"/>
      <c r="X301" s="547"/>
      <c r="Y301" s="547"/>
      <c r="Z301" s="548"/>
      <c r="AA301" s="547"/>
      <c r="AB301" s="548"/>
      <c r="AC301" s="547"/>
      <c r="AD301" s="547"/>
      <c r="AE301" s="547"/>
      <c r="AF301" s="547"/>
      <c r="AG301" s="547"/>
      <c r="AH301" s="547"/>
      <c r="AI301" s="547"/>
      <c r="AJ301" s="547"/>
      <c r="AK301" s="547"/>
      <c r="AL301" s="547"/>
      <c r="AM301" s="547"/>
      <c r="AN301" s="548"/>
      <c r="AO301" s="547"/>
      <c r="AP301" s="548"/>
      <c r="AQ301" s="547"/>
      <c r="AR301" s="547"/>
      <c r="AS301" s="547"/>
      <c r="AT301" s="547"/>
      <c r="AU301" s="547"/>
      <c r="AV301" s="547"/>
      <c r="AW301" s="547"/>
      <c r="AX301" s="547"/>
      <c r="AY301" s="547"/>
      <c r="AZ301" s="547"/>
      <c r="BA301" s="547"/>
      <c r="BB301" s="548"/>
      <c r="BC301" s="547"/>
      <c r="BD301" s="548"/>
      <c r="BE301" s="547"/>
      <c r="BF301" s="547"/>
      <c r="BG301" s="547"/>
      <c r="BH301" s="547"/>
      <c r="BI301" s="547"/>
      <c r="BJ301" s="547"/>
      <c r="BK301" s="547"/>
      <c r="BL301" s="547"/>
      <c r="BM301" s="547"/>
      <c r="BN301" s="547"/>
      <c r="BO301" s="547"/>
      <c r="BP301" s="547"/>
      <c r="BQ301" s="547"/>
      <c r="BR301" s="548"/>
      <c r="BS301" s="547"/>
      <c r="BT301" s="547"/>
      <c r="BU301" s="547"/>
      <c r="BV301" s="547"/>
      <c r="BW301" s="547"/>
      <c r="BX301" s="547"/>
      <c r="BY301" s="547"/>
      <c r="BZ301" s="547"/>
      <c r="CA301" s="547"/>
      <c r="CB301" s="547"/>
      <c r="CC301" s="547"/>
      <c r="CD301" s="547"/>
      <c r="CE301" s="547"/>
      <c r="CF301" s="550"/>
      <c r="CG301" s="547"/>
      <c r="CH301" s="547"/>
      <c r="CI301" s="547"/>
      <c r="CJ301" s="549"/>
      <c r="CK301" s="547"/>
      <c r="CL301" s="547"/>
      <c r="CM301" s="547"/>
      <c r="CN301" s="547"/>
      <c r="CO301" s="547"/>
      <c r="CP301" s="19"/>
      <c r="CQ301" s="19"/>
      <c r="CR301" s="19"/>
      <c r="CS301" s="551"/>
      <c r="CT301" s="19"/>
      <c r="CU301" s="19"/>
      <c r="ED301" s="542"/>
      <c r="EE301" s="542"/>
      <c r="EF301" s="542"/>
      <c r="EG301" s="542"/>
      <c r="EH301" s="542"/>
      <c r="EI301" s="542"/>
      <c r="EJ301" s="542"/>
      <c r="EK301" s="542"/>
      <c r="EL301" s="542"/>
      <c r="EM301" s="19"/>
      <c r="EN301" s="569"/>
      <c r="EO301" s="93"/>
      <c r="EP301" s="93"/>
      <c r="EQ301" s="93"/>
      <c r="ES301" s="569">
        <v>937</v>
      </c>
      <c r="ET301" t="s">
        <v>895</v>
      </c>
      <c r="EU301" t="s">
        <v>896</v>
      </c>
      <c r="EV301" t="s">
        <v>3100</v>
      </c>
      <c r="EW301" t="s">
        <v>54</v>
      </c>
      <c r="EX301" s="600">
        <v>56362</v>
      </c>
      <c r="EY301"/>
    </row>
    <row r="302" spans="1:155" x14ac:dyDescent="0.2">
      <c r="A302" s="542"/>
      <c r="B302" s="19"/>
      <c r="C302" s="19"/>
      <c r="D302" s="19"/>
      <c r="E302" s="547"/>
      <c r="F302" s="547"/>
      <c r="G302" s="547"/>
      <c r="H302" s="547"/>
      <c r="I302" s="547"/>
      <c r="J302" s="547"/>
      <c r="K302" s="547"/>
      <c r="L302" s="547"/>
      <c r="M302" s="547"/>
      <c r="N302" s="547"/>
      <c r="O302" s="547"/>
      <c r="P302" s="548"/>
      <c r="Q302" s="548"/>
      <c r="R302" s="547"/>
      <c r="S302" s="547"/>
      <c r="T302" s="547"/>
      <c r="U302" s="547"/>
      <c r="V302" s="547"/>
      <c r="W302" s="547"/>
      <c r="X302" s="547"/>
      <c r="Y302" s="547"/>
      <c r="Z302" s="548"/>
      <c r="AA302" s="547"/>
      <c r="AB302" s="548"/>
      <c r="AC302" s="547"/>
      <c r="AD302" s="547"/>
      <c r="AE302" s="547"/>
      <c r="AF302" s="547"/>
      <c r="AG302" s="547"/>
      <c r="AH302" s="547"/>
      <c r="AI302" s="547"/>
      <c r="AJ302" s="547"/>
      <c r="AK302" s="547"/>
      <c r="AL302" s="547"/>
      <c r="AM302" s="547"/>
      <c r="AN302" s="548"/>
      <c r="AO302" s="547"/>
      <c r="AP302" s="548"/>
      <c r="AQ302" s="547"/>
      <c r="AR302" s="547"/>
      <c r="AS302" s="547"/>
      <c r="AT302" s="547"/>
      <c r="AU302" s="547"/>
      <c r="AV302" s="547"/>
      <c r="AW302" s="547"/>
      <c r="AX302" s="547"/>
      <c r="AY302" s="547"/>
      <c r="AZ302" s="547"/>
      <c r="BA302" s="547"/>
      <c r="BB302" s="548"/>
      <c r="BC302" s="547"/>
      <c r="BD302" s="548"/>
      <c r="BE302" s="547"/>
      <c r="BF302" s="547"/>
      <c r="BG302" s="547"/>
      <c r="BH302" s="547"/>
      <c r="BI302" s="547"/>
      <c r="BJ302" s="547"/>
      <c r="BK302" s="547"/>
      <c r="BL302" s="547"/>
      <c r="BM302" s="547"/>
      <c r="BN302" s="547"/>
      <c r="BO302" s="547"/>
      <c r="BP302" s="547"/>
      <c r="BQ302" s="547"/>
      <c r="BR302" s="548"/>
      <c r="BS302" s="547"/>
      <c r="BT302" s="547"/>
      <c r="BU302" s="547"/>
      <c r="BV302" s="547"/>
      <c r="BW302" s="547"/>
      <c r="BX302" s="547"/>
      <c r="BY302" s="547"/>
      <c r="BZ302" s="547"/>
      <c r="CA302" s="547"/>
      <c r="CB302" s="547"/>
      <c r="CC302" s="547"/>
      <c r="CD302" s="547"/>
      <c r="CE302" s="547"/>
      <c r="CF302" s="547"/>
      <c r="CG302" s="547"/>
      <c r="CH302" s="547"/>
      <c r="CI302" s="547"/>
      <c r="CJ302" s="549"/>
      <c r="CK302" s="547"/>
      <c r="CL302" s="547"/>
      <c r="CM302" s="547"/>
      <c r="CN302" s="547"/>
      <c r="CO302" s="547"/>
      <c r="CP302" s="19"/>
      <c r="CQ302" s="19"/>
      <c r="CR302" s="19"/>
      <c r="CS302" s="551"/>
      <c r="CT302" s="19"/>
      <c r="CU302" s="19"/>
      <c r="ED302" s="542"/>
      <c r="EE302" s="542"/>
      <c r="EF302" s="542"/>
      <c r="EG302" s="542"/>
      <c r="EH302" s="542"/>
      <c r="EI302" s="542"/>
      <c r="EJ302" s="542"/>
      <c r="EK302" s="542"/>
      <c r="EL302" s="542"/>
      <c r="EM302" s="19"/>
      <c r="EN302" s="569"/>
      <c r="EO302" s="93"/>
      <c r="EP302" s="93"/>
      <c r="EQ302" s="93"/>
      <c r="ES302" s="569">
        <v>853</v>
      </c>
      <c r="ET302" t="s">
        <v>985</v>
      </c>
      <c r="EU302" t="s">
        <v>986</v>
      </c>
      <c r="EV302" t="s">
        <v>3101</v>
      </c>
      <c r="EW302" t="s">
        <v>54</v>
      </c>
      <c r="EX302" s="600">
        <v>56573</v>
      </c>
      <c r="EY302"/>
    </row>
    <row r="303" spans="1:155" x14ac:dyDescent="0.2">
      <c r="A303" s="542"/>
      <c r="B303" s="543"/>
      <c r="C303" s="543"/>
      <c r="D303" s="543"/>
      <c r="E303" s="543"/>
      <c r="F303" s="543"/>
      <c r="G303" s="543"/>
      <c r="H303" s="543"/>
      <c r="I303" s="543"/>
      <c r="J303" s="543"/>
      <c r="K303" s="543"/>
      <c r="L303" s="543"/>
      <c r="M303" s="543"/>
      <c r="N303" s="543"/>
      <c r="O303" s="543"/>
      <c r="P303" s="543"/>
      <c r="Q303" s="543"/>
      <c r="R303" s="543"/>
      <c r="S303" s="543"/>
      <c r="T303" s="543"/>
      <c r="U303" s="543"/>
      <c r="V303" s="543"/>
      <c r="W303" s="543"/>
      <c r="X303" s="543"/>
      <c r="Y303" s="543"/>
      <c r="Z303" s="543"/>
      <c r="AA303" s="543"/>
      <c r="AB303" s="543"/>
      <c r="AC303" s="543"/>
      <c r="AD303" s="543"/>
      <c r="AE303" s="543"/>
      <c r="AF303" s="543"/>
      <c r="AG303" s="543"/>
      <c r="AH303" s="543"/>
      <c r="AI303" s="543"/>
      <c r="AJ303" s="543"/>
      <c r="AK303" s="543"/>
      <c r="AL303" s="543"/>
      <c r="AM303" s="543"/>
      <c r="AN303" s="543"/>
      <c r="AO303" s="543"/>
      <c r="AP303" s="543"/>
      <c r="AQ303" s="543"/>
      <c r="AR303" s="543"/>
      <c r="AS303" s="543"/>
      <c r="AT303" s="543"/>
      <c r="AU303" s="543"/>
      <c r="AV303" s="543"/>
      <c r="AW303" s="543"/>
      <c r="AX303" s="543"/>
      <c r="AY303" s="543"/>
      <c r="AZ303" s="543"/>
      <c r="BA303" s="543"/>
      <c r="BB303" s="543"/>
      <c r="BC303" s="543"/>
      <c r="BD303" s="543"/>
      <c r="BE303" s="543"/>
      <c r="BF303" s="543"/>
      <c r="BG303" s="543"/>
      <c r="BH303" s="543"/>
      <c r="BI303" s="543"/>
      <c r="BJ303" s="543"/>
      <c r="BK303" s="543"/>
      <c r="BL303" s="543"/>
      <c r="BM303" s="543"/>
      <c r="BN303" s="543"/>
      <c r="BO303" s="543"/>
      <c r="BP303" s="543"/>
      <c r="BQ303" s="543"/>
      <c r="BR303" s="543"/>
      <c r="BS303" s="543"/>
      <c r="BT303" s="543"/>
      <c r="BU303" s="543"/>
      <c r="BV303" s="543"/>
      <c r="BW303" s="543"/>
      <c r="BX303" s="543"/>
      <c r="BY303" s="543"/>
      <c r="BZ303" s="543"/>
      <c r="CA303" s="543"/>
      <c r="CB303" s="543"/>
      <c r="CC303" s="543"/>
      <c r="CD303" s="544"/>
      <c r="CE303" s="543"/>
      <c r="CF303" s="543"/>
      <c r="CG303" s="543"/>
      <c r="CH303" s="543"/>
      <c r="CI303" s="544"/>
      <c r="CJ303" s="543"/>
      <c r="CK303" s="543"/>
      <c r="CL303" s="543"/>
      <c r="CM303" s="543"/>
      <c r="CN303" s="545"/>
      <c r="CO303" s="543"/>
      <c r="CP303" s="543"/>
      <c r="CQ303" s="543"/>
      <c r="CR303" s="543"/>
      <c r="CS303" s="545"/>
      <c r="CT303" s="543"/>
      <c r="CU303" s="543"/>
      <c r="CV303" s="543"/>
      <c r="CW303" s="543"/>
      <c r="CX303" s="543"/>
      <c r="CY303" s="543"/>
      <c r="CZ303" s="545"/>
      <c r="DA303" s="543"/>
      <c r="DB303" s="543"/>
      <c r="DC303" s="543"/>
      <c r="DD303" s="545"/>
      <c r="DE303" s="543"/>
      <c r="DF303" s="543"/>
      <c r="DG303" s="543"/>
      <c r="DH303" s="543"/>
      <c r="DI303" s="543"/>
      <c r="DJ303" s="546"/>
      <c r="DK303" s="543"/>
      <c r="DL303" s="543"/>
      <c r="DM303" s="543"/>
      <c r="DN303" s="543"/>
      <c r="DO303" s="543"/>
      <c r="DP303" s="543"/>
      <c r="DT303" s="546"/>
      <c r="DU303" s="19"/>
      <c r="DV303" s="19"/>
      <c r="DW303" s="19"/>
      <c r="DX303" s="19"/>
      <c r="DY303" s="19"/>
      <c r="DZ303" s="19"/>
      <c r="ED303" s="542"/>
      <c r="EE303" s="542"/>
      <c r="EF303" s="542"/>
      <c r="EG303" s="542"/>
      <c r="EH303" s="542"/>
      <c r="EI303" s="542"/>
      <c r="EJ303" s="542"/>
      <c r="EK303" s="542"/>
      <c r="EL303" s="542"/>
      <c r="EM303" s="19"/>
      <c r="EN303" s="569"/>
      <c r="EO303" s="93"/>
      <c r="EP303" s="93"/>
      <c r="EQ303" s="93"/>
      <c r="ES303" s="569">
        <v>112</v>
      </c>
      <c r="ET303" t="s">
        <v>1901</v>
      </c>
      <c r="EU303" t="s">
        <v>986</v>
      </c>
      <c r="EV303" t="s">
        <v>2325</v>
      </c>
      <c r="EW303" t="s">
        <v>54</v>
      </c>
      <c r="EX303" s="599">
        <v>56573</v>
      </c>
      <c r="EY303">
        <v>1790799518</v>
      </c>
    </row>
    <row r="304" spans="1:155" x14ac:dyDescent="0.2">
      <c r="A304" s="542"/>
      <c r="B304" s="543"/>
      <c r="C304" s="543"/>
      <c r="D304" s="543"/>
      <c r="E304" s="543"/>
      <c r="F304" s="543"/>
      <c r="G304" s="543"/>
      <c r="H304" s="543"/>
      <c r="I304" s="543"/>
      <c r="J304" s="543"/>
      <c r="K304" s="543"/>
      <c r="L304" s="543"/>
      <c r="M304" s="543"/>
      <c r="N304" s="543"/>
      <c r="O304" s="543"/>
      <c r="P304" s="543"/>
      <c r="Q304" s="543"/>
      <c r="R304" s="543"/>
      <c r="S304" s="543"/>
      <c r="T304" s="543"/>
      <c r="U304" s="543"/>
      <c r="V304" s="543"/>
      <c r="W304" s="543"/>
      <c r="X304" s="543"/>
      <c r="Y304" s="543"/>
      <c r="Z304" s="543"/>
      <c r="AA304" s="543"/>
      <c r="AB304" s="543"/>
      <c r="AC304" s="543"/>
      <c r="AD304" s="543"/>
      <c r="AE304" s="543"/>
      <c r="AF304" s="543"/>
      <c r="AG304" s="543"/>
      <c r="AH304" s="543"/>
      <c r="AI304" s="543"/>
      <c r="AJ304" s="543"/>
      <c r="AK304" s="543"/>
      <c r="AL304" s="543"/>
      <c r="AM304" s="543"/>
      <c r="AN304" s="543"/>
      <c r="AO304" s="543"/>
      <c r="AP304" s="543"/>
      <c r="AQ304" s="543"/>
      <c r="AR304" s="543"/>
      <c r="AS304" s="543"/>
      <c r="AT304" s="543"/>
      <c r="AU304" s="543"/>
      <c r="AV304" s="543"/>
      <c r="AW304" s="543"/>
      <c r="AX304" s="543"/>
      <c r="AY304" s="543"/>
      <c r="AZ304" s="543"/>
      <c r="BA304" s="543"/>
      <c r="BB304" s="543"/>
      <c r="BC304" s="543"/>
      <c r="BD304" s="543"/>
      <c r="BE304" s="543"/>
      <c r="BF304" s="543"/>
      <c r="BG304" s="543"/>
      <c r="BH304" s="543"/>
      <c r="BI304" s="543"/>
      <c r="BJ304" s="543"/>
      <c r="BK304" s="543"/>
      <c r="BL304" s="543"/>
      <c r="BM304" s="543"/>
      <c r="BN304" s="543"/>
      <c r="BO304" s="543"/>
      <c r="BP304" s="543"/>
      <c r="BQ304" s="543"/>
      <c r="BR304" s="543"/>
      <c r="BS304" s="543"/>
      <c r="BT304" s="543"/>
      <c r="BU304" s="543"/>
      <c r="BV304" s="543"/>
      <c r="BW304" s="543"/>
      <c r="BX304" s="543"/>
      <c r="BY304" s="543"/>
      <c r="BZ304" s="543"/>
      <c r="CA304" s="543"/>
      <c r="CB304" s="543"/>
      <c r="CC304" s="543"/>
      <c r="CD304" s="544"/>
      <c r="CE304" s="543"/>
      <c r="CF304" s="543"/>
      <c r="CG304" s="543"/>
      <c r="CH304" s="543"/>
      <c r="CI304" s="544"/>
      <c r="CJ304" s="543"/>
      <c r="CK304" s="543"/>
      <c r="CL304" s="543"/>
      <c r="CM304" s="543"/>
      <c r="CN304" s="545"/>
      <c r="CO304" s="543"/>
      <c r="CP304" s="545"/>
      <c r="CQ304" s="543"/>
      <c r="CR304" s="543"/>
      <c r="CS304" s="545"/>
      <c r="CT304" s="543"/>
      <c r="CU304" s="543"/>
      <c r="CV304" s="543"/>
      <c r="CW304" s="543"/>
      <c r="CX304" s="543"/>
      <c r="CY304" s="543"/>
      <c r="CZ304" s="545"/>
      <c r="DA304" s="543"/>
      <c r="DB304" s="543"/>
      <c r="DC304" s="543"/>
      <c r="DD304" s="543"/>
      <c r="DE304" s="543"/>
      <c r="DF304" s="543"/>
      <c r="DG304" s="543"/>
      <c r="DH304" s="545"/>
      <c r="DI304" s="543"/>
      <c r="DJ304" s="546"/>
      <c r="DK304" s="543"/>
      <c r="DL304" s="543"/>
      <c r="DM304" s="543"/>
      <c r="DN304" s="543"/>
      <c r="DO304" s="543"/>
      <c r="DP304" s="543"/>
      <c r="DT304" s="546"/>
      <c r="DU304" s="19"/>
      <c r="DV304" s="19"/>
      <c r="DW304" s="19"/>
      <c r="DX304" s="19"/>
      <c r="DY304" s="19"/>
      <c r="DZ304" s="19"/>
      <c r="ED304" s="542"/>
      <c r="EE304" s="542"/>
      <c r="EF304" s="542"/>
      <c r="EG304" s="542"/>
      <c r="EH304" s="542"/>
      <c r="EI304" s="542"/>
      <c r="EJ304" s="542"/>
      <c r="EK304" s="542"/>
      <c r="EL304" s="542"/>
      <c r="EM304" s="19"/>
      <c r="EN304" s="569"/>
      <c r="EO304" s="93"/>
      <c r="EP304" s="93"/>
      <c r="EQ304" s="93"/>
      <c r="ES304" s="569">
        <v>938</v>
      </c>
      <c r="ET304" t="s">
        <v>989</v>
      </c>
      <c r="EU304" t="s">
        <v>990</v>
      </c>
      <c r="EV304" t="s">
        <v>3102</v>
      </c>
      <c r="EW304" t="s">
        <v>54</v>
      </c>
      <c r="EX304" s="600">
        <v>56164</v>
      </c>
      <c r="EY304"/>
    </row>
    <row r="305" spans="1:155" x14ac:dyDescent="0.2">
      <c r="A305" s="542"/>
      <c r="B305" s="543"/>
      <c r="C305" s="543"/>
      <c r="D305" s="543"/>
      <c r="E305" s="543"/>
      <c r="F305" s="543"/>
      <c r="G305" s="543"/>
      <c r="H305" s="543"/>
      <c r="I305" s="543"/>
      <c r="J305" s="543"/>
      <c r="K305" s="543"/>
      <c r="L305" s="543"/>
      <c r="M305" s="543"/>
      <c r="N305" s="543"/>
      <c r="O305" s="543"/>
      <c r="P305" s="543"/>
      <c r="Q305" s="543"/>
      <c r="R305" s="543"/>
      <c r="S305" s="543"/>
      <c r="T305" s="543"/>
      <c r="U305" s="543"/>
      <c r="V305" s="543"/>
      <c r="W305" s="543"/>
      <c r="X305" s="543"/>
      <c r="Y305" s="543"/>
      <c r="Z305" s="543"/>
      <c r="AA305" s="543"/>
      <c r="AB305" s="543"/>
      <c r="AC305" s="543"/>
      <c r="AD305" s="543"/>
      <c r="AE305" s="543"/>
      <c r="AF305" s="543"/>
      <c r="AG305" s="543"/>
      <c r="AH305" s="543"/>
      <c r="AI305" s="543"/>
      <c r="AJ305" s="543"/>
      <c r="AK305" s="543"/>
      <c r="AL305" s="543"/>
      <c r="AM305" s="543"/>
      <c r="AN305" s="543"/>
      <c r="AO305" s="543"/>
      <c r="AP305" s="543"/>
      <c r="AQ305" s="543"/>
      <c r="AR305" s="543"/>
      <c r="AS305" s="543"/>
      <c r="AT305" s="543"/>
      <c r="AU305" s="543"/>
      <c r="AV305" s="543"/>
      <c r="AW305" s="543"/>
      <c r="AX305" s="543"/>
      <c r="AY305" s="543"/>
      <c r="AZ305" s="543"/>
      <c r="BA305" s="543"/>
      <c r="BB305" s="543"/>
      <c r="BC305" s="543"/>
      <c r="BD305" s="543"/>
      <c r="BE305" s="543"/>
      <c r="BF305" s="543"/>
      <c r="BG305" s="543"/>
      <c r="BH305" s="543"/>
      <c r="BI305" s="543"/>
      <c r="BJ305" s="543"/>
      <c r="BK305" s="543"/>
      <c r="BL305" s="543"/>
      <c r="BM305" s="543"/>
      <c r="BN305" s="543"/>
      <c r="BO305" s="543"/>
      <c r="BP305" s="543"/>
      <c r="BQ305" s="543"/>
      <c r="BR305" s="543"/>
      <c r="BS305" s="543"/>
      <c r="BT305" s="543"/>
      <c r="BU305" s="543"/>
      <c r="BV305" s="543"/>
      <c r="BW305" s="543"/>
      <c r="BX305" s="543"/>
      <c r="BY305" s="543"/>
      <c r="BZ305" s="543"/>
      <c r="CA305" s="543"/>
      <c r="CB305" s="543"/>
      <c r="CC305" s="543"/>
      <c r="CD305" s="544"/>
      <c r="CE305" s="543"/>
      <c r="CF305" s="543"/>
      <c r="CG305" s="543"/>
      <c r="CH305" s="543"/>
      <c r="CI305" s="544"/>
      <c r="CJ305" s="543"/>
      <c r="CK305" s="543"/>
      <c r="CL305" s="543"/>
      <c r="CM305" s="543"/>
      <c r="CN305" s="545"/>
      <c r="CO305" s="543"/>
      <c r="CP305" s="543"/>
      <c r="CQ305" s="543"/>
      <c r="CR305" s="543"/>
      <c r="CS305" s="545"/>
      <c r="CT305" s="543"/>
      <c r="CU305" s="543"/>
      <c r="CV305" s="543"/>
      <c r="CW305" s="543"/>
      <c r="CX305" s="543"/>
      <c r="CY305" s="543"/>
      <c r="CZ305" s="545"/>
      <c r="DA305" s="543"/>
      <c r="DB305" s="543"/>
      <c r="DC305" s="543"/>
      <c r="DD305" s="545"/>
      <c r="DE305" s="543"/>
      <c r="DF305" s="543"/>
      <c r="DG305" s="543"/>
      <c r="DH305" s="543"/>
      <c r="DI305" s="543"/>
      <c r="DJ305" s="546"/>
      <c r="DK305" s="543"/>
      <c r="DL305" s="543"/>
      <c r="DM305" s="543"/>
      <c r="DN305" s="543"/>
      <c r="DO305" s="543"/>
      <c r="DP305" s="543"/>
      <c r="DT305" s="546"/>
      <c r="DU305" s="19"/>
      <c r="DV305" s="19"/>
      <c r="DW305" s="19"/>
      <c r="DX305" s="19"/>
      <c r="DY305" s="19"/>
      <c r="DZ305" s="19"/>
      <c r="ED305" s="542"/>
      <c r="EE305" s="542"/>
      <c r="EF305" s="542"/>
      <c r="EG305" s="542"/>
      <c r="EH305" s="542"/>
      <c r="EI305" s="542"/>
      <c r="EJ305" s="542"/>
      <c r="EK305" s="542"/>
      <c r="EL305" s="542"/>
      <c r="EM305" s="19"/>
      <c r="EN305" s="569"/>
      <c r="EO305" s="93"/>
      <c r="EP305" s="93"/>
      <c r="EQ305" s="93"/>
      <c r="ES305" s="569">
        <v>113</v>
      </c>
      <c r="ET305" t="s">
        <v>1902</v>
      </c>
      <c r="EU305" t="s">
        <v>990</v>
      </c>
      <c r="EV305" t="s">
        <v>2326</v>
      </c>
      <c r="EW305" t="s">
        <v>54</v>
      </c>
      <c r="EX305" s="599">
        <v>56164</v>
      </c>
      <c r="EY305">
        <v>1598751240</v>
      </c>
    </row>
    <row r="306" spans="1:155" x14ac:dyDescent="0.2">
      <c r="A306" s="542"/>
      <c r="B306" s="543"/>
      <c r="C306" s="543"/>
      <c r="D306" s="543"/>
      <c r="E306" s="543"/>
      <c r="F306" s="543"/>
      <c r="G306" s="543"/>
      <c r="H306" s="543"/>
      <c r="I306" s="543"/>
      <c r="J306" s="543"/>
      <c r="K306" s="543"/>
      <c r="L306" s="543"/>
      <c r="M306" s="543"/>
      <c r="N306" s="543"/>
      <c r="O306" s="543"/>
      <c r="P306" s="543"/>
      <c r="Q306" s="543"/>
      <c r="R306" s="543"/>
      <c r="S306" s="543"/>
      <c r="T306" s="543"/>
      <c r="U306" s="543"/>
      <c r="V306" s="543"/>
      <c r="W306" s="543"/>
      <c r="X306" s="543"/>
      <c r="Y306" s="543"/>
      <c r="Z306" s="543"/>
      <c r="AA306" s="543"/>
      <c r="AB306" s="543"/>
      <c r="AC306" s="543"/>
      <c r="AD306" s="543"/>
      <c r="AE306" s="543"/>
      <c r="AF306" s="543"/>
      <c r="AG306" s="543"/>
      <c r="AH306" s="543"/>
      <c r="AI306" s="543"/>
      <c r="AJ306" s="543"/>
      <c r="AK306" s="543"/>
      <c r="AL306" s="543"/>
      <c r="AM306" s="543"/>
      <c r="AN306" s="543"/>
      <c r="AO306" s="543"/>
      <c r="AP306" s="543"/>
      <c r="AQ306" s="543"/>
      <c r="AR306" s="543"/>
      <c r="AS306" s="543"/>
      <c r="AT306" s="543"/>
      <c r="AU306" s="543"/>
      <c r="AV306" s="543"/>
      <c r="AW306" s="543"/>
      <c r="AX306" s="543"/>
      <c r="AY306" s="543"/>
      <c r="AZ306" s="543"/>
      <c r="BA306" s="543"/>
      <c r="BB306" s="543"/>
      <c r="BC306" s="543"/>
      <c r="BD306" s="543"/>
      <c r="BE306" s="543"/>
      <c r="BF306" s="543"/>
      <c r="BG306" s="543"/>
      <c r="BH306" s="543"/>
      <c r="BI306" s="543"/>
      <c r="BJ306" s="543"/>
      <c r="BK306" s="543"/>
      <c r="BL306" s="543"/>
      <c r="BM306" s="543"/>
      <c r="BN306" s="543"/>
      <c r="BO306" s="543"/>
      <c r="BP306" s="543"/>
      <c r="BQ306" s="543"/>
      <c r="BR306" s="543"/>
      <c r="BS306" s="543"/>
      <c r="BT306" s="543"/>
      <c r="BU306" s="543"/>
      <c r="BV306" s="543"/>
      <c r="BW306" s="543"/>
      <c r="BX306" s="543"/>
      <c r="BY306" s="543"/>
      <c r="BZ306" s="543"/>
      <c r="CA306" s="543"/>
      <c r="CB306" s="543"/>
      <c r="CC306" s="543"/>
      <c r="CD306" s="544"/>
      <c r="CE306" s="543"/>
      <c r="CF306" s="543"/>
      <c r="CG306" s="543"/>
      <c r="CH306" s="543"/>
      <c r="CI306" s="544"/>
      <c r="CJ306" s="543"/>
      <c r="CK306" s="543"/>
      <c r="CL306" s="543"/>
      <c r="CM306" s="543"/>
      <c r="CN306" s="545"/>
      <c r="CO306" s="543"/>
      <c r="CP306" s="543"/>
      <c r="CQ306" s="543"/>
      <c r="CR306" s="543"/>
      <c r="CS306" s="545"/>
      <c r="CT306" s="543"/>
      <c r="CU306" s="543"/>
      <c r="CV306" s="543"/>
      <c r="CW306" s="543"/>
      <c r="CX306" s="543"/>
      <c r="CY306" s="543"/>
      <c r="CZ306" s="545"/>
      <c r="DA306" s="543"/>
      <c r="DB306" s="543"/>
      <c r="DC306" s="543"/>
      <c r="DD306" s="545"/>
      <c r="DE306" s="543"/>
      <c r="DF306" s="543"/>
      <c r="DG306" s="543"/>
      <c r="DH306" s="543"/>
      <c r="DI306" s="543"/>
      <c r="DJ306" s="546"/>
      <c r="DK306" s="543"/>
      <c r="DL306" s="543"/>
      <c r="DM306" s="543"/>
      <c r="DN306" s="543"/>
      <c r="DO306" s="543"/>
      <c r="DP306" s="543"/>
      <c r="DT306" s="546"/>
      <c r="DU306" s="19"/>
      <c r="DV306" s="19"/>
      <c r="DW306" s="19"/>
      <c r="DX306" s="19"/>
      <c r="DY306" s="19"/>
      <c r="DZ306" s="19"/>
      <c r="ED306" s="542"/>
      <c r="EE306" s="542"/>
      <c r="EF306" s="542"/>
      <c r="EG306" s="542"/>
      <c r="EH306" s="542"/>
      <c r="EI306" s="542"/>
      <c r="EJ306" s="542"/>
      <c r="EK306" s="542"/>
      <c r="EL306" s="542"/>
      <c r="EM306" s="19"/>
      <c r="EN306" s="569"/>
      <c r="EO306" s="93"/>
      <c r="EP306" s="93"/>
      <c r="EQ306" s="93"/>
      <c r="ES306" s="569">
        <v>564</v>
      </c>
      <c r="ET306" t="s">
        <v>1066</v>
      </c>
      <c r="EU306" t="s">
        <v>1067</v>
      </c>
      <c r="EV306" t="s">
        <v>3103</v>
      </c>
      <c r="EW306" t="s">
        <v>54</v>
      </c>
      <c r="EX306" s="600">
        <v>55446</v>
      </c>
      <c r="EY306"/>
    </row>
    <row r="307" spans="1:155" x14ac:dyDescent="0.2">
      <c r="A307" s="542"/>
      <c r="B307" s="543"/>
      <c r="C307" s="543"/>
      <c r="D307" s="543"/>
      <c r="E307" s="543"/>
      <c r="F307" s="543"/>
      <c r="G307" s="543"/>
      <c r="H307" s="543"/>
      <c r="I307" s="543"/>
      <c r="J307" s="543"/>
      <c r="K307" s="543"/>
      <c r="L307" s="543"/>
      <c r="M307" s="543"/>
      <c r="N307" s="543"/>
      <c r="O307" s="543"/>
      <c r="P307" s="543"/>
      <c r="Q307" s="543"/>
      <c r="R307" s="543"/>
      <c r="S307" s="543"/>
      <c r="T307" s="543"/>
      <c r="U307" s="543"/>
      <c r="V307" s="543"/>
      <c r="W307" s="543"/>
      <c r="X307" s="543"/>
      <c r="Y307" s="543"/>
      <c r="Z307" s="543"/>
      <c r="AA307" s="543"/>
      <c r="AB307" s="543"/>
      <c r="AC307" s="543"/>
      <c r="AD307" s="543"/>
      <c r="AE307" s="543"/>
      <c r="AF307" s="543"/>
      <c r="AG307" s="543"/>
      <c r="AH307" s="543"/>
      <c r="AI307" s="543"/>
      <c r="AJ307" s="543"/>
      <c r="AK307" s="543"/>
      <c r="AL307" s="543"/>
      <c r="AM307" s="543"/>
      <c r="AN307" s="543"/>
      <c r="AO307" s="543"/>
      <c r="AP307" s="543"/>
      <c r="AQ307" s="543"/>
      <c r="AR307" s="543"/>
      <c r="AS307" s="543"/>
      <c r="AT307" s="543"/>
      <c r="AU307" s="543"/>
      <c r="AV307" s="543"/>
      <c r="AW307" s="543"/>
      <c r="AX307" s="543"/>
      <c r="AY307" s="543"/>
      <c r="AZ307" s="543"/>
      <c r="BA307" s="543"/>
      <c r="BB307" s="543"/>
      <c r="BC307" s="543"/>
      <c r="BD307" s="543"/>
      <c r="BE307" s="543"/>
      <c r="BF307" s="543"/>
      <c r="BG307" s="543"/>
      <c r="BH307" s="543"/>
      <c r="BI307" s="543"/>
      <c r="BJ307" s="543"/>
      <c r="BK307" s="543"/>
      <c r="BL307" s="543"/>
      <c r="BM307" s="543"/>
      <c r="BN307" s="543"/>
      <c r="BO307" s="543"/>
      <c r="BP307" s="543"/>
      <c r="BQ307" s="543"/>
      <c r="BR307" s="543"/>
      <c r="BS307" s="543"/>
      <c r="BT307" s="543"/>
      <c r="BU307" s="543"/>
      <c r="BV307" s="543"/>
      <c r="BW307" s="543"/>
      <c r="BX307" s="543"/>
      <c r="BY307" s="543"/>
      <c r="BZ307" s="543"/>
      <c r="CA307" s="543"/>
      <c r="CB307" s="543"/>
      <c r="CC307" s="543"/>
      <c r="CD307" s="544"/>
      <c r="CE307" s="543"/>
      <c r="CF307" s="543"/>
      <c r="CG307" s="543"/>
      <c r="CH307" s="543"/>
      <c r="CI307" s="544"/>
      <c r="CJ307" s="543"/>
      <c r="CK307" s="543"/>
      <c r="CL307" s="543"/>
      <c r="CM307" s="543"/>
      <c r="CN307" s="545"/>
      <c r="CO307" s="543"/>
      <c r="CP307" s="543"/>
      <c r="CQ307" s="543"/>
      <c r="CR307" s="543"/>
      <c r="CS307" s="545"/>
      <c r="CT307" s="543"/>
      <c r="CU307" s="543"/>
      <c r="CV307" s="543"/>
      <c r="CW307" s="543"/>
      <c r="CX307" s="543"/>
      <c r="CY307" s="543"/>
      <c r="CZ307" s="545"/>
      <c r="DA307" s="543"/>
      <c r="DB307" s="543"/>
      <c r="DC307" s="543"/>
      <c r="DD307" s="543"/>
      <c r="DE307" s="543"/>
      <c r="DF307" s="543"/>
      <c r="DG307" s="543"/>
      <c r="DH307" s="543"/>
      <c r="DI307" s="543"/>
      <c r="DJ307" s="546"/>
      <c r="DK307" s="543"/>
      <c r="DL307" s="543"/>
      <c r="DM307" s="543"/>
      <c r="DN307" s="543"/>
      <c r="DO307" s="543"/>
      <c r="DP307" s="543"/>
      <c r="DT307" s="546"/>
      <c r="DU307" s="19"/>
      <c r="DV307" s="19"/>
      <c r="DW307" s="19"/>
      <c r="DX307" s="19"/>
      <c r="DY307" s="19"/>
      <c r="DZ307" s="19"/>
      <c r="ED307" s="542"/>
      <c r="EE307" s="542"/>
      <c r="EF307" s="542"/>
      <c r="EG307" s="542"/>
      <c r="EH307" s="542"/>
      <c r="EI307" s="542"/>
      <c r="EJ307" s="542"/>
      <c r="EK307" s="542"/>
      <c r="EL307" s="542"/>
      <c r="EM307" s="19"/>
      <c r="EN307" s="569"/>
      <c r="EO307" s="93"/>
      <c r="EP307" s="93"/>
      <c r="EQ307" s="93"/>
      <c r="ES307" s="569">
        <v>581</v>
      </c>
      <c r="ET307" t="s">
        <v>1205</v>
      </c>
      <c r="EU307" t="s">
        <v>1067</v>
      </c>
      <c r="EV307" t="s">
        <v>3104</v>
      </c>
      <c r="EW307" t="s">
        <v>54</v>
      </c>
      <c r="EX307" s="600">
        <v>55441</v>
      </c>
      <c r="EY307">
        <v>1922009471</v>
      </c>
    </row>
    <row r="308" spans="1:155" x14ac:dyDescent="0.2">
      <c r="A308" s="542"/>
      <c r="B308" s="543"/>
      <c r="C308" s="543"/>
      <c r="D308" s="543"/>
      <c r="E308" s="543"/>
      <c r="F308" s="543"/>
      <c r="G308" s="543"/>
      <c r="H308" s="543"/>
      <c r="I308" s="543"/>
      <c r="J308" s="543"/>
      <c r="K308" s="543"/>
      <c r="L308" s="543"/>
      <c r="M308" s="543"/>
      <c r="N308" s="543"/>
      <c r="O308" s="543"/>
      <c r="P308" s="543"/>
      <c r="Q308" s="543"/>
      <c r="R308" s="543"/>
      <c r="S308" s="543"/>
      <c r="T308" s="543"/>
      <c r="U308" s="543"/>
      <c r="V308" s="543"/>
      <c r="W308" s="543"/>
      <c r="X308" s="543"/>
      <c r="Y308" s="543"/>
      <c r="Z308" s="543"/>
      <c r="AA308" s="543"/>
      <c r="AB308" s="543"/>
      <c r="AC308" s="543"/>
      <c r="AD308" s="543"/>
      <c r="AE308" s="543"/>
      <c r="AF308" s="543"/>
      <c r="AG308" s="543"/>
      <c r="AH308" s="543"/>
      <c r="AI308" s="543"/>
      <c r="AJ308" s="543"/>
      <c r="AK308" s="543"/>
      <c r="AL308" s="543"/>
      <c r="AM308" s="543"/>
      <c r="AN308" s="543"/>
      <c r="AO308" s="543"/>
      <c r="AP308" s="543"/>
      <c r="AQ308" s="543"/>
      <c r="AR308" s="543"/>
      <c r="AS308" s="543"/>
      <c r="AT308" s="543"/>
      <c r="AU308" s="543"/>
      <c r="AV308" s="543"/>
      <c r="AW308" s="543"/>
      <c r="AX308" s="543"/>
      <c r="AY308" s="543"/>
      <c r="AZ308" s="543"/>
      <c r="BA308" s="543"/>
      <c r="BB308" s="543"/>
      <c r="BC308" s="543"/>
      <c r="BD308" s="543"/>
      <c r="BE308" s="543"/>
      <c r="BF308" s="543"/>
      <c r="BG308" s="543"/>
      <c r="BH308" s="543"/>
      <c r="BI308" s="543"/>
      <c r="BJ308" s="543"/>
      <c r="BK308" s="543"/>
      <c r="BL308" s="543"/>
      <c r="BM308" s="543"/>
      <c r="BN308" s="543"/>
      <c r="BO308" s="543"/>
      <c r="BP308" s="543"/>
      <c r="BQ308" s="543"/>
      <c r="BR308" s="543"/>
      <c r="BS308" s="543"/>
      <c r="BT308" s="543"/>
      <c r="BU308" s="543"/>
      <c r="BV308" s="543"/>
      <c r="BW308" s="543"/>
      <c r="BX308" s="543"/>
      <c r="BY308" s="543"/>
      <c r="BZ308" s="543"/>
      <c r="CA308" s="543"/>
      <c r="CB308" s="543"/>
      <c r="CC308" s="543"/>
      <c r="CD308" s="544"/>
      <c r="CE308" s="543"/>
      <c r="CF308" s="543"/>
      <c r="CG308" s="543"/>
      <c r="CH308" s="543"/>
      <c r="CI308" s="544"/>
      <c r="CJ308" s="543"/>
      <c r="CK308" s="543"/>
      <c r="CL308" s="543"/>
      <c r="CM308" s="543"/>
      <c r="CN308" s="545"/>
      <c r="CO308" s="543"/>
      <c r="CP308" s="543"/>
      <c r="CQ308" s="543"/>
      <c r="CR308" s="543"/>
      <c r="CS308" s="545"/>
      <c r="CT308" s="543"/>
      <c r="CU308" s="545"/>
      <c r="CV308" s="543"/>
      <c r="CW308" s="543"/>
      <c r="CX308" s="543"/>
      <c r="CY308" s="543"/>
      <c r="CZ308" s="543"/>
      <c r="DA308" s="543"/>
      <c r="DB308" s="543"/>
      <c r="DC308" s="543"/>
      <c r="DD308" s="543"/>
      <c r="DE308" s="543"/>
      <c r="DF308" s="543"/>
      <c r="DG308" s="543"/>
      <c r="DH308" s="545"/>
      <c r="DI308" s="543"/>
      <c r="DJ308" s="546"/>
      <c r="DK308" s="543"/>
      <c r="DL308" s="543"/>
      <c r="DM308" s="543"/>
      <c r="DN308" s="543"/>
      <c r="DO308" s="543"/>
      <c r="DP308" s="543"/>
      <c r="DT308" s="546"/>
      <c r="DU308" s="19"/>
      <c r="DV308" s="19"/>
      <c r="DW308" s="19"/>
      <c r="DX308" s="19"/>
      <c r="DY308" s="19"/>
      <c r="DZ308" s="19"/>
      <c r="ED308" s="542"/>
      <c r="EE308" s="542"/>
      <c r="EF308" s="542"/>
      <c r="EG308" s="542"/>
      <c r="EH308" s="542"/>
      <c r="EI308" s="542"/>
      <c r="EJ308" s="542"/>
      <c r="EK308" s="542"/>
      <c r="EL308" s="542"/>
      <c r="EM308" s="19"/>
      <c r="EN308" s="569"/>
      <c r="EO308" s="93"/>
      <c r="EP308" s="93"/>
      <c r="EQ308" s="93"/>
      <c r="ES308" s="569">
        <v>977</v>
      </c>
      <c r="ET308" t="s">
        <v>1227</v>
      </c>
      <c r="EU308" t="s">
        <v>1067</v>
      </c>
      <c r="EV308" t="s">
        <v>3105</v>
      </c>
      <c r="EW308" t="s">
        <v>54</v>
      </c>
      <c r="EX308" s="600">
        <v>55446</v>
      </c>
      <c r="EY308"/>
    </row>
    <row r="309" spans="1:155" x14ac:dyDescent="0.2">
      <c r="A309" s="542"/>
      <c r="B309" s="543"/>
      <c r="C309" s="543"/>
      <c r="D309" s="543"/>
      <c r="E309" s="543"/>
      <c r="F309" s="543"/>
      <c r="G309" s="543"/>
      <c r="H309" s="543"/>
      <c r="I309" s="543"/>
      <c r="J309" s="543"/>
      <c r="K309" s="543"/>
      <c r="L309" s="543"/>
      <c r="M309" s="543"/>
      <c r="N309" s="543"/>
      <c r="O309" s="543"/>
      <c r="P309" s="543"/>
      <c r="Q309" s="543"/>
      <c r="R309" s="543"/>
      <c r="S309" s="543"/>
      <c r="T309" s="543"/>
      <c r="U309" s="543"/>
      <c r="V309" s="543"/>
      <c r="W309" s="543"/>
      <c r="X309" s="543"/>
      <c r="Y309" s="543"/>
      <c r="Z309" s="543"/>
      <c r="AA309" s="543"/>
      <c r="AB309" s="543"/>
      <c r="AC309" s="543"/>
      <c r="AD309" s="543"/>
      <c r="AE309" s="543"/>
      <c r="AF309" s="543"/>
      <c r="AG309" s="543"/>
      <c r="AH309" s="543"/>
      <c r="AI309" s="543"/>
      <c r="AJ309" s="543"/>
      <c r="AK309" s="543"/>
      <c r="AL309" s="543"/>
      <c r="AM309" s="543"/>
      <c r="AN309" s="543"/>
      <c r="AO309" s="543"/>
      <c r="AP309" s="543"/>
      <c r="AQ309" s="543"/>
      <c r="AR309" s="543"/>
      <c r="AS309" s="543"/>
      <c r="AT309" s="543"/>
      <c r="AU309" s="543"/>
      <c r="AV309" s="543"/>
      <c r="AW309" s="543"/>
      <c r="AX309" s="543"/>
      <c r="AY309" s="543"/>
      <c r="AZ309" s="543"/>
      <c r="BA309" s="543"/>
      <c r="BB309" s="543"/>
      <c r="BC309" s="543"/>
      <c r="BD309" s="543"/>
      <c r="BE309" s="543"/>
      <c r="BF309" s="543"/>
      <c r="BG309" s="543"/>
      <c r="BH309" s="543"/>
      <c r="BI309" s="543"/>
      <c r="BJ309" s="543"/>
      <c r="BK309" s="543"/>
      <c r="BL309" s="543"/>
      <c r="BM309" s="543"/>
      <c r="BN309" s="543"/>
      <c r="BO309" s="543"/>
      <c r="BP309" s="543"/>
      <c r="BQ309" s="543"/>
      <c r="BR309" s="543"/>
      <c r="BS309" s="543"/>
      <c r="BT309" s="543"/>
      <c r="BU309" s="543"/>
      <c r="BV309" s="543"/>
      <c r="BW309" s="543"/>
      <c r="BX309" s="543"/>
      <c r="BY309" s="543"/>
      <c r="BZ309" s="543"/>
      <c r="CA309" s="543"/>
      <c r="CB309" s="543"/>
      <c r="CC309" s="543"/>
      <c r="CD309" s="544"/>
      <c r="CE309" s="543"/>
      <c r="CF309" s="543"/>
      <c r="CG309" s="543"/>
      <c r="CH309" s="543"/>
      <c r="CI309" s="544"/>
      <c r="CJ309" s="543"/>
      <c r="CK309" s="543"/>
      <c r="CL309" s="543"/>
      <c r="CM309" s="543"/>
      <c r="CN309" s="545"/>
      <c r="CO309" s="543"/>
      <c r="CP309" s="545"/>
      <c r="CQ309" s="543"/>
      <c r="CR309" s="543"/>
      <c r="CS309" s="545"/>
      <c r="CT309" s="543"/>
      <c r="CU309" s="545"/>
      <c r="CV309" s="543"/>
      <c r="CW309" s="543"/>
      <c r="CX309" s="543"/>
      <c r="CY309" s="543"/>
      <c r="CZ309" s="543"/>
      <c r="DA309" s="543"/>
      <c r="DB309" s="543"/>
      <c r="DC309" s="543"/>
      <c r="DD309" s="543"/>
      <c r="DE309" s="543"/>
      <c r="DF309" s="543"/>
      <c r="DG309" s="543"/>
      <c r="DH309" s="545"/>
      <c r="DI309" s="543"/>
      <c r="DJ309" s="546"/>
      <c r="DK309" s="543"/>
      <c r="DL309" s="543"/>
      <c r="DM309" s="543"/>
      <c r="DN309" s="543"/>
      <c r="DO309" s="543"/>
      <c r="DP309" s="543"/>
      <c r="DT309" s="546"/>
      <c r="DU309" s="19"/>
      <c r="DV309" s="19"/>
      <c r="DW309" s="19"/>
      <c r="DX309" s="19"/>
      <c r="DY309" s="19"/>
      <c r="DZ309" s="19"/>
      <c r="ED309" s="542"/>
      <c r="EE309" s="542"/>
      <c r="EF309" s="542"/>
      <c r="EG309" s="542"/>
      <c r="EH309" s="542"/>
      <c r="EI309" s="542"/>
      <c r="EJ309" s="542"/>
      <c r="EK309" s="542"/>
      <c r="EL309" s="542"/>
      <c r="EM309" s="19"/>
      <c r="EN309" s="569"/>
      <c r="EO309" s="93"/>
      <c r="EP309" s="93"/>
      <c r="EQ309" s="93"/>
      <c r="ES309" s="569">
        <v>976</v>
      </c>
      <c r="ET309" t="s">
        <v>1229</v>
      </c>
      <c r="EU309" t="s">
        <v>1067</v>
      </c>
      <c r="EV309" t="s">
        <v>3105</v>
      </c>
      <c r="EW309" t="s">
        <v>54</v>
      </c>
      <c r="EX309" s="600">
        <v>55446</v>
      </c>
      <c r="EY309"/>
    </row>
    <row r="310" spans="1:155" x14ac:dyDescent="0.2">
      <c r="A310" s="542"/>
      <c r="B310" s="19"/>
      <c r="C310" s="19"/>
      <c r="D310" s="19"/>
      <c r="E310" s="547"/>
      <c r="F310" s="547"/>
      <c r="G310" s="547"/>
      <c r="H310" s="547"/>
      <c r="I310" s="547"/>
      <c r="J310" s="547"/>
      <c r="K310" s="547"/>
      <c r="L310" s="547"/>
      <c r="M310" s="547"/>
      <c r="N310" s="547"/>
      <c r="O310" s="547"/>
      <c r="P310" s="548"/>
      <c r="Q310" s="548"/>
      <c r="R310" s="547"/>
      <c r="S310" s="547"/>
      <c r="T310" s="547"/>
      <c r="U310" s="547"/>
      <c r="V310" s="547"/>
      <c r="W310" s="547"/>
      <c r="X310" s="547"/>
      <c r="Y310" s="547"/>
      <c r="Z310" s="548"/>
      <c r="AA310" s="547"/>
      <c r="AB310" s="548"/>
      <c r="AC310" s="547"/>
      <c r="AD310" s="547"/>
      <c r="AE310" s="547"/>
      <c r="AF310" s="547"/>
      <c r="AG310" s="547"/>
      <c r="AH310" s="547"/>
      <c r="AI310" s="547"/>
      <c r="AJ310" s="547"/>
      <c r="AK310" s="547"/>
      <c r="AL310" s="547"/>
      <c r="AM310" s="547"/>
      <c r="AN310" s="548"/>
      <c r="AO310" s="547"/>
      <c r="AP310" s="548"/>
      <c r="AQ310" s="547"/>
      <c r="AR310" s="547"/>
      <c r="AS310" s="547"/>
      <c r="AT310" s="547"/>
      <c r="AU310" s="547"/>
      <c r="AV310" s="547"/>
      <c r="AW310" s="547"/>
      <c r="AX310" s="547"/>
      <c r="AY310" s="547"/>
      <c r="AZ310" s="547"/>
      <c r="BA310" s="547"/>
      <c r="BB310" s="548"/>
      <c r="BC310" s="547"/>
      <c r="BD310" s="548"/>
      <c r="BE310" s="547"/>
      <c r="BF310" s="547"/>
      <c r="BG310" s="547"/>
      <c r="BH310" s="547"/>
      <c r="BI310" s="547"/>
      <c r="BJ310" s="547"/>
      <c r="BK310" s="547"/>
      <c r="BL310" s="547"/>
      <c r="BM310" s="547"/>
      <c r="BN310" s="547"/>
      <c r="BO310" s="547"/>
      <c r="BP310" s="547"/>
      <c r="BQ310" s="547"/>
      <c r="BR310" s="548"/>
      <c r="BS310" s="547"/>
      <c r="BT310" s="547"/>
      <c r="BU310" s="547"/>
      <c r="BV310" s="547"/>
      <c r="BW310" s="547"/>
      <c r="BX310" s="547"/>
      <c r="BY310" s="547"/>
      <c r="BZ310" s="547"/>
      <c r="CA310" s="547"/>
      <c r="CB310" s="547"/>
      <c r="CC310" s="547"/>
      <c r="CD310" s="547"/>
      <c r="CE310" s="547"/>
      <c r="CF310" s="547"/>
      <c r="CG310" s="547"/>
      <c r="CH310" s="547"/>
      <c r="CI310" s="547"/>
      <c r="CJ310" s="549"/>
      <c r="CK310" s="547"/>
      <c r="CL310" s="547"/>
      <c r="CM310" s="547"/>
      <c r="CN310" s="547"/>
      <c r="CO310" s="547"/>
      <c r="CP310" s="19"/>
      <c r="CQ310" s="19"/>
      <c r="CR310" s="19"/>
      <c r="CS310" s="551"/>
      <c r="CT310" s="19"/>
      <c r="CU310" s="19"/>
      <c r="DH310" s="552"/>
      <c r="ED310" s="542"/>
      <c r="EE310" s="542"/>
      <c r="EF310" s="542"/>
      <c r="EG310" s="542"/>
      <c r="EH310" s="542"/>
      <c r="EI310" s="542"/>
      <c r="EJ310" s="542"/>
      <c r="EK310" s="542"/>
      <c r="EL310" s="542"/>
      <c r="EM310" s="19"/>
      <c r="EN310" s="569"/>
      <c r="EO310" s="93"/>
      <c r="EP310" s="93"/>
      <c r="EQ310" s="93"/>
      <c r="ES310" s="569">
        <v>562</v>
      </c>
      <c r="ET310" t="s">
        <v>1431</v>
      </c>
      <c r="EU310" t="s">
        <v>1067</v>
      </c>
      <c r="EV310" t="s">
        <v>3106</v>
      </c>
      <c r="EW310" t="s">
        <v>54</v>
      </c>
      <c r="EX310" s="600">
        <v>55441</v>
      </c>
      <c r="EY310">
        <v>1275509622</v>
      </c>
    </row>
    <row r="311" spans="1:155" x14ac:dyDescent="0.2">
      <c r="A311" s="542"/>
      <c r="B311" s="543"/>
      <c r="C311" s="543"/>
      <c r="D311" s="543"/>
      <c r="E311" s="543"/>
      <c r="F311" s="543"/>
      <c r="G311" s="543"/>
      <c r="H311" s="543"/>
      <c r="I311" s="543"/>
      <c r="J311" s="543"/>
      <c r="K311" s="543"/>
      <c r="L311" s="543"/>
      <c r="M311" s="543"/>
      <c r="N311" s="543"/>
      <c r="O311" s="543"/>
      <c r="P311" s="543"/>
      <c r="Q311" s="543"/>
      <c r="R311" s="543"/>
      <c r="S311" s="543"/>
      <c r="T311" s="543"/>
      <c r="U311" s="543"/>
      <c r="V311" s="543"/>
      <c r="W311" s="543"/>
      <c r="X311" s="543"/>
      <c r="Y311" s="543"/>
      <c r="Z311" s="543"/>
      <c r="AA311" s="543"/>
      <c r="AB311" s="543"/>
      <c r="AC311" s="543"/>
      <c r="AD311" s="543"/>
      <c r="AE311" s="543"/>
      <c r="AF311" s="543"/>
      <c r="AG311" s="543"/>
      <c r="AH311" s="543"/>
      <c r="AI311" s="543"/>
      <c r="AJ311" s="543"/>
      <c r="AK311" s="543"/>
      <c r="AL311" s="543"/>
      <c r="AM311" s="543"/>
      <c r="AN311" s="543"/>
      <c r="AO311" s="543"/>
      <c r="AP311" s="543"/>
      <c r="AQ311" s="543"/>
      <c r="AR311" s="543"/>
      <c r="AS311" s="543"/>
      <c r="AT311" s="543"/>
      <c r="AU311" s="543"/>
      <c r="AV311" s="543"/>
      <c r="AW311" s="543"/>
      <c r="AX311" s="543"/>
      <c r="AY311" s="543"/>
      <c r="AZ311" s="543"/>
      <c r="BA311" s="543"/>
      <c r="BB311" s="543"/>
      <c r="BC311" s="543"/>
      <c r="BD311" s="543"/>
      <c r="BE311" s="543"/>
      <c r="BF311" s="543"/>
      <c r="BG311" s="543"/>
      <c r="BH311" s="543"/>
      <c r="BI311" s="543"/>
      <c r="BJ311" s="543"/>
      <c r="BK311" s="543"/>
      <c r="BL311" s="543"/>
      <c r="BM311" s="543"/>
      <c r="BN311" s="543"/>
      <c r="BO311" s="543"/>
      <c r="BP311" s="543"/>
      <c r="BQ311" s="543"/>
      <c r="BR311" s="543"/>
      <c r="BS311" s="543"/>
      <c r="BT311" s="543"/>
      <c r="BU311" s="543"/>
      <c r="BV311" s="543"/>
      <c r="BW311" s="543"/>
      <c r="BX311" s="543"/>
      <c r="BY311" s="543"/>
      <c r="BZ311" s="543"/>
      <c r="CA311" s="543"/>
      <c r="CB311" s="543"/>
      <c r="CC311" s="543"/>
      <c r="CD311" s="544"/>
      <c r="CE311" s="543"/>
      <c r="CF311" s="543"/>
      <c r="CG311" s="543"/>
      <c r="CH311" s="543"/>
      <c r="CI311" s="544"/>
      <c r="CJ311" s="543"/>
      <c r="CK311" s="543"/>
      <c r="CL311" s="543"/>
      <c r="CM311" s="543"/>
      <c r="CN311" s="545"/>
      <c r="CO311" s="543"/>
      <c r="CP311" s="543"/>
      <c r="CQ311" s="543"/>
      <c r="CR311" s="543"/>
      <c r="CS311" s="545"/>
      <c r="CT311" s="543"/>
      <c r="CU311" s="543"/>
      <c r="CV311" s="543"/>
      <c r="CW311" s="543"/>
      <c r="CX311" s="543"/>
      <c r="CY311" s="543"/>
      <c r="CZ311" s="545"/>
      <c r="DA311" s="543"/>
      <c r="DB311" s="543"/>
      <c r="DC311" s="543"/>
      <c r="DD311" s="543"/>
      <c r="DE311" s="543"/>
      <c r="DF311" s="543"/>
      <c r="DG311" s="543"/>
      <c r="DH311" s="543"/>
      <c r="DI311" s="543"/>
      <c r="DJ311" s="546"/>
      <c r="DK311" s="543"/>
      <c r="DL311" s="543"/>
      <c r="DM311" s="556"/>
      <c r="DN311" s="543"/>
      <c r="DO311" s="543"/>
      <c r="DP311" s="543"/>
      <c r="DT311" s="546"/>
      <c r="DU311" s="19"/>
      <c r="DV311" s="19"/>
      <c r="DW311" s="19"/>
      <c r="DX311" s="19"/>
      <c r="DY311" s="19"/>
      <c r="DZ311" s="19"/>
      <c r="ED311" s="542"/>
      <c r="EE311" s="542"/>
      <c r="EF311" s="542"/>
      <c r="EG311" s="542"/>
      <c r="EH311" s="542"/>
      <c r="EI311" s="542"/>
      <c r="EJ311" s="542"/>
      <c r="EK311" s="542"/>
      <c r="EL311" s="542"/>
      <c r="EM311" s="19"/>
      <c r="EN311" s="569"/>
      <c r="EO311" s="93"/>
      <c r="EP311" s="93"/>
      <c r="EQ311" s="93"/>
      <c r="ES311" s="569">
        <v>546</v>
      </c>
      <c r="ET311" t="s">
        <v>1479</v>
      </c>
      <c r="EU311" t="s">
        <v>1067</v>
      </c>
      <c r="EV311" t="s">
        <v>3106</v>
      </c>
      <c r="EW311" t="s">
        <v>54</v>
      </c>
      <c r="EX311" s="600">
        <v>55441</v>
      </c>
      <c r="EY311">
        <v>1831110865</v>
      </c>
    </row>
    <row r="312" spans="1:155" x14ac:dyDescent="0.2">
      <c r="A312" s="542"/>
      <c r="B312" s="543"/>
      <c r="C312" s="543"/>
      <c r="D312" s="543"/>
      <c r="E312" s="543"/>
      <c r="F312" s="543"/>
      <c r="G312" s="543"/>
      <c r="H312" s="543"/>
      <c r="I312" s="543"/>
      <c r="J312" s="543"/>
      <c r="K312" s="543"/>
      <c r="L312" s="543"/>
      <c r="M312" s="543"/>
      <c r="N312" s="543"/>
      <c r="O312" s="543"/>
      <c r="P312" s="543"/>
      <c r="Q312" s="543"/>
      <c r="R312" s="543"/>
      <c r="S312" s="543"/>
      <c r="T312" s="543"/>
      <c r="U312" s="543"/>
      <c r="V312" s="543"/>
      <c r="W312" s="543"/>
      <c r="X312" s="543"/>
      <c r="Y312" s="543"/>
      <c r="Z312" s="543"/>
      <c r="AA312" s="543"/>
      <c r="AB312" s="543"/>
      <c r="AC312" s="543"/>
      <c r="AD312" s="543"/>
      <c r="AE312" s="543"/>
      <c r="AF312" s="543"/>
      <c r="AG312" s="543"/>
      <c r="AH312" s="543"/>
      <c r="AI312" s="543"/>
      <c r="AJ312" s="543"/>
      <c r="AK312" s="543"/>
      <c r="AL312" s="543"/>
      <c r="AM312" s="543"/>
      <c r="AN312" s="543"/>
      <c r="AO312" s="543"/>
      <c r="AP312" s="543"/>
      <c r="AQ312" s="543"/>
      <c r="AR312" s="543"/>
      <c r="AS312" s="543"/>
      <c r="AT312" s="543"/>
      <c r="AU312" s="543"/>
      <c r="AV312" s="543"/>
      <c r="AW312" s="543"/>
      <c r="AX312" s="543"/>
      <c r="AY312" s="543"/>
      <c r="AZ312" s="543"/>
      <c r="BA312" s="543"/>
      <c r="BB312" s="543"/>
      <c r="BC312" s="543"/>
      <c r="BD312" s="543"/>
      <c r="BE312" s="543"/>
      <c r="BF312" s="543"/>
      <c r="BG312" s="543"/>
      <c r="BH312" s="543"/>
      <c r="BI312" s="543"/>
      <c r="BJ312" s="543"/>
      <c r="BK312" s="543"/>
      <c r="BL312" s="543"/>
      <c r="BM312" s="543"/>
      <c r="BN312" s="543"/>
      <c r="BO312" s="543"/>
      <c r="BP312" s="543"/>
      <c r="BQ312" s="543"/>
      <c r="BR312" s="543"/>
      <c r="BS312" s="543"/>
      <c r="BT312" s="543"/>
      <c r="BU312" s="543"/>
      <c r="BV312" s="543"/>
      <c r="BW312" s="543"/>
      <c r="BX312" s="543"/>
      <c r="BY312" s="543"/>
      <c r="BZ312" s="543"/>
      <c r="CA312" s="543"/>
      <c r="CB312" s="543"/>
      <c r="CC312" s="543"/>
      <c r="CD312" s="544"/>
      <c r="CE312" s="543"/>
      <c r="CF312" s="543"/>
      <c r="CG312" s="543"/>
      <c r="CH312" s="543"/>
      <c r="CI312" s="544"/>
      <c r="CJ312" s="543"/>
      <c r="CK312" s="543"/>
      <c r="CL312" s="543"/>
      <c r="CM312" s="543"/>
      <c r="CN312" s="545"/>
      <c r="CO312" s="543"/>
      <c r="CP312" s="543"/>
      <c r="CQ312" s="543"/>
      <c r="CR312" s="543"/>
      <c r="CS312" s="545"/>
      <c r="CT312" s="543"/>
      <c r="CU312" s="545"/>
      <c r="CV312" s="543"/>
      <c r="CW312" s="543"/>
      <c r="CX312" s="543"/>
      <c r="CY312" s="543"/>
      <c r="CZ312" s="543"/>
      <c r="DA312" s="543"/>
      <c r="DB312" s="545"/>
      <c r="DC312" s="543"/>
      <c r="DD312" s="543"/>
      <c r="DE312" s="543"/>
      <c r="DF312" s="543"/>
      <c r="DG312" s="543"/>
      <c r="DH312" s="545"/>
      <c r="DI312" s="543"/>
      <c r="DJ312" s="546"/>
      <c r="DK312" s="543"/>
      <c r="DL312" s="543"/>
      <c r="DM312" s="543"/>
      <c r="DN312" s="543"/>
      <c r="DO312" s="543"/>
      <c r="DP312" s="543"/>
      <c r="DT312" s="546"/>
      <c r="DU312" s="19"/>
      <c r="DV312" s="19"/>
      <c r="DW312" s="547"/>
      <c r="DX312" s="19"/>
      <c r="DY312" s="19"/>
      <c r="DZ312" s="19"/>
      <c r="ED312" s="542"/>
      <c r="EE312" s="542"/>
      <c r="EF312" s="542"/>
      <c r="EG312" s="542"/>
      <c r="EH312" s="542"/>
      <c r="EI312" s="542"/>
      <c r="EJ312" s="542"/>
      <c r="EK312" s="542"/>
      <c r="EL312" s="542"/>
      <c r="EM312" s="19"/>
      <c r="EN312" s="569"/>
      <c r="EO312" s="93"/>
      <c r="EP312" s="93"/>
      <c r="EQ312" s="93"/>
      <c r="ES312" s="569">
        <v>854</v>
      </c>
      <c r="ET312" t="s">
        <v>934</v>
      </c>
      <c r="EU312" t="s">
        <v>935</v>
      </c>
      <c r="EV312" t="s">
        <v>3107</v>
      </c>
      <c r="EW312" t="s">
        <v>54</v>
      </c>
      <c r="EX312" s="600">
        <v>55371</v>
      </c>
      <c r="EY312"/>
    </row>
    <row r="313" spans="1:155" x14ac:dyDescent="0.2">
      <c r="A313" s="542"/>
      <c r="B313" s="543"/>
      <c r="C313" s="543"/>
      <c r="D313" s="543"/>
      <c r="E313" s="543"/>
      <c r="F313" s="543"/>
      <c r="G313" s="543"/>
      <c r="H313" s="543"/>
      <c r="I313" s="543"/>
      <c r="J313" s="543"/>
      <c r="K313" s="543"/>
      <c r="L313" s="543"/>
      <c r="M313" s="543"/>
      <c r="N313" s="543"/>
      <c r="O313" s="543"/>
      <c r="P313" s="543"/>
      <c r="Q313" s="543"/>
      <c r="R313" s="543"/>
      <c r="S313" s="543"/>
      <c r="T313" s="543"/>
      <c r="U313" s="543"/>
      <c r="V313" s="543"/>
      <c r="W313" s="543"/>
      <c r="X313" s="543"/>
      <c r="Y313" s="543"/>
      <c r="Z313" s="543"/>
      <c r="AA313" s="543"/>
      <c r="AB313" s="543"/>
      <c r="AC313" s="543"/>
      <c r="AD313" s="543"/>
      <c r="AE313" s="543"/>
      <c r="AF313" s="543"/>
      <c r="AG313" s="543"/>
      <c r="AH313" s="543"/>
      <c r="AI313" s="543"/>
      <c r="AJ313" s="543"/>
      <c r="AK313" s="543"/>
      <c r="AL313" s="543"/>
      <c r="AM313" s="543"/>
      <c r="AN313" s="543"/>
      <c r="AO313" s="543"/>
      <c r="AP313" s="543"/>
      <c r="AQ313" s="543"/>
      <c r="AR313" s="543"/>
      <c r="AS313" s="543"/>
      <c r="AT313" s="543"/>
      <c r="AU313" s="543"/>
      <c r="AV313" s="543"/>
      <c r="AW313" s="543"/>
      <c r="AX313" s="543"/>
      <c r="AY313" s="543"/>
      <c r="AZ313" s="543"/>
      <c r="BA313" s="543"/>
      <c r="BB313" s="543"/>
      <c r="BC313" s="543"/>
      <c r="BD313" s="543"/>
      <c r="BE313" s="543"/>
      <c r="BF313" s="543"/>
      <c r="BG313" s="543"/>
      <c r="BH313" s="543"/>
      <c r="BI313" s="543"/>
      <c r="BJ313" s="543"/>
      <c r="BK313" s="543"/>
      <c r="BL313" s="543"/>
      <c r="BM313" s="543"/>
      <c r="BN313" s="543"/>
      <c r="BO313" s="543"/>
      <c r="BP313" s="543"/>
      <c r="BQ313" s="543"/>
      <c r="BR313" s="543"/>
      <c r="BS313" s="543"/>
      <c r="BT313" s="543"/>
      <c r="BU313" s="543"/>
      <c r="BV313" s="543"/>
      <c r="BW313" s="543"/>
      <c r="BX313" s="543"/>
      <c r="BY313" s="543"/>
      <c r="BZ313" s="543"/>
      <c r="CA313" s="543"/>
      <c r="CB313" s="543"/>
      <c r="CC313" s="543"/>
      <c r="CD313" s="544"/>
      <c r="CE313" s="543"/>
      <c r="CF313" s="543"/>
      <c r="CG313" s="543"/>
      <c r="CH313" s="543"/>
      <c r="CI313" s="544"/>
      <c r="CJ313" s="543"/>
      <c r="CK313" s="543"/>
      <c r="CL313" s="543"/>
      <c r="CM313" s="543"/>
      <c r="CN313" s="545"/>
      <c r="CO313" s="543"/>
      <c r="CP313" s="543"/>
      <c r="CQ313" s="543"/>
      <c r="CR313" s="543"/>
      <c r="CS313" s="545"/>
      <c r="CT313" s="543"/>
      <c r="CU313" s="545"/>
      <c r="CV313" s="543"/>
      <c r="CW313" s="543"/>
      <c r="CX313" s="543"/>
      <c r="CY313" s="543"/>
      <c r="CZ313" s="545"/>
      <c r="DA313" s="543"/>
      <c r="DB313" s="543"/>
      <c r="DC313" s="543"/>
      <c r="DD313" s="545"/>
      <c r="DE313" s="543"/>
      <c r="DF313" s="543"/>
      <c r="DG313" s="543"/>
      <c r="DH313" s="543"/>
      <c r="DI313" s="543"/>
      <c r="DJ313" s="546"/>
      <c r="DK313" s="543"/>
      <c r="DL313" s="543"/>
      <c r="DM313" s="543"/>
      <c r="DN313" s="543"/>
      <c r="DO313" s="543"/>
      <c r="DP313" s="543"/>
      <c r="DT313" s="546"/>
      <c r="DU313" s="19"/>
      <c r="DV313" s="19"/>
      <c r="DW313" s="19"/>
      <c r="DX313" s="19"/>
      <c r="DY313" s="19"/>
      <c r="DZ313" s="19"/>
      <c r="ED313" s="542"/>
      <c r="EE313" s="542"/>
      <c r="EF313" s="542"/>
      <c r="EG313" s="542"/>
      <c r="EH313" s="542"/>
      <c r="EI313" s="542"/>
      <c r="EJ313" s="542"/>
      <c r="EK313" s="542"/>
      <c r="EL313" s="542"/>
      <c r="EM313" s="19"/>
      <c r="EN313" s="569"/>
      <c r="EO313" s="93"/>
      <c r="EP313" s="93"/>
      <c r="EQ313" s="93"/>
      <c r="ES313" s="569">
        <v>41</v>
      </c>
      <c r="ET313" t="s">
        <v>1903</v>
      </c>
      <c r="EU313" t="s">
        <v>935</v>
      </c>
      <c r="EV313" t="s">
        <v>936</v>
      </c>
      <c r="EW313" t="s">
        <v>54</v>
      </c>
      <c r="EX313" s="599">
        <v>55371</v>
      </c>
      <c r="EY313">
        <v>1922085299</v>
      </c>
    </row>
    <row r="314" spans="1:155" x14ac:dyDescent="0.2">
      <c r="A314" s="542"/>
      <c r="B314" s="543"/>
      <c r="C314" s="543"/>
      <c r="D314" s="543"/>
      <c r="E314" s="543"/>
      <c r="F314" s="543"/>
      <c r="G314" s="543"/>
      <c r="H314" s="543"/>
      <c r="I314" s="543"/>
      <c r="J314" s="543"/>
      <c r="K314" s="543"/>
      <c r="L314" s="543"/>
      <c r="M314" s="543"/>
      <c r="N314" s="543"/>
      <c r="O314" s="543"/>
      <c r="P314" s="543"/>
      <c r="Q314" s="543"/>
      <c r="R314" s="543"/>
      <c r="S314" s="543"/>
      <c r="T314" s="543"/>
      <c r="U314" s="543"/>
      <c r="V314" s="543"/>
      <c r="W314" s="543"/>
      <c r="X314" s="543"/>
      <c r="Y314" s="543"/>
      <c r="Z314" s="543"/>
      <c r="AA314" s="543"/>
      <c r="AB314" s="543"/>
      <c r="AC314" s="543"/>
      <c r="AD314" s="543"/>
      <c r="AE314" s="543"/>
      <c r="AF314" s="543"/>
      <c r="AG314" s="543"/>
      <c r="AH314" s="543"/>
      <c r="AI314" s="543"/>
      <c r="AJ314" s="543"/>
      <c r="AK314" s="543"/>
      <c r="AL314" s="543"/>
      <c r="AM314" s="543"/>
      <c r="AN314" s="543"/>
      <c r="AO314" s="543"/>
      <c r="AP314" s="543"/>
      <c r="AQ314" s="543"/>
      <c r="AR314" s="543"/>
      <c r="AS314" s="543"/>
      <c r="AT314" s="543"/>
      <c r="AU314" s="543"/>
      <c r="AV314" s="543"/>
      <c r="AW314" s="543"/>
      <c r="AX314" s="543"/>
      <c r="AY314" s="543"/>
      <c r="AZ314" s="543"/>
      <c r="BA314" s="543"/>
      <c r="BB314" s="543"/>
      <c r="BC314" s="543"/>
      <c r="BD314" s="543"/>
      <c r="BE314" s="543"/>
      <c r="BF314" s="543"/>
      <c r="BG314" s="543"/>
      <c r="BH314" s="543"/>
      <c r="BI314" s="543"/>
      <c r="BJ314" s="543"/>
      <c r="BK314" s="543"/>
      <c r="BL314" s="543"/>
      <c r="BM314" s="543"/>
      <c r="BN314" s="543"/>
      <c r="BO314" s="543"/>
      <c r="BP314" s="543"/>
      <c r="BQ314" s="543"/>
      <c r="BR314" s="543"/>
      <c r="BS314" s="543"/>
      <c r="BT314" s="543"/>
      <c r="BU314" s="543"/>
      <c r="BV314" s="543"/>
      <c r="BW314" s="543"/>
      <c r="BX314" s="543"/>
      <c r="BY314" s="543"/>
      <c r="BZ314" s="543"/>
      <c r="CA314" s="543"/>
      <c r="CB314" s="543"/>
      <c r="CC314" s="543"/>
      <c r="CD314" s="544"/>
      <c r="CE314" s="543"/>
      <c r="CF314" s="543"/>
      <c r="CG314" s="543"/>
      <c r="CH314" s="543"/>
      <c r="CI314" s="544"/>
      <c r="CJ314" s="543"/>
      <c r="CK314" s="543"/>
      <c r="CL314" s="543"/>
      <c r="CM314" s="543"/>
      <c r="CN314" s="545"/>
      <c r="CO314" s="543"/>
      <c r="CP314" s="543"/>
      <c r="CQ314" s="543"/>
      <c r="CR314" s="543"/>
      <c r="CS314" s="545"/>
      <c r="CT314" s="543"/>
      <c r="CU314" s="543"/>
      <c r="CV314" s="543"/>
      <c r="CW314" s="543"/>
      <c r="CX314" s="543"/>
      <c r="CY314" s="543"/>
      <c r="CZ314" s="543"/>
      <c r="DA314" s="543"/>
      <c r="DB314" s="543"/>
      <c r="DC314" s="543"/>
      <c r="DD314" s="545"/>
      <c r="DE314" s="543"/>
      <c r="DF314" s="543"/>
      <c r="DG314" s="543"/>
      <c r="DH314" s="543"/>
      <c r="DI314" s="543"/>
      <c r="DJ314" s="546"/>
      <c r="DK314" s="543"/>
      <c r="DL314" s="543"/>
      <c r="DM314" s="543"/>
      <c r="DN314" s="543"/>
      <c r="DO314" s="543"/>
      <c r="DP314" s="543"/>
      <c r="DT314" s="546"/>
      <c r="DU314" s="19"/>
      <c r="DV314" s="19"/>
      <c r="DW314" s="19"/>
      <c r="DX314" s="19"/>
      <c r="DY314" s="19"/>
      <c r="DZ314" s="19"/>
      <c r="ED314" s="542"/>
      <c r="EE314" s="542"/>
      <c r="EF314" s="542"/>
      <c r="EG314" s="542"/>
      <c r="EH314" s="542"/>
      <c r="EI314" s="542"/>
      <c r="EJ314" s="542"/>
      <c r="EK314" s="542"/>
      <c r="EL314" s="542"/>
      <c r="EM314" s="19"/>
      <c r="EN314" s="569"/>
      <c r="EO314" s="93"/>
      <c r="EP314" s="93"/>
      <c r="EQ314" s="93"/>
      <c r="ES314" s="569">
        <v>213</v>
      </c>
      <c r="ET314" t="s">
        <v>1904</v>
      </c>
      <c r="EU314" t="s">
        <v>1905</v>
      </c>
      <c r="EV314" t="s">
        <v>2327</v>
      </c>
      <c r="EW314" t="s">
        <v>54</v>
      </c>
      <c r="EX314" s="599">
        <v>56671</v>
      </c>
      <c r="EY314">
        <v>1508809765</v>
      </c>
    </row>
    <row r="315" spans="1:155" x14ac:dyDescent="0.2">
      <c r="A315" s="542"/>
      <c r="B315" s="19"/>
      <c r="C315" s="19"/>
      <c r="D315" s="19"/>
      <c r="E315" s="547"/>
      <c r="F315" s="547"/>
      <c r="G315" s="547"/>
      <c r="H315" s="547"/>
      <c r="I315" s="547"/>
      <c r="J315" s="547"/>
      <c r="K315" s="547"/>
      <c r="L315" s="547"/>
      <c r="M315" s="547"/>
      <c r="N315" s="547"/>
      <c r="O315" s="547"/>
      <c r="P315" s="548"/>
      <c r="Q315" s="548"/>
      <c r="R315" s="547"/>
      <c r="S315" s="547"/>
      <c r="T315" s="547"/>
      <c r="U315" s="547"/>
      <c r="V315" s="547"/>
      <c r="W315" s="547"/>
      <c r="X315" s="547"/>
      <c r="Y315" s="547"/>
      <c r="Z315" s="548"/>
      <c r="AA315" s="547"/>
      <c r="AB315" s="548"/>
      <c r="AC315" s="547"/>
      <c r="AD315" s="547"/>
      <c r="AE315" s="547"/>
      <c r="AF315" s="547"/>
      <c r="AG315" s="547"/>
      <c r="AH315" s="547"/>
      <c r="AI315" s="547"/>
      <c r="AJ315" s="547"/>
      <c r="AK315" s="547"/>
      <c r="AL315" s="547"/>
      <c r="AM315" s="547"/>
      <c r="AN315" s="548"/>
      <c r="AO315" s="547"/>
      <c r="AP315" s="548"/>
      <c r="AQ315" s="547"/>
      <c r="AR315" s="547"/>
      <c r="AS315" s="547"/>
      <c r="AT315" s="547"/>
      <c r="AU315" s="547"/>
      <c r="AV315" s="547"/>
      <c r="AW315" s="547"/>
      <c r="AX315" s="547"/>
      <c r="AY315" s="547"/>
      <c r="AZ315" s="547"/>
      <c r="BA315" s="547"/>
      <c r="BB315" s="548"/>
      <c r="BC315" s="547"/>
      <c r="BD315" s="548"/>
      <c r="BE315" s="547"/>
      <c r="BF315" s="547"/>
      <c r="BG315" s="547"/>
      <c r="BH315" s="547"/>
      <c r="BI315" s="547"/>
      <c r="BJ315" s="547"/>
      <c r="BK315" s="547"/>
      <c r="BL315" s="547"/>
      <c r="BM315" s="547"/>
      <c r="BN315" s="547"/>
      <c r="BO315" s="547"/>
      <c r="BP315" s="547"/>
      <c r="BQ315" s="547"/>
      <c r="BR315" s="548"/>
      <c r="BS315" s="547"/>
      <c r="BT315" s="547"/>
      <c r="BU315" s="547"/>
      <c r="BV315" s="547"/>
      <c r="BW315" s="547"/>
      <c r="BX315" s="547"/>
      <c r="BY315" s="547"/>
      <c r="BZ315" s="547"/>
      <c r="CA315" s="547"/>
      <c r="CB315" s="547"/>
      <c r="CC315" s="547"/>
      <c r="CD315" s="547"/>
      <c r="CE315" s="547"/>
      <c r="CF315" s="550"/>
      <c r="CG315" s="547"/>
      <c r="CH315" s="547"/>
      <c r="CI315" s="547"/>
      <c r="CJ315" s="549"/>
      <c r="CK315" s="547"/>
      <c r="CL315" s="547"/>
      <c r="CM315" s="547"/>
      <c r="CN315" s="547"/>
      <c r="CO315" s="547"/>
      <c r="CP315" s="19"/>
      <c r="CQ315" s="19"/>
      <c r="CR315" s="19"/>
      <c r="CS315" s="551"/>
      <c r="CT315" s="19"/>
      <c r="CU315" s="19"/>
      <c r="DD315" s="552"/>
      <c r="ED315" s="542"/>
      <c r="EE315" s="542"/>
      <c r="EF315" s="542"/>
      <c r="EG315" s="542"/>
      <c r="EH315" s="542"/>
      <c r="EI315" s="542"/>
      <c r="EJ315" s="542"/>
      <c r="EK315" s="542"/>
      <c r="EL315" s="542"/>
      <c r="EM315" s="19"/>
      <c r="EN315" s="569"/>
      <c r="EO315" s="93"/>
      <c r="EP315" s="93"/>
      <c r="EQ315" s="93"/>
      <c r="ES315" s="569">
        <v>138</v>
      </c>
      <c r="ET315" t="s">
        <v>1906</v>
      </c>
      <c r="EU315" t="s">
        <v>973</v>
      </c>
      <c r="EV315" t="s">
        <v>2328</v>
      </c>
      <c r="EW315" t="s">
        <v>54</v>
      </c>
      <c r="EX315" s="599">
        <v>55066</v>
      </c>
      <c r="EY315">
        <v>1164400024</v>
      </c>
    </row>
    <row r="316" spans="1:155" x14ac:dyDescent="0.2">
      <c r="A316" s="542"/>
      <c r="B316" s="543"/>
      <c r="C316" s="543"/>
      <c r="D316" s="543"/>
      <c r="E316" s="543"/>
      <c r="F316" s="543"/>
      <c r="G316" s="543"/>
      <c r="H316" s="543"/>
      <c r="I316" s="543"/>
      <c r="J316" s="543"/>
      <c r="K316" s="543"/>
      <c r="L316" s="543"/>
      <c r="M316" s="543"/>
      <c r="N316" s="543"/>
      <c r="O316" s="543"/>
      <c r="P316" s="543"/>
      <c r="Q316" s="543"/>
      <c r="R316" s="543"/>
      <c r="S316" s="543"/>
      <c r="T316" s="543"/>
      <c r="U316" s="543"/>
      <c r="V316" s="543"/>
      <c r="W316" s="543"/>
      <c r="X316" s="543"/>
      <c r="Y316" s="543"/>
      <c r="Z316" s="543"/>
      <c r="AA316" s="543"/>
      <c r="AB316" s="543"/>
      <c r="AC316" s="543"/>
      <c r="AD316" s="543"/>
      <c r="AE316" s="543"/>
      <c r="AF316" s="543"/>
      <c r="AG316" s="543"/>
      <c r="AH316" s="543"/>
      <c r="AI316" s="543"/>
      <c r="AJ316" s="543"/>
      <c r="AK316" s="543"/>
      <c r="AL316" s="543"/>
      <c r="AM316" s="543"/>
      <c r="AN316" s="543"/>
      <c r="AO316" s="543"/>
      <c r="AP316" s="543"/>
      <c r="AQ316" s="543"/>
      <c r="AR316" s="543"/>
      <c r="AS316" s="543"/>
      <c r="AT316" s="543"/>
      <c r="AU316" s="543"/>
      <c r="AV316" s="543"/>
      <c r="AW316" s="543"/>
      <c r="AX316" s="543"/>
      <c r="AY316" s="543"/>
      <c r="AZ316" s="543"/>
      <c r="BA316" s="543"/>
      <c r="BB316" s="543"/>
      <c r="BC316" s="543"/>
      <c r="BD316" s="543"/>
      <c r="BE316" s="543"/>
      <c r="BF316" s="543"/>
      <c r="BG316" s="543"/>
      <c r="BH316" s="543"/>
      <c r="BI316" s="543"/>
      <c r="BJ316" s="543"/>
      <c r="BK316" s="543"/>
      <c r="BL316" s="543"/>
      <c r="BM316" s="543"/>
      <c r="BN316" s="543"/>
      <c r="BO316" s="543"/>
      <c r="BP316" s="543"/>
      <c r="BQ316" s="543"/>
      <c r="BR316" s="543"/>
      <c r="BS316" s="543"/>
      <c r="BT316" s="543"/>
      <c r="BU316" s="543"/>
      <c r="BV316" s="543"/>
      <c r="BW316" s="543"/>
      <c r="BX316" s="543"/>
      <c r="BY316" s="543"/>
      <c r="BZ316" s="543"/>
      <c r="CA316" s="543"/>
      <c r="CB316" s="543"/>
      <c r="CC316" s="543"/>
      <c r="CD316" s="544"/>
      <c r="CE316" s="543"/>
      <c r="CF316" s="543"/>
      <c r="CG316" s="543"/>
      <c r="CH316" s="543"/>
      <c r="CI316" s="544"/>
      <c r="CJ316" s="543"/>
      <c r="CK316" s="543"/>
      <c r="CL316" s="543"/>
      <c r="CM316" s="543"/>
      <c r="CN316" s="545"/>
      <c r="CO316" s="543"/>
      <c r="CP316" s="545"/>
      <c r="CQ316" s="543"/>
      <c r="CR316" s="543"/>
      <c r="CS316" s="545"/>
      <c r="CT316" s="543"/>
      <c r="CU316" s="543"/>
      <c r="CV316" s="543"/>
      <c r="CW316" s="543"/>
      <c r="CX316" s="543"/>
      <c r="CY316" s="543"/>
      <c r="CZ316" s="545"/>
      <c r="DA316" s="543"/>
      <c r="DB316" s="543"/>
      <c r="DC316" s="543"/>
      <c r="DD316" s="545"/>
      <c r="DE316" s="543"/>
      <c r="DF316" s="543"/>
      <c r="DG316" s="543"/>
      <c r="DH316" s="543"/>
      <c r="DI316" s="543"/>
      <c r="DJ316" s="546"/>
      <c r="DK316" s="543"/>
      <c r="DL316" s="543"/>
      <c r="DM316" s="543"/>
      <c r="DN316" s="543"/>
      <c r="DO316" s="543"/>
      <c r="DP316" s="543"/>
      <c r="DT316" s="546"/>
      <c r="DU316" s="19"/>
      <c r="DV316" s="19"/>
      <c r="DW316" s="19"/>
      <c r="DX316" s="19"/>
      <c r="DY316" s="19"/>
      <c r="DZ316" s="19"/>
      <c r="ED316" s="542"/>
      <c r="EE316" s="542"/>
      <c r="EF316" s="542"/>
      <c r="EG316" s="542"/>
      <c r="EH316" s="542"/>
      <c r="EI316" s="542"/>
      <c r="EJ316" s="542"/>
      <c r="EK316" s="542"/>
      <c r="EL316" s="542"/>
      <c r="EM316" s="19"/>
      <c r="EN316" s="569"/>
      <c r="EO316" s="93"/>
      <c r="EP316" s="93"/>
      <c r="EQ316" s="93"/>
      <c r="ES316" s="569">
        <v>855</v>
      </c>
      <c r="ET316" t="s">
        <v>996</v>
      </c>
      <c r="EU316" t="s">
        <v>997</v>
      </c>
      <c r="EV316" t="s">
        <v>3108</v>
      </c>
      <c r="EW316" t="s">
        <v>54</v>
      </c>
      <c r="EX316" s="600">
        <v>56283</v>
      </c>
      <c r="EY316"/>
    </row>
    <row r="317" spans="1:155" x14ac:dyDescent="0.2">
      <c r="A317" s="542"/>
      <c r="B317" s="543"/>
      <c r="C317" s="543"/>
      <c r="D317" s="543"/>
      <c r="E317" s="543"/>
      <c r="F317" s="543"/>
      <c r="G317" s="543"/>
      <c r="H317" s="543"/>
      <c r="I317" s="543"/>
      <c r="J317" s="543"/>
      <c r="K317" s="543"/>
      <c r="L317" s="543"/>
      <c r="M317" s="543"/>
      <c r="N317" s="543"/>
      <c r="O317" s="543"/>
      <c r="P317" s="543"/>
      <c r="Q317" s="543"/>
      <c r="R317" s="543"/>
      <c r="S317" s="543"/>
      <c r="T317" s="543"/>
      <c r="U317" s="543"/>
      <c r="V317" s="543"/>
      <c r="W317" s="543"/>
      <c r="X317" s="543"/>
      <c r="Y317" s="543"/>
      <c r="Z317" s="543"/>
      <c r="AA317" s="543"/>
      <c r="AB317" s="543"/>
      <c r="AC317" s="543"/>
      <c r="AD317" s="543"/>
      <c r="AE317" s="543"/>
      <c r="AF317" s="543"/>
      <c r="AG317" s="543"/>
      <c r="AH317" s="543"/>
      <c r="AI317" s="543"/>
      <c r="AJ317" s="543"/>
      <c r="AK317" s="543"/>
      <c r="AL317" s="543"/>
      <c r="AM317" s="543"/>
      <c r="AN317" s="543"/>
      <c r="AO317" s="543"/>
      <c r="AP317" s="543"/>
      <c r="AQ317" s="543"/>
      <c r="AR317" s="543"/>
      <c r="AS317" s="543"/>
      <c r="AT317" s="543"/>
      <c r="AU317" s="543"/>
      <c r="AV317" s="543"/>
      <c r="AW317" s="543"/>
      <c r="AX317" s="543"/>
      <c r="AY317" s="543"/>
      <c r="AZ317" s="543"/>
      <c r="BA317" s="543"/>
      <c r="BB317" s="543"/>
      <c r="BC317" s="543"/>
      <c r="BD317" s="543"/>
      <c r="BE317" s="543"/>
      <c r="BF317" s="543"/>
      <c r="BG317" s="543"/>
      <c r="BH317" s="543"/>
      <c r="BI317" s="543"/>
      <c r="BJ317" s="543"/>
      <c r="BK317" s="543"/>
      <c r="BL317" s="543"/>
      <c r="BM317" s="543"/>
      <c r="BN317" s="543"/>
      <c r="BO317" s="543"/>
      <c r="BP317" s="543"/>
      <c r="BQ317" s="543"/>
      <c r="BR317" s="543"/>
      <c r="BS317" s="543"/>
      <c r="BT317" s="543"/>
      <c r="BU317" s="543"/>
      <c r="BV317" s="543"/>
      <c r="BW317" s="543"/>
      <c r="BX317" s="543"/>
      <c r="BY317" s="543"/>
      <c r="BZ317" s="543"/>
      <c r="CA317" s="543"/>
      <c r="CB317" s="543"/>
      <c r="CC317" s="543"/>
      <c r="CD317" s="544"/>
      <c r="CE317" s="543"/>
      <c r="CF317" s="543"/>
      <c r="CG317" s="543"/>
      <c r="CH317" s="543"/>
      <c r="CI317" s="544"/>
      <c r="CJ317" s="543"/>
      <c r="CK317" s="543"/>
      <c r="CL317" s="543"/>
      <c r="CM317" s="543"/>
      <c r="CN317" s="545"/>
      <c r="CO317" s="543"/>
      <c r="CP317" s="545"/>
      <c r="CQ317" s="543"/>
      <c r="CR317" s="543"/>
      <c r="CS317" s="545"/>
      <c r="CT317" s="543"/>
      <c r="CU317" s="543"/>
      <c r="CV317" s="543"/>
      <c r="CW317" s="543"/>
      <c r="CX317" s="543"/>
      <c r="CY317" s="543"/>
      <c r="CZ317" s="543"/>
      <c r="DA317" s="543"/>
      <c r="DB317" s="543"/>
      <c r="DC317" s="543"/>
      <c r="DD317" s="545"/>
      <c r="DE317" s="543"/>
      <c r="DF317" s="543"/>
      <c r="DG317" s="543"/>
      <c r="DH317" s="543"/>
      <c r="DI317" s="543"/>
      <c r="DJ317" s="546"/>
      <c r="DK317" s="543"/>
      <c r="DL317" s="543"/>
      <c r="DM317" s="543"/>
      <c r="DN317" s="543"/>
      <c r="DO317" s="543"/>
      <c r="DP317" s="543"/>
      <c r="DT317" s="546"/>
      <c r="DU317" s="19"/>
      <c r="DV317" s="19"/>
      <c r="DW317" s="19"/>
      <c r="DX317" s="19"/>
      <c r="DY317" s="19"/>
      <c r="DZ317" s="19"/>
      <c r="ED317" s="542"/>
      <c r="EE317" s="542"/>
      <c r="EF317" s="542"/>
      <c r="EG317" s="542"/>
      <c r="EH317" s="542"/>
      <c r="EI317" s="542"/>
      <c r="EJ317" s="542"/>
      <c r="EK317" s="542"/>
      <c r="EL317" s="542"/>
      <c r="EM317" s="19"/>
      <c r="EN317" s="569"/>
      <c r="EO317" s="93"/>
      <c r="EP317" s="93"/>
      <c r="EQ317" s="93"/>
      <c r="ES317" s="569">
        <v>98</v>
      </c>
      <c r="ET317" t="s">
        <v>1907</v>
      </c>
      <c r="EU317" t="s">
        <v>997</v>
      </c>
      <c r="EV317" t="s">
        <v>998</v>
      </c>
      <c r="EW317" t="s">
        <v>54</v>
      </c>
      <c r="EX317" s="599">
        <v>56283</v>
      </c>
      <c r="EY317">
        <v>1104818673</v>
      </c>
    </row>
    <row r="318" spans="1:155" x14ac:dyDescent="0.2">
      <c r="A318" s="542"/>
      <c r="B318" s="543"/>
      <c r="C318" s="543"/>
      <c r="D318" s="543"/>
      <c r="E318" s="543"/>
      <c r="F318" s="543"/>
      <c r="G318" s="543"/>
      <c r="H318" s="543"/>
      <c r="I318" s="543"/>
      <c r="J318" s="543"/>
      <c r="K318" s="543"/>
      <c r="L318" s="543"/>
      <c r="M318" s="543"/>
      <c r="N318" s="543"/>
      <c r="O318" s="543"/>
      <c r="P318" s="543"/>
      <c r="Q318" s="543"/>
      <c r="R318" s="543"/>
      <c r="S318" s="543"/>
      <c r="T318" s="543"/>
      <c r="U318" s="543"/>
      <c r="V318" s="543"/>
      <c r="W318" s="543"/>
      <c r="X318" s="543"/>
      <c r="Y318" s="543"/>
      <c r="Z318" s="543"/>
      <c r="AA318" s="543"/>
      <c r="AB318" s="543"/>
      <c r="AC318" s="543"/>
      <c r="AD318" s="543"/>
      <c r="AE318" s="543"/>
      <c r="AF318" s="543"/>
      <c r="AG318" s="543"/>
      <c r="AH318" s="543"/>
      <c r="AI318" s="543"/>
      <c r="AJ318" s="543"/>
      <c r="AK318" s="543"/>
      <c r="AL318" s="543"/>
      <c r="AM318" s="543"/>
      <c r="AN318" s="543"/>
      <c r="AO318" s="543"/>
      <c r="AP318" s="543"/>
      <c r="AQ318" s="543"/>
      <c r="AR318" s="543"/>
      <c r="AS318" s="543"/>
      <c r="AT318" s="543"/>
      <c r="AU318" s="543"/>
      <c r="AV318" s="543"/>
      <c r="AW318" s="543"/>
      <c r="AX318" s="543"/>
      <c r="AY318" s="543"/>
      <c r="AZ318" s="543"/>
      <c r="BA318" s="543"/>
      <c r="BB318" s="543"/>
      <c r="BC318" s="543"/>
      <c r="BD318" s="543"/>
      <c r="BE318" s="543"/>
      <c r="BF318" s="543"/>
      <c r="BG318" s="543"/>
      <c r="BH318" s="543"/>
      <c r="BI318" s="543"/>
      <c r="BJ318" s="543"/>
      <c r="BK318" s="543"/>
      <c r="BL318" s="543"/>
      <c r="BM318" s="543"/>
      <c r="BN318" s="543"/>
      <c r="BO318" s="543"/>
      <c r="BP318" s="543"/>
      <c r="BQ318" s="543"/>
      <c r="BR318" s="543"/>
      <c r="BS318" s="543"/>
      <c r="BT318" s="543"/>
      <c r="BU318" s="543"/>
      <c r="BV318" s="543"/>
      <c r="BW318" s="543"/>
      <c r="BX318" s="543"/>
      <c r="BY318" s="543"/>
      <c r="BZ318" s="543"/>
      <c r="CA318" s="543"/>
      <c r="CB318" s="543"/>
      <c r="CC318" s="543"/>
      <c r="CD318" s="544"/>
      <c r="CE318" s="543"/>
      <c r="CF318" s="543"/>
      <c r="CG318" s="543"/>
      <c r="CH318" s="543"/>
      <c r="CI318" s="544"/>
      <c r="CJ318" s="543"/>
      <c r="CK318" s="543"/>
      <c r="CL318" s="543"/>
      <c r="CM318" s="543"/>
      <c r="CN318" s="543"/>
      <c r="CO318" s="543"/>
      <c r="CP318" s="543"/>
      <c r="CQ318" s="543"/>
      <c r="CR318" s="543"/>
      <c r="CS318" s="545"/>
      <c r="CT318" s="543"/>
      <c r="CU318" s="545"/>
      <c r="CV318" s="543"/>
      <c r="CW318" s="543"/>
      <c r="CX318" s="543"/>
      <c r="CY318" s="543"/>
      <c r="CZ318" s="543"/>
      <c r="DA318" s="543"/>
      <c r="DB318" s="543"/>
      <c r="DC318" s="543"/>
      <c r="DD318" s="543"/>
      <c r="DE318" s="543"/>
      <c r="DF318" s="543"/>
      <c r="DG318" s="543"/>
      <c r="DH318" s="543"/>
      <c r="DI318" s="543"/>
      <c r="DJ318" s="553"/>
      <c r="DK318" s="543"/>
      <c r="DL318" s="543"/>
      <c r="DM318" s="543"/>
      <c r="DN318" s="543"/>
      <c r="DO318" s="543"/>
      <c r="DP318" s="543"/>
      <c r="DT318" s="546"/>
      <c r="DU318" s="19"/>
      <c r="DV318" s="19"/>
      <c r="DW318" s="19"/>
      <c r="DX318" s="19"/>
      <c r="DY318" s="19"/>
      <c r="DZ318" s="19"/>
      <c r="ED318" s="542"/>
      <c r="EE318" s="542"/>
      <c r="EF318" s="542"/>
      <c r="EG318" s="542"/>
      <c r="EH318" s="542"/>
      <c r="EI318" s="542"/>
      <c r="EJ318" s="542"/>
      <c r="EK318" s="542"/>
      <c r="EL318" s="542"/>
      <c r="EM318" s="19"/>
      <c r="EN318" s="569"/>
      <c r="EO318" s="559"/>
      <c r="EP318" s="559"/>
      <c r="EQ318" s="559"/>
      <c r="ES318" s="569">
        <v>1257</v>
      </c>
      <c r="ET318" t="s">
        <v>1620</v>
      </c>
      <c r="EU318" t="s">
        <v>1621</v>
      </c>
      <c r="EV318" t="s">
        <v>3109</v>
      </c>
      <c r="EW318" t="s">
        <v>54</v>
      </c>
      <c r="EX318" s="600">
        <v>55423</v>
      </c>
      <c r="EY318">
        <v>1215480942</v>
      </c>
    </row>
    <row r="319" spans="1:155" x14ac:dyDescent="0.2">
      <c r="A319" s="542"/>
      <c r="B319" s="543"/>
      <c r="C319" s="543"/>
      <c r="D319" s="543"/>
      <c r="E319" s="543"/>
      <c r="F319" s="543"/>
      <c r="G319" s="543"/>
      <c r="H319" s="543"/>
      <c r="I319" s="543"/>
      <c r="J319" s="543"/>
      <c r="K319" s="543"/>
      <c r="L319" s="543"/>
      <c r="M319" s="543"/>
      <c r="N319" s="543"/>
      <c r="O319" s="543"/>
      <c r="P319" s="543"/>
      <c r="Q319" s="543"/>
      <c r="R319" s="543"/>
      <c r="S319" s="543"/>
      <c r="T319" s="543"/>
      <c r="U319" s="543"/>
      <c r="V319" s="543"/>
      <c r="W319" s="543"/>
      <c r="X319" s="543"/>
      <c r="Y319" s="543"/>
      <c r="Z319" s="543"/>
      <c r="AA319" s="543"/>
      <c r="AB319" s="543"/>
      <c r="AC319" s="543"/>
      <c r="AD319" s="543"/>
      <c r="AE319" s="543"/>
      <c r="AF319" s="543"/>
      <c r="AG319" s="543"/>
      <c r="AH319" s="543"/>
      <c r="AI319" s="543"/>
      <c r="AJ319" s="543"/>
      <c r="AK319" s="543"/>
      <c r="AL319" s="543"/>
      <c r="AM319" s="543"/>
      <c r="AN319" s="543"/>
      <c r="AO319" s="543"/>
      <c r="AP319" s="543"/>
      <c r="AQ319" s="543"/>
      <c r="AR319" s="543"/>
      <c r="AS319" s="543"/>
      <c r="AT319" s="543"/>
      <c r="AU319" s="543"/>
      <c r="AV319" s="543"/>
      <c r="AW319" s="543"/>
      <c r="AX319" s="543"/>
      <c r="AY319" s="543"/>
      <c r="AZ319" s="543"/>
      <c r="BA319" s="543"/>
      <c r="BB319" s="543"/>
      <c r="BC319" s="543"/>
      <c r="BD319" s="543"/>
      <c r="BE319" s="543"/>
      <c r="BF319" s="543"/>
      <c r="BG319" s="543"/>
      <c r="BH319" s="543"/>
      <c r="BI319" s="543"/>
      <c r="BJ319" s="543"/>
      <c r="BK319" s="543"/>
      <c r="BL319" s="543"/>
      <c r="BM319" s="543"/>
      <c r="BN319" s="543"/>
      <c r="BO319" s="543"/>
      <c r="BP319" s="543"/>
      <c r="BQ319" s="543"/>
      <c r="BR319" s="543"/>
      <c r="BS319" s="543"/>
      <c r="BT319" s="543"/>
      <c r="BU319" s="543"/>
      <c r="BV319" s="543"/>
      <c r="BW319" s="543"/>
      <c r="BX319" s="543"/>
      <c r="BY319" s="543"/>
      <c r="BZ319" s="543"/>
      <c r="CA319" s="543"/>
      <c r="CB319" s="543"/>
      <c r="CC319" s="543"/>
      <c r="CD319" s="544"/>
      <c r="CE319" s="543"/>
      <c r="CF319" s="543"/>
      <c r="CG319" s="543"/>
      <c r="CH319" s="543"/>
      <c r="CI319" s="544"/>
      <c r="CJ319" s="543"/>
      <c r="CK319" s="543"/>
      <c r="CL319" s="543"/>
      <c r="CM319" s="543"/>
      <c r="CN319" s="545"/>
      <c r="CO319" s="543"/>
      <c r="CP319" s="543"/>
      <c r="CQ319" s="543"/>
      <c r="CR319" s="545"/>
      <c r="CS319" s="545"/>
      <c r="CT319" s="543"/>
      <c r="CU319" s="545"/>
      <c r="CV319" s="543"/>
      <c r="CW319" s="545"/>
      <c r="CX319" s="543"/>
      <c r="CY319" s="543"/>
      <c r="CZ319" s="543"/>
      <c r="DA319" s="543"/>
      <c r="DB319" s="543"/>
      <c r="DC319" s="543"/>
      <c r="DD319" s="543"/>
      <c r="DE319" s="543"/>
      <c r="DF319" s="543"/>
      <c r="DG319" s="543"/>
      <c r="DH319" s="543"/>
      <c r="DI319" s="543"/>
      <c r="DJ319" s="546"/>
      <c r="DK319" s="543"/>
      <c r="DL319" s="543"/>
      <c r="DM319" s="543"/>
      <c r="DN319" s="543"/>
      <c r="DO319" s="543"/>
      <c r="DP319" s="543"/>
      <c r="DT319" s="546"/>
      <c r="DU319" s="19"/>
      <c r="DV319" s="19"/>
      <c r="DW319" s="19"/>
      <c r="DX319" s="19"/>
      <c r="DY319" s="19"/>
      <c r="DZ319" s="19"/>
      <c r="ED319" s="542"/>
      <c r="EE319" s="542"/>
      <c r="EF319" s="542"/>
      <c r="EG319" s="542"/>
      <c r="EH319" s="542"/>
      <c r="EI319" s="542"/>
      <c r="EJ319" s="542"/>
      <c r="EK319" s="542"/>
      <c r="EL319" s="542"/>
      <c r="EM319" s="19"/>
      <c r="EN319" s="569"/>
      <c r="EO319" s="559"/>
      <c r="EP319" s="559"/>
      <c r="EQ319" s="559"/>
      <c r="ER319" s="559"/>
      <c r="ES319" s="569">
        <v>103</v>
      </c>
      <c r="ET319" t="s">
        <v>1908</v>
      </c>
      <c r="EU319" t="s">
        <v>1474</v>
      </c>
      <c r="EV319" t="s">
        <v>1909</v>
      </c>
      <c r="EW319" t="s">
        <v>54</v>
      </c>
      <c r="EX319" s="599">
        <v>55422</v>
      </c>
      <c r="EY319">
        <v>1851344907</v>
      </c>
    </row>
    <row r="320" spans="1:155" x14ac:dyDescent="0.2">
      <c r="A320" s="542"/>
      <c r="B320" s="543"/>
      <c r="C320" s="543"/>
      <c r="D320" s="543"/>
      <c r="E320" s="543"/>
      <c r="F320" s="543"/>
      <c r="G320" s="543"/>
      <c r="H320" s="543"/>
      <c r="I320" s="543"/>
      <c r="J320" s="543"/>
      <c r="K320" s="543"/>
      <c r="L320" s="543"/>
      <c r="M320" s="543"/>
      <c r="N320" s="543"/>
      <c r="O320" s="543"/>
      <c r="P320" s="543"/>
      <c r="Q320" s="543"/>
      <c r="R320" s="543"/>
      <c r="S320" s="543"/>
      <c r="T320" s="543"/>
      <c r="U320" s="543"/>
      <c r="V320" s="543"/>
      <c r="W320" s="543"/>
      <c r="X320" s="543"/>
      <c r="Y320" s="543"/>
      <c r="Z320" s="543"/>
      <c r="AA320" s="543"/>
      <c r="AB320" s="543"/>
      <c r="AC320" s="543"/>
      <c r="AD320" s="543"/>
      <c r="AE320" s="543"/>
      <c r="AF320" s="543"/>
      <c r="AG320" s="543"/>
      <c r="AH320" s="543"/>
      <c r="AI320" s="543"/>
      <c r="AJ320" s="543"/>
      <c r="AK320" s="543"/>
      <c r="AL320" s="543"/>
      <c r="AM320" s="543"/>
      <c r="AN320" s="543"/>
      <c r="AO320" s="543"/>
      <c r="AP320" s="543"/>
      <c r="AQ320" s="543"/>
      <c r="AR320" s="543"/>
      <c r="AS320" s="543"/>
      <c r="AT320" s="543"/>
      <c r="AU320" s="543"/>
      <c r="AV320" s="543"/>
      <c r="AW320" s="543"/>
      <c r="AX320" s="543"/>
      <c r="AY320" s="543"/>
      <c r="AZ320" s="543"/>
      <c r="BA320" s="543"/>
      <c r="BB320" s="543"/>
      <c r="BC320" s="543"/>
      <c r="BD320" s="543"/>
      <c r="BE320" s="543"/>
      <c r="BF320" s="543"/>
      <c r="BG320" s="543"/>
      <c r="BH320" s="543"/>
      <c r="BI320" s="543"/>
      <c r="BJ320" s="543"/>
      <c r="BK320" s="543"/>
      <c r="BL320" s="543"/>
      <c r="BM320" s="543"/>
      <c r="BN320" s="543"/>
      <c r="BO320" s="543"/>
      <c r="BP320" s="543"/>
      <c r="BQ320" s="543"/>
      <c r="BR320" s="543"/>
      <c r="BS320" s="543"/>
      <c r="BT320" s="543"/>
      <c r="BU320" s="543"/>
      <c r="BV320" s="543"/>
      <c r="BW320" s="543"/>
      <c r="BX320" s="543"/>
      <c r="BY320" s="543"/>
      <c r="BZ320" s="543"/>
      <c r="CA320" s="543"/>
      <c r="CB320" s="543"/>
      <c r="CC320" s="543"/>
      <c r="CD320" s="544"/>
      <c r="CE320" s="543"/>
      <c r="CF320" s="543"/>
      <c r="CG320" s="543"/>
      <c r="CH320" s="543"/>
      <c r="CI320" s="544"/>
      <c r="CJ320" s="543"/>
      <c r="CK320" s="543"/>
      <c r="CL320" s="543"/>
      <c r="CM320" s="543"/>
      <c r="CN320" s="545"/>
      <c r="CO320" s="543"/>
      <c r="CP320" s="543"/>
      <c r="CQ320" s="543"/>
      <c r="CR320" s="543"/>
      <c r="CS320" s="545"/>
      <c r="CT320" s="543"/>
      <c r="CU320" s="543"/>
      <c r="CV320" s="543"/>
      <c r="CW320" s="543"/>
      <c r="CX320" s="543"/>
      <c r="CY320" s="543"/>
      <c r="CZ320" s="543"/>
      <c r="DA320" s="543"/>
      <c r="DB320" s="543"/>
      <c r="DC320" s="543"/>
      <c r="DD320" s="543"/>
      <c r="DE320" s="543"/>
      <c r="DF320" s="543"/>
      <c r="DG320" s="543"/>
      <c r="DH320" s="543"/>
      <c r="DI320" s="543"/>
      <c r="DJ320" s="546"/>
      <c r="DK320" s="543"/>
      <c r="DL320" s="543"/>
      <c r="DM320" s="543"/>
      <c r="DN320" s="543"/>
      <c r="DO320" s="543"/>
      <c r="DP320" s="543"/>
      <c r="DT320" s="546"/>
      <c r="DU320" s="19"/>
      <c r="DV320" s="19"/>
      <c r="DW320" s="19"/>
      <c r="DX320" s="19"/>
      <c r="DY320" s="19"/>
      <c r="DZ320" s="19"/>
      <c r="ED320" s="542"/>
      <c r="EE320" s="542"/>
      <c r="EF320" s="542"/>
      <c r="EG320" s="542"/>
      <c r="EH320" s="542"/>
      <c r="EI320" s="542"/>
      <c r="EJ320" s="542"/>
      <c r="EK320" s="542"/>
      <c r="EL320" s="542"/>
      <c r="EM320" s="19"/>
      <c r="EN320" s="569"/>
      <c r="EO320" s="93"/>
      <c r="EP320" s="93"/>
      <c r="EQ320" s="93"/>
      <c r="ER320" s="559"/>
      <c r="ES320" s="569">
        <v>1126</v>
      </c>
      <c r="ET320" t="s">
        <v>1478</v>
      </c>
      <c r="EU320" t="s">
        <v>1474</v>
      </c>
      <c r="EV320" t="s">
        <v>3110</v>
      </c>
      <c r="EW320" t="s">
        <v>54</v>
      </c>
      <c r="EX320" s="600">
        <v>55422</v>
      </c>
      <c r="EY320">
        <v>1598976326</v>
      </c>
    </row>
    <row r="321" spans="1:155" x14ac:dyDescent="0.2">
      <c r="A321" s="542"/>
      <c r="B321" s="543"/>
      <c r="C321" s="543"/>
      <c r="D321" s="543"/>
      <c r="E321" s="543"/>
      <c r="F321" s="543"/>
      <c r="G321" s="543"/>
      <c r="H321" s="543"/>
      <c r="I321" s="543"/>
      <c r="J321" s="543"/>
      <c r="K321" s="543"/>
      <c r="L321" s="543"/>
      <c r="M321" s="543"/>
      <c r="N321" s="543"/>
      <c r="O321" s="543"/>
      <c r="P321" s="543"/>
      <c r="Q321" s="543"/>
      <c r="R321" s="543"/>
      <c r="S321" s="543"/>
      <c r="T321" s="543"/>
      <c r="U321" s="543"/>
      <c r="V321" s="543"/>
      <c r="W321" s="543"/>
      <c r="X321" s="543"/>
      <c r="Y321" s="543"/>
      <c r="Z321" s="543"/>
      <c r="AA321" s="543"/>
      <c r="AB321" s="543"/>
      <c r="AC321" s="543"/>
      <c r="AD321" s="543"/>
      <c r="AE321" s="543"/>
      <c r="AF321" s="543"/>
      <c r="AG321" s="543"/>
      <c r="AH321" s="543"/>
      <c r="AI321" s="543"/>
      <c r="AJ321" s="543"/>
      <c r="AK321" s="543"/>
      <c r="AL321" s="543"/>
      <c r="AM321" s="543"/>
      <c r="AN321" s="543"/>
      <c r="AO321" s="543"/>
      <c r="AP321" s="543"/>
      <c r="AQ321" s="543"/>
      <c r="AR321" s="543"/>
      <c r="AS321" s="543"/>
      <c r="AT321" s="543"/>
      <c r="AU321" s="543"/>
      <c r="AV321" s="543"/>
      <c r="AW321" s="543"/>
      <c r="AX321" s="543"/>
      <c r="AY321" s="543"/>
      <c r="AZ321" s="543"/>
      <c r="BA321" s="543"/>
      <c r="BB321" s="543"/>
      <c r="BC321" s="543"/>
      <c r="BD321" s="543"/>
      <c r="BE321" s="543"/>
      <c r="BF321" s="543"/>
      <c r="BG321" s="543"/>
      <c r="BH321" s="543"/>
      <c r="BI321" s="543"/>
      <c r="BJ321" s="543"/>
      <c r="BK321" s="543"/>
      <c r="BL321" s="543"/>
      <c r="BM321" s="543"/>
      <c r="BN321" s="543"/>
      <c r="BO321" s="543"/>
      <c r="BP321" s="543"/>
      <c r="BQ321" s="543"/>
      <c r="BR321" s="543"/>
      <c r="BS321" s="543"/>
      <c r="BT321" s="543"/>
      <c r="BU321" s="543"/>
      <c r="BV321" s="543"/>
      <c r="BW321" s="543"/>
      <c r="BX321" s="543"/>
      <c r="BY321" s="543"/>
      <c r="BZ321" s="543"/>
      <c r="CA321" s="543"/>
      <c r="CB321" s="543"/>
      <c r="CC321" s="543"/>
      <c r="CD321" s="544"/>
      <c r="CE321" s="543"/>
      <c r="CF321" s="543"/>
      <c r="CG321" s="543"/>
      <c r="CH321" s="543"/>
      <c r="CI321" s="544"/>
      <c r="CJ321" s="543"/>
      <c r="CK321" s="543"/>
      <c r="CL321" s="543"/>
      <c r="CM321" s="543"/>
      <c r="CN321" s="545"/>
      <c r="CO321" s="543"/>
      <c r="CP321" s="543"/>
      <c r="CQ321" s="543"/>
      <c r="CR321" s="543"/>
      <c r="CS321" s="545"/>
      <c r="CT321" s="543"/>
      <c r="CU321" s="545"/>
      <c r="CV321" s="543"/>
      <c r="CW321" s="543"/>
      <c r="CX321" s="543"/>
      <c r="CY321" s="543"/>
      <c r="CZ321" s="543"/>
      <c r="DA321" s="543"/>
      <c r="DB321" s="543"/>
      <c r="DC321" s="543"/>
      <c r="DD321" s="543"/>
      <c r="DE321" s="543"/>
      <c r="DF321" s="543"/>
      <c r="DG321" s="543"/>
      <c r="DH321" s="543"/>
      <c r="DI321" s="543"/>
      <c r="DJ321" s="546"/>
      <c r="DK321" s="543"/>
      <c r="DL321" s="543"/>
      <c r="DM321" s="543"/>
      <c r="DN321" s="543"/>
      <c r="DO321" s="543"/>
      <c r="DP321" s="543"/>
      <c r="DT321" s="546"/>
      <c r="DU321" s="19"/>
      <c r="DV321" s="19"/>
      <c r="DW321" s="19"/>
      <c r="DX321" s="19"/>
      <c r="DY321" s="19"/>
      <c r="DZ321" s="19"/>
      <c r="ED321" s="542"/>
      <c r="EE321" s="542"/>
      <c r="EF321" s="542"/>
      <c r="EG321" s="542"/>
      <c r="EH321" s="542"/>
      <c r="EI321" s="542"/>
      <c r="EJ321" s="542"/>
      <c r="EK321" s="542"/>
      <c r="EL321" s="542"/>
      <c r="EM321" s="19"/>
      <c r="EN321" s="569"/>
      <c r="EO321" s="93"/>
      <c r="EP321" s="93"/>
      <c r="EQ321" s="93"/>
      <c r="ES321" s="569">
        <v>251</v>
      </c>
      <c r="ET321" t="s">
        <v>1910</v>
      </c>
      <c r="EU321" t="s">
        <v>1298</v>
      </c>
      <c r="EV321" t="s">
        <v>2329</v>
      </c>
      <c r="EW321" t="s">
        <v>54</v>
      </c>
      <c r="EX321" s="599">
        <v>55904</v>
      </c>
      <c r="EY321">
        <v>1669418851</v>
      </c>
    </row>
    <row r="322" spans="1:155" x14ac:dyDescent="0.2">
      <c r="A322" s="542"/>
      <c r="B322" s="543"/>
      <c r="C322" s="543"/>
      <c r="D322" s="543"/>
      <c r="E322" s="543"/>
      <c r="F322" s="543"/>
      <c r="G322" s="543"/>
      <c r="H322" s="543"/>
      <c r="I322" s="543"/>
      <c r="J322" s="543"/>
      <c r="K322" s="543"/>
      <c r="L322" s="543"/>
      <c r="M322" s="543"/>
      <c r="N322" s="543"/>
      <c r="O322" s="543"/>
      <c r="P322" s="543"/>
      <c r="Q322" s="543"/>
      <c r="R322" s="543"/>
      <c r="S322" s="543"/>
      <c r="T322" s="543"/>
      <c r="U322" s="543"/>
      <c r="V322" s="543"/>
      <c r="W322" s="543"/>
      <c r="X322" s="543"/>
      <c r="Y322" s="543"/>
      <c r="Z322" s="543"/>
      <c r="AA322" s="564"/>
      <c r="AB322" s="543"/>
      <c r="AC322" s="543"/>
      <c r="AD322" s="543"/>
      <c r="AE322" s="543"/>
      <c r="AF322" s="543"/>
      <c r="AG322" s="543"/>
      <c r="AH322" s="543"/>
      <c r="AI322" s="543"/>
      <c r="AJ322" s="543"/>
      <c r="AK322" s="543"/>
      <c r="AL322" s="543"/>
      <c r="AM322" s="543"/>
      <c r="AN322" s="543"/>
      <c r="AO322" s="543"/>
      <c r="AP322" s="543"/>
      <c r="AQ322" s="543"/>
      <c r="AR322" s="543"/>
      <c r="AS322" s="543"/>
      <c r="AT322" s="543"/>
      <c r="AU322" s="543"/>
      <c r="AV322" s="543"/>
      <c r="AW322" s="543"/>
      <c r="AX322" s="543"/>
      <c r="AY322" s="543"/>
      <c r="AZ322" s="543"/>
      <c r="BA322" s="543"/>
      <c r="BB322" s="543"/>
      <c r="BC322" s="543"/>
      <c r="BD322" s="543"/>
      <c r="BE322" s="543"/>
      <c r="BF322" s="543"/>
      <c r="BG322" s="543"/>
      <c r="BH322" s="543"/>
      <c r="BI322" s="543"/>
      <c r="BJ322" s="543"/>
      <c r="BK322" s="543"/>
      <c r="BL322" s="543"/>
      <c r="BM322" s="543"/>
      <c r="BN322" s="543"/>
      <c r="BO322" s="564"/>
      <c r="BP322" s="543"/>
      <c r="BQ322" s="543"/>
      <c r="BR322" s="543"/>
      <c r="BS322" s="543"/>
      <c r="BT322" s="543"/>
      <c r="BU322" s="543"/>
      <c r="BV322" s="543"/>
      <c r="BW322" s="543"/>
      <c r="BX322" s="543"/>
      <c r="BY322" s="543"/>
      <c r="BZ322" s="543"/>
      <c r="CA322" s="543"/>
      <c r="CB322" s="543"/>
      <c r="CC322" s="543"/>
      <c r="CD322" s="544"/>
      <c r="CE322" s="543"/>
      <c r="CF322" s="543"/>
      <c r="CG322" s="543"/>
      <c r="CH322" s="543"/>
      <c r="CI322" s="544"/>
      <c r="CJ322" s="543"/>
      <c r="CK322" s="543"/>
      <c r="CL322" s="543"/>
      <c r="CM322" s="543"/>
      <c r="CN322" s="545"/>
      <c r="CO322" s="543"/>
      <c r="CP322" s="543"/>
      <c r="CQ322" s="543"/>
      <c r="CR322" s="543"/>
      <c r="CS322" s="545"/>
      <c r="CT322" s="543"/>
      <c r="CU322" s="543"/>
      <c r="CV322" s="543"/>
      <c r="CW322" s="543"/>
      <c r="CX322" s="543"/>
      <c r="CY322" s="543"/>
      <c r="CZ322" s="543"/>
      <c r="DA322" s="543"/>
      <c r="DB322" s="543"/>
      <c r="DC322" s="543"/>
      <c r="DD322" s="545"/>
      <c r="DE322" s="543"/>
      <c r="DF322" s="543"/>
      <c r="DG322" s="543"/>
      <c r="DH322" s="543"/>
      <c r="DI322" s="543"/>
      <c r="DJ322" s="546"/>
      <c r="DK322" s="543"/>
      <c r="DL322" s="543"/>
      <c r="DM322" s="543"/>
      <c r="DN322" s="543"/>
      <c r="DO322" s="543"/>
      <c r="DP322" s="543"/>
      <c r="DT322" s="546"/>
      <c r="DU322" s="19"/>
      <c r="DV322" s="19"/>
      <c r="DW322" s="19"/>
      <c r="DX322" s="19"/>
      <c r="DY322" s="19"/>
      <c r="DZ322" s="19"/>
      <c r="ED322" s="542"/>
      <c r="EE322" s="542"/>
      <c r="EF322" s="542"/>
      <c r="EG322" s="542"/>
      <c r="EH322" s="542"/>
      <c r="EI322" s="542"/>
      <c r="EJ322" s="542"/>
      <c r="EK322" s="542"/>
      <c r="EL322" s="542"/>
      <c r="EM322" s="19"/>
      <c r="EN322" s="569"/>
      <c r="EO322" s="93"/>
      <c r="EP322" s="93"/>
      <c r="EQ322" s="93"/>
      <c r="ES322" s="569">
        <v>782</v>
      </c>
      <c r="ET322" t="s">
        <v>1297</v>
      </c>
      <c r="EU322" t="s">
        <v>1298</v>
      </c>
      <c r="EV322" t="s">
        <v>3111</v>
      </c>
      <c r="EW322" t="s">
        <v>54</v>
      </c>
      <c r="EX322" s="600">
        <v>55905</v>
      </c>
      <c r="EY322">
        <v>1922074434</v>
      </c>
    </row>
    <row r="323" spans="1:155" x14ac:dyDescent="0.2">
      <c r="A323" s="542"/>
      <c r="B323" s="543"/>
      <c r="C323" s="543"/>
      <c r="D323" s="543"/>
      <c r="E323" s="543"/>
      <c r="F323" s="543"/>
      <c r="G323" s="543"/>
      <c r="H323" s="543"/>
      <c r="I323" s="543"/>
      <c r="J323" s="543"/>
      <c r="K323" s="543"/>
      <c r="L323" s="543"/>
      <c r="M323" s="543"/>
      <c r="N323" s="543"/>
      <c r="O323" s="543"/>
      <c r="P323" s="543"/>
      <c r="Q323" s="543"/>
      <c r="R323" s="543"/>
      <c r="S323" s="543"/>
      <c r="T323" s="543"/>
      <c r="U323" s="543"/>
      <c r="V323" s="543"/>
      <c r="W323" s="543"/>
      <c r="X323" s="543"/>
      <c r="Y323" s="543"/>
      <c r="Z323" s="543"/>
      <c r="AA323" s="543"/>
      <c r="AB323" s="543"/>
      <c r="AC323" s="543"/>
      <c r="AD323" s="543"/>
      <c r="AE323" s="543"/>
      <c r="AF323" s="543"/>
      <c r="AG323" s="543"/>
      <c r="AH323" s="543"/>
      <c r="AI323" s="543"/>
      <c r="AJ323" s="543"/>
      <c r="AK323" s="543"/>
      <c r="AL323" s="543"/>
      <c r="AM323" s="543"/>
      <c r="AN323" s="543"/>
      <c r="AO323" s="543"/>
      <c r="AP323" s="543"/>
      <c r="AQ323" s="543"/>
      <c r="AR323" s="543"/>
      <c r="AS323" s="543"/>
      <c r="AT323" s="543"/>
      <c r="AU323" s="543"/>
      <c r="AV323" s="543"/>
      <c r="AW323" s="543"/>
      <c r="AX323" s="543"/>
      <c r="AY323" s="543"/>
      <c r="AZ323" s="543"/>
      <c r="BA323" s="543"/>
      <c r="BB323" s="543"/>
      <c r="BC323" s="543"/>
      <c r="BD323" s="543"/>
      <c r="BE323" s="543"/>
      <c r="BF323" s="543"/>
      <c r="BG323" s="543"/>
      <c r="BH323" s="543"/>
      <c r="BI323" s="543"/>
      <c r="BJ323" s="543"/>
      <c r="BK323" s="543"/>
      <c r="BL323" s="543"/>
      <c r="BM323" s="543"/>
      <c r="BN323" s="543"/>
      <c r="BO323" s="543"/>
      <c r="BP323" s="543"/>
      <c r="BQ323" s="543"/>
      <c r="BR323" s="543"/>
      <c r="BS323" s="543"/>
      <c r="BT323" s="543"/>
      <c r="BU323" s="543"/>
      <c r="BV323" s="543"/>
      <c r="BW323" s="543"/>
      <c r="BX323" s="543"/>
      <c r="BY323" s="543"/>
      <c r="BZ323" s="543"/>
      <c r="CA323" s="543"/>
      <c r="CB323" s="543"/>
      <c r="CC323" s="543"/>
      <c r="CD323" s="544"/>
      <c r="CE323" s="543"/>
      <c r="CF323" s="543"/>
      <c r="CG323" s="543"/>
      <c r="CH323" s="543"/>
      <c r="CI323" s="544"/>
      <c r="CJ323" s="543"/>
      <c r="CK323" s="543"/>
      <c r="CL323" s="543"/>
      <c r="CM323" s="543"/>
      <c r="CN323" s="545"/>
      <c r="CO323" s="543"/>
      <c r="CP323" s="543"/>
      <c r="CQ323" s="543"/>
      <c r="CR323" s="543"/>
      <c r="CS323" s="545"/>
      <c r="CT323" s="543"/>
      <c r="CU323" s="543"/>
      <c r="CV323" s="543"/>
      <c r="CW323" s="543"/>
      <c r="CX323" s="543"/>
      <c r="CY323" s="543"/>
      <c r="CZ323" s="543"/>
      <c r="DA323" s="543"/>
      <c r="DB323" s="543"/>
      <c r="DC323" s="543"/>
      <c r="DD323" s="543"/>
      <c r="DE323" s="543"/>
      <c r="DF323" s="543"/>
      <c r="DG323" s="543"/>
      <c r="DH323" s="543"/>
      <c r="DI323" s="543"/>
      <c r="DJ323" s="546"/>
      <c r="DK323" s="543"/>
      <c r="DL323" s="543"/>
      <c r="DM323" s="543"/>
      <c r="DN323" s="543"/>
      <c r="DO323" s="543"/>
      <c r="DP323" s="543"/>
      <c r="DT323" s="546"/>
      <c r="DU323" s="19"/>
      <c r="DV323" s="19"/>
      <c r="DW323" s="19"/>
      <c r="DX323" s="19"/>
      <c r="DY323" s="19"/>
      <c r="DZ323" s="19"/>
      <c r="ED323" s="542"/>
      <c r="EE323" s="542"/>
      <c r="EF323" s="542"/>
      <c r="EG323" s="542"/>
      <c r="EH323" s="542"/>
      <c r="EI323" s="542"/>
      <c r="EJ323" s="542"/>
      <c r="EK323" s="542"/>
      <c r="EL323" s="542"/>
      <c r="EM323" s="19"/>
      <c r="EN323" s="569"/>
      <c r="EO323" s="93"/>
      <c r="EP323" s="93"/>
      <c r="EQ323" s="93"/>
      <c r="ES323" s="569">
        <v>783</v>
      </c>
      <c r="ET323" t="s">
        <v>1319</v>
      </c>
      <c r="EU323" t="s">
        <v>1298</v>
      </c>
      <c r="EV323" t="s">
        <v>3112</v>
      </c>
      <c r="EW323" t="s">
        <v>54</v>
      </c>
      <c r="EX323" s="600">
        <v>55905</v>
      </c>
      <c r="EY323">
        <v>1922074434</v>
      </c>
    </row>
    <row r="324" spans="1:155" x14ac:dyDescent="0.2">
      <c r="A324" s="542"/>
      <c r="B324" s="543"/>
      <c r="C324" s="543"/>
      <c r="D324" s="543"/>
      <c r="E324" s="543"/>
      <c r="F324" s="543"/>
      <c r="G324" s="543"/>
      <c r="H324" s="543"/>
      <c r="I324" s="543"/>
      <c r="J324" s="543"/>
      <c r="K324" s="543"/>
      <c r="L324" s="543"/>
      <c r="M324" s="543"/>
      <c r="N324" s="543"/>
      <c r="O324" s="543"/>
      <c r="P324" s="543"/>
      <c r="Q324" s="543"/>
      <c r="R324" s="543"/>
      <c r="S324" s="543"/>
      <c r="T324" s="543"/>
      <c r="U324" s="543"/>
      <c r="V324" s="543"/>
      <c r="W324" s="543"/>
      <c r="X324" s="543"/>
      <c r="Y324" s="543"/>
      <c r="Z324" s="543"/>
      <c r="AA324" s="543"/>
      <c r="AB324" s="543"/>
      <c r="AC324" s="543"/>
      <c r="AD324" s="543"/>
      <c r="AE324" s="543"/>
      <c r="AF324" s="543"/>
      <c r="AG324" s="543"/>
      <c r="AH324" s="543"/>
      <c r="AI324" s="543"/>
      <c r="AJ324" s="543"/>
      <c r="AK324" s="543"/>
      <c r="AL324" s="543"/>
      <c r="AM324" s="543"/>
      <c r="AN324" s="543"/>
      <c r="AO324" s="543"/>
      <c r="AP324" s="543"/>
      <c r="AQ324" s="543"/>
      <c r="AR324" s="543"/>
      <c r="AS324" s="543"/>
      <c r="AT324" s="543"/>
      <c r="AU324" s="543"/>
      <c r="AV324" s="543"/>
      <c r="AW324" s="543"/>
      <c r="AX324" s="543"/>
      <c r="AY324" s="543"/>
      <c r="AZ324" s="543"/>
      <c r="BA324" s="543"/>
      <c r="BB324" s="543"/>
      <c r="BC324" s="543"/>
      <c r="BD324" s="543"/>
      <c r="BE324" s="543"/>
      <c r="BF324" s="543"/>
      <c r="BG324" s="543"/>
      <c r="BH324" s="543"/>
      <c r="BI324" s="543"/>
      <c r="BJ324" s="543"/>
      <c r="BK324" s="543"/>
      <c r="BL324" s="543"/>
      <c r="BM324" s="543"/>
      <c r="BN324" s="543"/>
      <c r="BO324" s="543"/>
      <c r="BP324" s="543"/>
      <c r="BQ324" s="543"/>
      <c r="BR324" s="543"/>
      <c r="BS324" s="543"/>
      <c r="BT324" s="543"/>
      <c r="BU324" s="543"/>
      <c r="BV324" s="543"/>
      <c r="BW324" s="543"/>
      <c r="BX324" s="543"/>
      <c r="BY324" s="543"/>
      <c r="BZ324" s="543"/>
      <c r="CA324" s="543"/>
      <c r="CB324" s="543"/>
      <c r="CC324" s="543"/>
      <c r="CD324" s="544"/>
      <c r="CE324" s="543"/>
      <c r="CF324" s="543"/>
      <c r="CG324" s="543"/>
      <c r="CH324" s="543"/>
      <c r="CI324" s="544"/>
      <c r="CJ324" s="543"/>
      <c r="CK324" s="543"/>
      <c r="CL324" s="543"/>
      <c r="CM324" s="543"/>
      <c r="CN324" s="545"/>
      <c r="CO324" s="543"/>
      <c r="CP324" s="543"/>
      <c r="CQ324" s="543"/>
      <c r="CR324" s="543"/>
      <c r="CS324" s="543"/>
      <c r="CT324" s="543"/>
      <c r="CU324" s="543"/>
      <c r="CV324" s="543"/>
      <c r="CW324" s="543"/>
      <c r="CX324" s="543"/>
      <c r="CY324" s="543"/>
      <c r="CZ324" s="543"/>
      <c r="DA324" s="543"/>
      <c r="DB324" s="543"/>
      <c r="DC324" s="543"/>
      <c r="DD324" s="543"/>
      <c r="DE324" s="543"/>
      <c r="DF324" s="543"/>
      <c r="DG324" s="543"/>
      <c r="DH324" s="545"/>
      <c r="DI324" s="543"/>
      <c r="DJ324" s="546"/>
      <c r="DK324" s="543"/>
      <c r="DL324" s="543"/>
      <c r="DM324" s="543"/>
      <c r="DN324" s="543"/>
      <c r="DO324" s="543"/>
      <c r="DP324" s="543"/>
      <c r="DT324" s="546"/>
      <c r="DU324" s="19"/>
      <c r="DV324" s="19"/>
      <c r="DW324" s="19"/>
      <c r="DX324" s="19"/>
      <c r="DY324" s="19"/>
      <c r="DZ324" s="19"/>
      <c r="ED324" s="542"/>
      <c r="EE324" s="542"/>
      <c r="EF324" s="542"/>
      <c r="EG324" s="542"/>
      <c r="EH324" s="542"/>
      <c r="EI324" s="542"/>
      <c r="EJ324" s="542"/>
      <c r="EK324" s="542"/>
      <c r="EL324" s="542"/>
      <c r="EM324" s="19"/>
      <c r="EN324" s="569"/>
      <c r="EO324" s="93"/>
      <c r="EP324" s="93"/>
      <c r="EQ324" s="93"/>
      <c r="ES324" s="569">
        <v>1174</v>
      </c>
      <c r="ET324" t="s">
        <v>1321</v>
      </c>
      <c r="EU324" t="s">
        <v>1298</v>
      </c>
      <c r="EV324" t="s">
        <v>3113</v>
      </c>
      <c r="EW324" t="s">
        <v>54</v>
      </c>
      <c r="EX324" s="600">
        <v>55901</v>
      </c>
      <c r="EY324">
        <v>1922074434</v>
      </c>
    </row>
    <row r="325" spans="1:155" x14ac:dyDescent="0.2">
      <c r="ED325" s="92"/>
      <c r="EE325" s="92"/>
      <c r="EF325" s="92"/>
      <c r="EG325" s="92"/>
      <c r="EH325" s="92"/>
      <c r="EM325" s="93"/>
      <c r="EN325" s="569"/>
      <c r="EO325" s="93"/>
      <c r="EP325" s="93"/>
      <c r="EQ325" s="93"/>
      <c r="ES325" s="569">
        <v>794</v>
      </c>
      <c r="ET325" t="s">
        <v>1323</v>
      </c>
      <c r="EU325" t="s">
        <v>1298</v>
      </c>
      <c r="EV325" t="s">
        <v>3114</v>
      </c>
      <c r="EW325" t="s">
        <v>54</v>
      </c>
      <c r="EX325" s="600">
        <v>55095</v>
      </c>
      <c r="EY325">
        <v>1922074434</v>
      </c>
    </row>
    <row r="326" spans="1:155" x14ac:dyDescent="0.2">
      <c r="A326" s="546"/>
      <c r="B326" s="19"/>
      <c r="C326" s="19"/>
      <c r="D326" s="19"/>
      <c r="E326" s="547"/>
      <c r="F326" s="547"/>
      <c r="G326" s="547"/>
      <c r="H326" s="547"/>
      <c r="I326" s="547"/>
      <c r="J326" s="547"/>
      <c r="K326" s="547"/>
      <c r="L326" s="547"/>
      <c r="M326" s="547"/>
      <c r="N326" s="547"/>
      <c r="O326" s="547"/>
      <c r="P326" s="548"/>
      <c r="Q326" s="548"/>
      <c r="R326" s="547"/>
      <c r="S326" s="547"/>
      <c r="T326" s="547"/>
      <c r="U326" s="547"/>
      <c r="V326" s="547"/>
      <c r="W326" s="547"/>
      <c r="X326" s="547"/>
      <c r="Y326" s="547"/>
      <c r="Z326" s="548"/>
      <c r="AA326" s="547"/>
      <c r="AB326" s="548"/>
      <c r="AC326" s="547"/>
      <c r="AD326" s="547"/>
      <c r="AE326" s="547"/>
      <c r="AF326" s="547"/>
      <c r="AG326" s="547"/>
      <c r="AH326" s="547"/>
      <c r="AI326" s="547"/>
      <c r="AJ326" s="547"/>
      <c r="AK326" s="547"/>
      <c r="AL326" s="547"/>
      <c r="AM326" s="547"/>
      <c r="AN326" s="548"/>
      <c r="AO326" s="547"/>
      <c r="AP326" s="548"/>
      <c r="AQ326" s="547"/>
      <c r="AR326" s="547"/>
      <c r="AS326" s="547"/>
      <c r="AT326" s="547"/>
      <c r="AU326" s="547"/>
      <c r="AV326" s="547"/>
      <c r="AW326" s="547"/>
      <c r="AX326" s="547"/>
      <c r="AY326" s="547"/>
      <c r="AZ326" s="547"/>
      <c r="BA326" s="547"/>
      <c r="BB326" s="548"/>
      <c r="BC326" s="547"/>
      <c r="BD326" s="548"/>
      <c r="BE326" s="547"/>
      <c r="BF326" s="547"/>
      <c r="BG326" s="547"/>
      <c r="BH326" s="547"/>
      <c r="BI326" s="547"/>
      <c r="BJ326" s="547"/>
      <c r="BK326" s="547"/>
      <c r="BL326" s="547"/>
      <c r="BM326" s="547"/>
      <c r="BN326" s="547"/>
      <c r="BO326" s="547"/>
      <c r="BP326" s="547"/>
      <c r="BQ326" s="547"/>
      <c r="BR326" s="548"/>
      <c r="BS326" s="547"/>
      <c r="BT326" s="547"/>
      <c r="BU326" s="547"/>
      <c r="BV326" s="547"/>
      <c r="BW326" s="547"/>
      <c r="BX326" s="547"/>
      <c r="BY326" s="547"/>
      <c r="BZ326" s="547"/>
      <c r="CA326" s="547"/>
      <c r="CB326" s="547"/>
      <c r="CC326" s="547"/>
      <c r="CD326" s="547"/>
      <c r="CE326" s="547"/>
      <c r="CF326" s="547"/>
      <c r="CG326" s="547"/>
      <c r="CH326" s="547"/>
      <c r="CI326" s="547"/>
      <c r="CJ326" s="549"/>
      <c r="CK326" s="547"/>
      <c r="CL326" s="547"/>
      <c r="CM326" s="547"/>
      <c r="CN326" s="547"/>
      <c r="CO326" s="547"/>
      <c r="CP326" s="19"/>
      <c r="CQ326" s="19"/>
      <c r="CR326" s="19"/>
      <c r="CS326" s="19"/>
      <c r="CT326" s="19"/>
      <c r="CU326" s="19"/>
      <c r="ED326" s="542"/>
      <c r="EE326" s="542"/>
      <c r="EF326" s="542"/>
      <c r="EG326" s="542"/>
      <c r="EH326" s="542"/>
      <c r="EI326" s="542"/>
      <c r="EJ326" s="542"/>
      <c r="EK326" s="542"/>
      <c r="EL326" s="542"/>
      <c r="EM326" s="19"/>
      <c r="EN326" s="569"/>
      <c r="EO326" s="93"/>
      <c r="EP326" s="93"/>
      <c r="EQ326" s="93"/>
      <c r="ES326" s="569">
        <v>145</v>
      </c>
      <c r="ET326" t="s">
        <v>1911</v>
      </c>
      <c r="EU326" t="s">
        <v>1298</v>
      </c>
      <c r="EV326" t="s">
        <v>2330</v>
      </c>
      <c r="EW326" t="s">
        <v>54</v>
      </c>
      <c r="EX326" s="599">
        <v>55902</v>
      </c>
      <c r="EY326">
        <v>1841266194</v>
      </c>
    </row>
    <row r="327" spans="1:155" x14ac:dyDescent="0.2">
      <c r="A327" s="546"/>
      <c r="B327" s="543"/>
      <c r="C327" s="543"/>
      <c r="D327" s="543"/>
      <c r="E327" s="543"/>
      <c r="F327" s="543"/>
      <c r="G327" s="543"/>
      <c r="H327" s="543"/>
      <c r="I327" s="543"/>
      <c r="J327" s="543"/>
      <c r="K327" s="543"/>
      <c r="L327" s="543"/>
      <c r="M327" s="543"/>
      <c r="N327" s="543"/>
      <c r="O327" s="543"/>
      <c r="P327" s="543"/>
      <c r="Q327" s="543"/>
      <c r="R327" s="543"/>
      <c r="S327" s="543"/>
      <c r="T327" s="543"/>
      <c r="U327" s="543"/>
      <c r="V327" s="543"/>
      <c r="W327" s="543"/>
      <c r="X327" s="543"/>
      <c r="Y327" s="543"/>
      <c r="Z327" s="543"/>
      <c r="AA327" s="543"/>
      <c r="AB327" s="543"/>
      <c r="AC327" s="543"/>
      <c r="AD327" s="543"/>
      <c r="AE327" s="543"/>
      <c r="AF327" s="543"/>
      <c r="AG327" s="543"/>
      <c r="AH327" s="543"/>
      <c r="AI327" s="543"/>
      <c r="AJ327" s="543"/>
      <c r="AK327" s="543"/>
      <c r="AL327" s="543"/>
      <c r="AM327" s="543"/>
      <c r="AN327" s="543"/>
      <c r="AO327" s="543"/>
      <c r="AP327" s="543"/>
      <c r="AQ327" s="543"/>
      <c r="AR327" s="543"/>
      <c r="AS327" s="543"/>
      <c r="AT327" s="543"/>
      <c r="AU327" s="543"/>
      <c r="AV327" s="543"/>
      <c r="AW327" s="543"/>
      <c r="AX327" s="543"/>
      <c r="AY327" s="543"/>
      <c r="AZ327" s="543"/>
      <c r="BA327" s="543"/>
      <c r="BB327" s="543"/>
      <c r="BC327" s="543"/>
      <c r="BD327" s="543"/>
      <c r="BE327" s="543"/>
      <c r="BF327" s="543"/>
      <c r="BG327" s="543"/>
      <c r="BH327" s="543"/>
      <c r="BI327" s="543"/>
      <c r="BJ327" s="543"/>
      <c r="BK327" s="543"/>
      <c r="BL327" s="543"/>
      <c r="BM327" s="543"/>
      <c r="BN327" s="543"/>
      <c r="BO327" s="543"/>
      <c r="BP327" s="543"/>
      <c r="BQ327" s="543"/>
      <c r="BR327" s="543"/>
      <c r="BS327" s="543"/>
      <c r="BT327" s="543"/>
      <c r="BU327" s="543"/>
      <c r="BV327" s="543"/>
      <c r="BW327" s="543"/>
      <c r="BX327" s="543"/>
      <c r="BY327" s="543"/>
      <c r="BZ327" s="543"/>
      <c r="CA327" s="543"/>
      <c r="CB327" s="543"/>
      <c r="CC327" s="543"/>
      <c r="CD327" s="544"/>
      <c r="CE327" s="543"/>
      <c r="CF327" s="543"/>
      <c r="CG327" s="543"/>
      <c r="CH327" s="543"/>
      <c r="CI327" s="544"/>
      <c r="CJ327" s="543"/>
      <c r="CK327" s="543"/>
      <c r="CL327" s="543"/>
      <c r="CM327" s="543"/>
      <c r="CN327" s="545"/>
      <c r="CO327" s="543"/>
      <c r="CP327" s="543"/>
      <c r="CQ327" s="543"/>
      <c r="CR327" s="543"/>
      <c r="CS327" s="543"/>
      <c r="CT327" s="543"/>
      <c r="CU327" s="543"/>
      <c r="CV327" s="543"/>
      <c r="CW327" s="543"/>
      <c r="CX327" s="543"/>
      <c r="CY327" s="543"/>
      <c r="CZ327" s="543"/>
      <c r="DA327" s="543"/>
      <c r="DB327" s="543"/>
      <c r="DC327" s="543"/>
      <c r="DD327" s="543"/>
      <c r="DE327" s="543"/>
      <c r="DF327" s="543"/>
      <c r="DG327" s="543"/>
      <c r="DH327" s="543"/>
      <c r="DI327" s="543"/>
      <c r="DJ327" s="546"/>
      <c r="DK327" s="543"/>
      <c r="DL327" s="543"/>
      <c r="DM327" s="543"/>
      <c r="DN327" s="543"/>
      <c r="DO327" s="543"/>
      <c r="DP327" s="543"/>
      <c r="DT327" s="546"/>
      <c r="DU327" s="19"/>
      <c r="DV327" s="19"/>
      <c r="DW327" s="19"/>
      <c r="DX327" s="19"/>
      <c r="DY327" s="19"/>
      <c r="DZ327" s="19"/>
      <c r="ED327" s="542"/>
      <c r="EE327" s="542"/>
      <c r="EF327" s="542"/>
      <c r="EG327" s="542"/>
      <c r="EH327" s="542"/>
      <c r="EI327" s="542"/>
      <c r="EJ327" s="542"/>
      <c r="EK327" s="542"/>
      <c r="EL327" s="542"/>
      <c r="EM327" s="19"/>
      <c r="EN327" s="569"/>
      <c r="EO327" s="93"/>
      <c r="EP327" s="93"/>
      <c r="EQ327" s="93"/>
      <c r="ES327" s="569">
        <v>107</v>
      </c>
      <c r="ET327" t="s">
        <v>1912</v>
      </c>
      <c r="EU327" t="s">
        <v>1298</v>
      </c>
      <c r="EV327" t="s">
        <v>2331</v>
      </c>
      <c r="EW327" t="s">
        <v>54</v>
      </c>
      <c r="EX327" s="599">
        <v>55904</v>
      </c>
      <c r="EY327">
        <v>1538112131</v>
      </c>
    </row>
    <row r="328" spans="1:155" x14ac:dyDescent="0.2">
      <c r="A328" s="546"/>
      <c r="B328" s="543"/>
      <c r="C328" s="543"/>
      <c r="D328" s="543"/>
      <c r="E328" s="543"/>
      <c r="F328" s="543"/>
      <c r="G328" s="543"/>
      <c r="H328" s="543"/>
      <c r="I328" s="543"/>
      <c r="J328" s="543"/>
      <c r="K328" s="543"/>
      <c r="L328" s="543"/>
      <c r="M328" s="543"/>
      <c r="N328" s="543"/>
      <c r="O328" s="543"/>
      <c r="P328" s="543"/>
      <c r="Q328" s="543"/>
      <c r="R328" s="543"/>
      <c r="S328" s="543"/>
      <c r="T328" s="543"/>
      <c r="U328" s="543"/>
      <c r="V328" s="543"/>
      <c r="W328" s="543"/>
      <c r="X328" s="543"/>
      <c r="Y328" s="543"/>
      <c r="Z328" s="543"/>
      <c r="AA328" s="543"/>
      <c r="AB328" s="543"/>
      <c r="AC328" s="543"/>
      <c r="AD328" s="543"/>
      <c r="AE328" s="543"/>
      <c r="AF328" s="543"/>
      <c r="AG328" s="543"/>
      <c r="AH328" s="543"/>
      <c r="AI328" s="543"/>
      <c r="AJ328" s="543"/>
      <c r="AK328" s="543"/>
      <c r="AL328" s="543"/>
      <c r="AM328" s="543"/>
      <c r="AN328" s="543"/>
      <c r="AO328" s="543"/>
      <c r="AP328" s="543"/>
      <c r="AQ328" s="543"/>
      <c r="AR328" s="543"/>
      <c r="AS328" s="543"/>
      <c r="AT328" s="543"/>
      <c r="AU328" s="543"/>
      <c r="AV328" s="543"/>
      <c r="AW328" s="543"/>
      <c r="AX328" s="543"/>
      <c r="AY328" s="543"/>
      <c r="AZ328" s="543"/>
      <c r="BA328" s="543"/>
      <c r="BB328" s="543"/>
      <c r="BC328" s="543"/>
      <c r="BD328" s="543"/>
      <c r="BE328" s="543"/>
      <c r="BF328" s="543"/>
      <c r="BG328" s="543"/>
      <c r="BH328" s="543"/>
      <c r="BI328" s="543"/>
      <c r="BJ328" s="543"/>
      <c r="BK328" s="543"/>
      <c r="BL328" s="543"/>
      <c r="BM328" s="543"/>
      <c r="BN328" s="543"/>
      <c r="BO328" s="543"/>
      <c r="BP328" s="543"/>
      <c r="BQ328" s="543"/>
      <c r="BR328" s="543"/>
      <c r="BS328" s="543"/>
      <c r="BT328" s="543"/>
      <c r="BU328" s="543"/>
      <c r="BV328" s="543"/>
      <c r="BW328" s="543"/>
      <c r="BX328" s="543"/>
      <c r="BY328" s="543"/>
      <c r="BZ328" s="543"/>
      <c r="CA328" s="543"/>
      <c r="CB328" s="543"/>
      <c r="CC328" s="543"/>
      <c r="CD328" s="544"/>
      <c r="CE328" s="543"/>
      <c r="CF328" s="543"/>
      <c r="CG328" s="543"/>
      <c r="CH328" s="543"/>
      <c r="CI328" s="544"/>
      <c r="CJ328" s="543"/>
      <c r="CK328" s="543"/>
      <c r="CL328" s="543"/>
      <c r="CM328" s="543"/>
      <c r="CN328" s="545"/>
      <c r="CO328" s="543"/>
      <c r="CP328" s="543"/>
      <c r="CQ328" s="543"/>
      <c r="CR328" s="543"/>
      <c r="CS328" s="543"/>
      <c r="CT328" s="543"/>
      <c r="CU328" s="543"/>
      <c r="CV328" s="543"/>
      <c r="CW328" s="543"/>
      <c r="CX328" s="543"/>
      <c r="CY328" s="543"/>
      <c r="CZ328" s="545"/>
      <c r="DA328" s="543"/>
      <c r="DB328" s="543"/>
      <c r="DC328" s="543"/>
      <c r="DD328" s="543"/>
      <c r="DE328" s="543"/>
      <c r="DF328" s="543"/>
      <c r="DG328" s="543"/>
      <c r="DH328" s="543"/>
      <c r="DI328" s="543"/>
      <c r="DJ328" s="546"/>
      <c r="DK328" s="543"/>
      <c r="DL328" s="543"/>
      <c r="DM328" s="543"/>
      <c r="DN328" s="543"/>
      <c r="DO328" s="543"/>
      <c r="DP328" s="543"/>
      <c r="DT328" s="546"/>
      <c r="DU328" s="19"/>
      <c r="DV328" s="19"/>
      <c r="DW328" s="19"/>
      <c r="DX328" s="19"/>
      <c r="DY328" s="19"/>
      <c r="DZ328" s="19"/>
      <c r="ED328" s="542"/>
      <c r="EE328" s="542"/>
      <c r="EF328" s="542"/>
      <c r="EG328" s="542"/>
      <c r="EH328" s="542"/>
      <c r="EI328" s="542"/>
      <c r="EJ328" s="542"/>
      <c r="EK328" s="542"/>
      <c r="EL328" s="542"/>
      <c r="EM328" s="19"/>
      <c r="EN328" s="569"/>
      <c r="EO328" s="93"/>
      <c r="EP328" s="93"/>
      <c r="EQ328" s="93"/>
      <c r="ES328" s="569">
        <v>856</v>
      </c>
      <c r="ET328" t="s">
        <v>964</v>
      </c>
      <c r="EU328" t="s">
        <v>965</v>
      </c>
      <c r="EV328" t="s">
        <v>3115</v>
      </c>
      <c r="EW328" t="s">
        <v>54</v>
      </c>
      <c r="EX328" s="600">
        <v>56751</v>
      </c>
      <c r="EY328"/>
    </row>
    <row r="329" spans="1:155" x14ac:dyDescent="0.2">
      <c r="A329" s="546"/>
      <c r="B329" s="19"/>
      <c r="C329" s="19"/>
      <c r="D329" s="19"/>
      <c r="E329" s="547"/>
      <c r="F329" s="547"/>
      <c r="G329" s="547"/>
      <c r="H329" s="547"/>
      <c r="I329" s="547"/>
      <c r="J329" s="547"/>
      <c r="K329" s="547"/>
      <c r="L329" s="547"/>
      <c r="M329" s="547"/>
      <c r="N329" s="547"/>
      <c r="O329" s="547"/>
      <c r="P329" s="548"/>
      <c r="Q329" s="548"/>
      <c r="R329" s="547"/>
      <c r="S329" s="547"/>
      <c r="T329" s="547"/>
      <c r="U329" s="547"/>
      <c r="V329" s="547"/>
      <c r="W329" s="547"/>
      <c r="X329" s="547"/>
      <c r="Y329" s="547"/>
      <c r="Z329" s="548"/>
      <c r="AA329" s="547"/>
      <c r="AB329" s="548"/>
      <c r="AC329" s="547"/>
      <c r="AD329" s="547"/>
      <c r="AE329" s="547"/>
      <c r="AF329" s="547"/>
      <c r="AG329" s="547"/>
      <c r="AH329" s="547"/>
      <c r="AI329" s="547"/>
      <c r="AJ329" s="547"/>
      <c r="AK329" s="547"/>
      <c r="AL329" s="547"/>
      <c r="AM329" s="547"/>
      <c r="AN329" s="548"/>
      <c r="AO329" s="547"/>
      <c r="AP329" s="548"/>
      <c r="AQ329" s="547"/>
      <c r="AR329" s="547"/>
      <c r="AS329" s="547"/>
      <c r="AT329" s="547"/>
      <c r="AU329" s="547"/>
      <c r="AV329" s="547"/>
      <c r="AW329" s="547"/>
      <c r="AX329" s="547"/>
      <c r="AY329" s="547"/>
      <c r="AZ329" s="547"/>
      <c r="BA329" s="547"/>
      <c r="BB329" s="548"/>
      <c r="BC329" s="547"/>
      <c r="BD329" s="548"/>
      <c r="BE329" s="547"/>
      <c r="BF329" s="547"/>
      <c r="BG329" s="547"/>
      <c r="BH329" s="547"/>
      <c r="BI329" s="547"/>
      <c r="BJ329" s="547"/>
      <c r="BK329" s="547"/>
      <c r="BL329" s="547"/>
      <c r="BM329" s="547"/>
      <c r="BN329" s="547"/>
      <c r="BO329" s="547"/>
      <c r="BP329" s="547"/>
      <c r="BQ329" s="547"/>
      <c r="BR329" s="548"/>
      <c r="BS329" s="547"/>
      <c r="BT329" s="547"/>
      <c r="BU329" s="547"/>
      <c r="BV329" s="547"/>
      <c r="BW329" s="547"/>
      <c r="BX329" s="547"/>
      <c r="BY329" s="547"/>
      <c r="BZ329" s="547"/>
      <c r="CA329" s="547"/>
      <c r="CB329" s="547"/>
      <c r="CC329" s="547"/>
      <c r="CD329" s="547"/>
      <c r="CE329" s="547"/>
      <c r="CF329" s="550"/>
      <c r="CG329" s="547"/>
      <c r="CH329" s="547"/>
      <c r="CI329" s="547"/>
      <c r="CJ329" s="549"/>
      <c r="CK329" s="547"/>
      <c r="CL329" s="547"/>
      <c r="CM329" s="547"/>
      <c r="CN329" s="547"/>
      <c r="CO329" s="547"/>
      <c r="CP329" s="19"/>
      <c r="CQ329" s="19"/>
      <c r="CR329" s="19"/>
      <c r="CS329" s="19"/>
      <c r="CT329" s="19"/>
      <c r="CU329" s="19"/>
      <c r="ED329" s="542"/>
      <c r="EE329" s="542"/>
      <c r="EF329" s="542"/>
      <c r="EG329" s="542"/>
      <c r="EH329" s="542"/>
      <c r="EI329" s="542"/>
      <c r="EJ329" s="542"/>
      <c r="EK329" s="542"/>
      <c r="EL329" s="542"/>
      <c r="EM329" s="19"/>
      <c r="EN329" s="569"/>
      <c r="EO329" s="93"/>
      <c r="EP329" s="93"/>
      <c r="EQ329" s="93"/>
      <c r="ES329" s="569">
        <v>121</v>
      </c>
      <c r="ET329" t="s">
        <v>1913</v>
      </c>
      <c r="EU329" t="s">
        <v>965</v>
      </c>
      <c r="EV329" t="s">
        <v>966</v>
      </c>
      <c r="EW329" t="s">
        <v>54</v>
      </c>
      <c r="EX329" s="599">
        <v>56751</v>
      </c>
      <c r="EY329">
        <v>1609861095</v>
      </c>
    </row>
    <row r="330" spans="1:155" x14ac:dyDescent="0.2">
      <c r="A330" s="93"/>
      <c r="J330" s="543"/>
      <c r="K330" s="543"/>
      <c r="L330" s="543"/>
      <c r="M330" s="543"/>
      <c r="N330" s="543"/>
      <c r="O330" s="543"/>
      <c r="P330" s="543"/>
      <c r="Q330" s="543"/>
      <c r="R330" s="543"/>
      <c r="S330" s="543"/>
      <c r="T330" s="543"/>
      <c r="U330" s="543"/>
      <c r="V330" s="543"/>
      <c r="W330" s="543"/>
      <c r="X330" s="543"/>
      <c r="Y330" s="543"/>
      <c r="Z330" s="543"/>
      <c r="AA330" s="543"/>
      <c r="AB330" s="543"/>
      <c r="AC330" s="543"/>
      <c r="AD330" s="543"/>
      <c r="AE330" s="543"/>
      <c r="AF330" s="543"/>
      <c r="AG330" s="543"/>
      <c r="AH330" s="543"/>
      <c r="AI330" s="543"/>
      <c r="AJ330" s="543"/>
      <c r="AK330" s="543"/>
      <c r="AL330" s="543"/>
      <c r="AM330" s="543"/>
      <c r="AN330" s="543"/>
      <c r="AO330" s="543"/>
      <c r="AP330" s="543"/>
      <c r="AQ330" s="543"/>
      <c r="AR330" s="543"/>
      <c r="AS330" s="543"/>
      <c r="AT330" s="543"/>
      <c r="AU330" s="543"/>
      <c r="AV330" s="543"/>
      <c r="AW330" s="543"/>
      <c r="AX330" s="543"/>
      <c r="AY330" s="543"/>
      <c r="AZ330" s="543"/>
      <c r="BA330" s="543"/>
      <c r="BB330" s="543"/>
      <c r="BC330" s="543"/>
      <c r="BD330" s="543"/>
      <c r="BE330" s="543"/>
      <c r="BF330" s="543"/>
      <c r="BG330" s="543"/>
      <c r="BH330" s="543"/>
      <c r="BI330" s="543"/>
      <c r="BJ330" s="543"/>
      <c r="BK330" s="543"/>
      <c r="BL330" s="543"/>
      <c r="BM330" s="543"/>
      <c r="BN330" s="543"/>
      <c r="BO330" s="543"/>
      <c r="BP330" s="543"/>
      <c r="BQ330" s="543"/>
      <c r="BR330" s="543"/>
      <c r="BS330" s="543"/>
      <c r="BT330" s="543"/>
      <c r="BU330" s="543"/>
      <c r="BV330" s="543"/>
      <c r="BW330" s="543"/>
      <c r="BX330" s="543"/>
      <c r="BY330" s="543"/>
      <c r="BZ330" s="543"/>
      <c r="CA330" s="543"/>
      <c r="CB330" s="543"/>
      <c r="CC330" s="543"/>
      <c r="CD330" s="544"/>
      <c r="CE330" s="543"/>
      <c r="CF330" s="543"/>
      <c r="CG330" s="543"/>
      <c r="CH330" s="543"/>
      <c r="CI330" s="544"/>
      <c r="CJ330" s="543"/>
      <c r="CK330" s="543"/>
      <c r="CL330" s="543"/>
      <c r="CM330" s="543"/>
      <c r="CN330" s="545"/>
      <c r="CO330" s="543"/>
      <c r="CP330" s="545"/>
      <c r="CQ330" s="543"/>
      <c r="CR330" s="543"/>
      <c r="CS330" s="543"/>
      <c r="CT330" s="543"/>
      <c r="CU330" s="543"/>
      <c r="CV330" s="543"/>
      <c r="CW330" s="543"/>
      <c r="CX330" s="543"/>
      <c r="CY330" s="543"/>
      <c r="CZ330" s="545"/>
      <c r="DA330" s="543"/>
      <c r="DB330" s="543"/>
      <c r="DC330" s="543"/>
      <c r="DD330" s="543"/>
      <c r="DE330" s="543"/>
      <c r="DF330" s="543"/>
      <c r="DG330" s="543"/>
      <c r="DH330" s="545"/>
      <c r="DI330" s="543"/>
      <c r="DJ330" s="546"/>
      <c r="DK330" s="543"/>
      <c r="DL330" s="543"/>
      <c r="DM330" s="543"/>
      <c r="DN330" s="543"/>
      <c r="DO330" s="543"/>
      <c r="DP330" s="543"/>
      <c r="DT330" s="546"/>
      <c r="DU330" s="19"/>
      <c r="DV330" s="19"/>
      <c r="DW330" s="19"/>
      <c r="DX330" s="19"/>
      <c r="DY330" s="19"/>
      <c r="DZ330" s="19"/>
      <c r="ED330" s="542"/>
      <c r="EE330" s="542"/>
      <c r="EF330" s="542"/>
      <c r="EG330" s="542"/>
      <c r="EH330" s="542"/>
      <c r="EI330" s="542"/>
      <c r="EJ330" s="542"/>
      <c r="EK330" s="542"/>
      <c r="EL330" s="542"/>
      <c r="EM330" s="19"/>
      <c r="EN330" s="569"/>
      <c r="EO330" s="93"/>
      <c r="EP330" s="93"/>
      <c r="EQ330" s="93"/>
      <c r="ES330" s="569">
        <v>761</v>
      </c>
      <c r="ET330" t="s">
        <v>1614</v>
      </c>
      <c r="EU330" t="s">
        <v>965</v>
      </c>
      <c r="EV330" t="s">
        <v>3115</v>
      </c>
      <c r="EW330" t="s">
        <v>54</v>
      </c>
      <c r="EX330" s="600">
        <v>56726</v>
      </c>
      <c r="EY330">
        <v>1679528194</v>
      </c>
    </row>
    <row r="331" spans="1:155" x14ac:dyDescent="0.2">
      <c r="A331" s="93"/>
      <c r="J331" s="543"/>
      <c r="K331" s="543"/>
      <c r="L331" s="543"/>
      <c r="M331" s="543"/>
      <c r="N331" s="543"/>
      <c r="O331" s="543"/>
      <c r="P331" s="543"/>
      <c r="Q331" s="543"/>
      <c r="R331" s="543"/>
      <c r="S331" s="543"/>
      <c r="T331" s="543"/>
      <c r="U331" s="543"/>
      <c r="V331" s="543"/>
      <c r="W331" s="543"/>
      <c r="X331" s="543"/>
      <c r="Y331" s="543"/>
      <c r="Z331" s="543"/>
      <c r="AA331" s="543"/>
      <c r="AB331" s="543"/>
      <c r="AC331" s="543"/>
      <c r="AD331" s="543"/>
      <c r="AE331" s="543"/>
      <c r="AF331" s="543"/>
      <c r="AG331" s="543"/>
      <c r="AH331" s="543"/>
      <c r="AI331" s="543"/>
      <c r="AJ331" s="543"/>
      <c r="AK331" s="543"/>
      <c r="AL331" s="543"/>
      <c r="AM331" s="543"/>
      <c r="AN331" s="543"/>
      <c r="AO331" s="543"/>
      <c r="AP331" s="543"/>
      <c r="AQ331" s="543"/>
      <c r="AR331" s="543"/>
      <c r="AS331" s="543"/>
      <c r="AT331" s="543"/>
      <c r="AU331" s="543"/>
      <c r="AV331" s="543"/>
      <c r="AW331" s="543"/>
      <c r="AX331" s="543"/>
      <c r="AY331" s="543"/>
      <c r="AZ331" s="543"/>
      <c r="BA331" s="543"/>
      <c r="BB331" s="543"/>
      <c r="BC331" s="543"/>
      <c r="BD331" s="543"/>
      <c r="BE331" s="543"/>
      <c r="BF331" s="543"/>
      <c r="BG331" s="543"/>
      <c r="BH331" s="543"/>
      <c r="BI331" s="543"/>
      <c r="BJ331" s="543"/>
      <c r="BK331" s="543"/>
      <c r="BL331" s="543"/>
      <c r="BM331" s="543"/>
      <c r="BN331" s="543"/>
      <c r="BO331" s="543"/>
      <c r="BP331" s="543"/>
      <c r="BQ331" s="543"/>
      <c r="BR331" s="543"/>
      <c r="BS331" s="543"/>
      <c r="BT331" s="543"/>
      <c r="BU331" s="543"/>
      <c r="BV331" s="543"/>
      <c r="BW331" s="543"/>
      <c r="BX331" s="543"/>
      <c r="BY331" s="543"/>
      <c r="BZ331" s="543"/>
      <c r="CA331" s="543"/>
      <c r="CB331" s="543"/>
      <c r="CC331" s="543"/>
      <c r="CD331" s="544"/>
      <c r="CE331" s="543"/>
      <c r="CF331" s="543"/>
      <c r="CG331" s="543"/>
      <c r="CH331" s="543"/>
      <c r="CI331" s="544"/>
      <c r="CJ331" s="543"/>
      <c r="CK331" s="543"/>
      <c r="CL331" s="543"/>
      <c r="CM331" s="543"/>
      <c r="CN331" s="545"/>
      <c r="CO331" s="543"/>
      <c r="CP331" s="545"/>
      <c r="CQ331" s="543"/>
      <c r="CR331" s="545"/>
      <c r="CS331" s="543"/>
      <c r="CT331" s="543"/>
      <c r="CU331" s="543"/>
      <c r="CV331" s="543"/>
      <c r="CW331" s="543"/>
      <c r="CX331" s="543"/>
      <c r="CY331" s="543"/>
      <c r="CZ331" s="545"/>
      <c r="DA331" s="543"/>
      <c r="DB331" s="543"/>
      <c r="DC331" s="543"/>
      <c r="DD331" s="543"/>
      <c r="DE331" s="543"/>
      <c r="DF331" s="543"/>
      <c r="DG331" s="543"/>
      <c r="DH331" s="543"/>
      <c r="DI331" s="543"/>
      <c r="DJ331" s="546"/>
      <c r="DK331" s="543"/>
      <c r="DL331" s="543"/>
      <c r="DM331" s="543"/>
      <c r="DN331" s="543"/>
      <c r="DO331" s="543"/>
      <c r="DP331" s="543"/>
      <c r="DT331" s="546"/>
      <c r="DU331" s="19"/>
      <c r="DV331" s="19"/>
      <c r="DW331" s="19"/>
      <c r="DX331" s="19"/>
      <c r="DY331" s="19"/>
      <c r="DZ331" s="19"/>
      <c r="ED331" s="542"/>
      <c r="EE331" s="542"/>
      <c r="EF331" s="542"/>
      <c r="EG331" s="542"/>
      <c r="EH331" s="542"/>
      <c r="EI331" s="542"/>
      <c r="EJ331" s="542"/>
      <c r="EK331" s="542"/>
      <c r="EL331" s="542"/>
      <c r="EM331" s="19"/>
      <c r="EN331" s="569"/>
      <c r="EO331" s="93"/>
      <c r="EP331" s="93"/>
      <c r="EQ331" s="93"/>
      <c r="ES331" s="569">
        <v>1216</v>
      </c>
      <c r="ET331" t="s">
        <v>839</v>
      </c>
      <c r="EU331" t="s">
        <v>840</v>
      </c>
      <c r="EV331" t="s">
        <v>3116</v>
      </c>
      <c r="EW331" t="s">
        <v>54</v>
      </c>
      <c r="EX331" s="600">
        <v>55113</v>
      </c>
      <c r="EY331">
        <v>1659348092</v>
      </c>
    </row>
    <row r="332" spans="1:155" x14ac:dyDescent="0.2">
      <c r="A332" s="93"/>
      <c r="J332" s="547"/>
      <c r="K332" s="547"/>
      <c r="L332" s="547"/>
      <c r="M332" s="547"/>
      <c r="N332" s="547"/>
      <c r="O332" s="547"/>
      <c r="P332" s="548"/>
      <c r="Q332" s="548"/>
      <c r="R332" s="547"/>
      <c r="S332" s="547"/>
      <c r="T332" s="547"/>
      <c r="U332" s="547"/>
      <c r="V332" s="547"/>
      <c r="W332" s="547"/>
      <c r="X332" s="547"/>
      <c r="Y332" s="547"/>
      <c r="Z332" s="548"/>
      <c r="AA332" s="547"/>
      <c r="AB332" s="548"/>
      <c r="AC332" s="547"/>
      <c r="AD332" s="547"/>
      <c r="AE332" s="547"/>
      <c r="AF332" s="547"/>
      <c r="AG332" s="547"/>
      <c r="AH332" s="547"/>
      <c r="AI332" s="547"/>
      <c r="AJ332" s="547"/>
      <c r="AK332" s="547"/>
      <c r="AL332" s="547"/>
      <c r="AM332" s="547"/>
      <c r="AN332" s="548"/>
      <c r="AO332" s="547"/>
      <c r="AP332" s="548"/>
      <c r="AQ332" s="547"/>
      <c r="AR332" s="547"/>
      <c r="AS332" s="547"/>
      <c r="AT332" s="547"/>
      <c r="AU332" s="547"/>
      <c r="AV332" s="547"/>
      <c r="AW332" s="547"/>
      <c r="AX332" s="547"/>
      <c r="AY332" s="547"/>
      <c r="AZ332" s="547"/>
      <c r="BA332" s="547"/>
      <c r="BB332" s="548"/>
      <c r="BC332" s="547"/>
      <c r="BD332" s="548"/>
      <c r="BE332" s="547"/>
      <c r="BF332" s="547"/>
      <c r="BG332" s="547"/>
      <c r="BH332" s="547"/>
      <c r="BI332" s="547"/>
      <c r="BJ332" s="547"/>
      <c r="BK332" s="547"/>
      <c r="BL332" s="547"/>
      <c r="BM332" s="547"/>
      <c r="BN332" s="547"/>
      <c r="BO332" s="547"/>
      <c r="BP332" s="547"/>
      <c r="BQ332" s="547"/>
      <c r="BR332" s="548"/>
      <c r="BS332" s="547"/>
      <c r="BT332" s="547"/>
      <c r="BU332" s="547"/>
      <c r="BV332" s="547"/>
      <c r="BW332" s="547"/>
      <c r="BX332" s="547"/>
      <c r="BY332" s="547"/>
      <c r="BZ332" s="547"/>
      <c r="CA332" s="547"/>
      <c r="CB332" s="547"/>
      <c r="CC332" s="547"/>
      <c r="CD332" s="547"/>
      <c r="CE332" s="547"/>
      <c r="CF332" s="547"/>
      <c r="CG332" s="547"/>
      <c r="CH332" s="547"/>
      <c r="CI332" s="547"/>
      <c r="CJ332" s="549"/>
      <c r="CK332" s="547"/>
      <c r="CL332" s="547"/>
      <c r="CM332" s="547"/>
      <c r="CN332" s="547"/>
      <c r="CO332" s="547"/>
      <c r="CP332" s="19"/>
      <c r="CQ332" s="19"/>
      <c r="CR332" s="19"/>
      <c r="CS332" s="19"/>
      <c r="CT332" s="19"/>
      <c r="CU332" s="19"/>
      <c r="ED332" s="542"/>
      <c r="EE332" s="542"/>
      <c r="EF332" s="542"/>
      <c r="EG332" s="542"/>
      <c r="EH332" s="542"/>
      <c r="EI332" s="542"/>
      <c r="EJ332" s="542"/>
      <c r="EK332" s="542"/>
      <c r="EL332" s="542"/>
      <c r="EM332" s="19"/>
      <c r="EN332" s="569"/>
      <c r="EO332" s="93"/>
      <c r="EP332" s="93"/>
      <c r="EQ332" s="93"/>
      <c r="ES332" s="569">
        <v>124</v>
      </c>
      <c r="ET332" t="s">
        <v>1914</v>
      </c>
      <c r="EU332" t="s">
        <v>926</v>
      </c>
      <c r="EV332" t="s">
        <v>2332</v>
      </c>
      <c r="EW332" t="s">
        <v>54</v>
      </c>
      <c r="EX332" s="599">
        <v>55072</v>
      </c>
      <c r="EY332">
        <v>1568540847</v>
      </c>
    </row>
    <row r="333" spans="1:155" x14ac:dyDescent="0.2">
      <c r="A333" s="93"/>
      <c r="J333" s="547"/>
      <c r="K333" s="547"/>
      <c r="L333" s="547"/>
      <c r="M333" s="547"/>
      <c r="N333" s="547"/>
      <c r="O333" s="547"/>
      <c r="P333" s="548"/>
      <c r="Q333" s="548"/>
      <c r="R333" s="547"/>
      <c r="S333" s="547"/>
      <c r="T333" s="547"/>
      <c r="U333" s="547"/>
      <c r="V333" s="547"/>
      <c r="W333" s="547"/>
      <c r="X333" s="547"/>
      <c r="Y333" s="547"/>
      <c r="Z333" s="548"/>
      <c r="AA333" s="547"/>
      <c r="AB333" s="548"/>
      <c r="AC333" s="547"/>
      <c r="AD333" s="547"/>
      <c r="AE333" s="547"/>
      <c r="AF333" s="547"/>
      <c r="AG333" s="547"/>
      <c r="AH333" s="547"/>
      <c r="AI333" s="547"/>
      <c r="AJ333" s="547"/>
      <c r="AK333" s="547"/>
      <c r="AL333" s="547"/>
      <c r="AM333" s="547"/>
      <c r="AN333" s="548"/>
      <c r="AO333" s="547"/>
      <c r="AP333" s="548"/>
      <c r="AQ333" s="547"/>
      <c r="AR333" s="547"/>
      <c r="AS333" s="547"/>
      <c r="AT333" s="547"/>
      <c r="AU333" s="547"/>
      <c r="AV333" s="547"/>
      <c r="AW333" s="547"/>
      <c r="AX333" s="547"/>
      <c r="AY333" s="547"/>
      <c r="AZ333" s="547"/>
      <c r="BA333" s="547"/>
      <c r="BB333" s="548"/>
      <c r="BC333" s="547"/>
      <c r="BD333" s="548"/>
      <c r="BE333" s="547"/>
      <c r="BF333" s="547"/>
      <c r="BG333" s="547"/>
      <c r="BH333" s="547"/>
      <c r="BI333" s="547"/>
      <c r="BJ333" s="547"/>
      <c r="BK333" s="547"/>
      <c r="BL333" s="547"/>
      <c r="BM333" s="547"/>
      <c r="BN333" s="547"/>
      <c r="BO333" s="547"/>
      <c r="BP333" s="547"/>
      <c r="BQ333" s="547"/>
      <c r="BR333" s="548"/>
      <c r="BS333" s="547"/>
      <c r="BT333" s="547"/>
      <c r="BU333" s="547"/>
      <c r="BV333" s="547"/>
      <c r="BW333" s="547"/>
      <c r="BX333" s="547"/>
      <c r="BY333" s="547"/>
      <c r="BZ333" s="547"/>
      <c r="CA333" s="547"/>
      <c r="CB333" s="547"/>
      <c r="CC333" s="547"/>
      <c r="CD333" s="547"/>
      <c r="CE333" s="547"/>
      <c r="CF333" s="550"/>
      <c r="CG333" s="547"/>
      <c r="CH333" s="547"/>
      <c r="CI333" s="547"/>
      <c r="CJ333" s="549"/>
      <c r="CK333" s="547"/>
      <c r="CL333" s="547"/>
      <c r="CM333" s="547"/>
      <c r="CN333" s="547"/>
      <c r="CO333" s="547"/>
      <c r="CP333" s="19"/>
      <c r="CQ333" s="19"/>
      <c r="CR333" s="19"/>
      <c r="CS333" s="19"/>
      <c r="CT333" s="19"/>
      <c r="CU333" s="19"/>
      <c r="ED333" s="542"/>
      <c r="EE333" s="542"/>
      <c r="EF333" s="542"/>
      <c r="EG333" s="542"/>
      <c r="EH333" s="542"/>
      <c r="EI333" s="542"/>
      <c r="EJ333" s="542"/>
      <c r="EK333" s="542"/>
      <c r="EL333" s="542"/>
      <c r="EM333" s="19"/>
      <c r="EN333" s="569"/>
      <c r="EO333" s="93"/>
      <c r="EP333" s="93"/>
      <c r="EQ333" s="93"/>
      <c r="ES333" s="569">
        <v>655</v>
      </c>
      <c r="ET333" t="s">
        <v>843</v>
      </c>
      <c r="EU333" t="s">
        <v>844</v>
      </c>
      <c r="EV333" t="s">
        <v>3117</v>
      </c>
      <c r="EW333" t="s">
        <v>54</v>
      </c>
      <c r="EX333" s="600">
        <v>56377</v>
      </c>
      <c r="EY333">
        <v>1659348092</v>
      </c>
    </row>
    <row r="334" spans="1:155" x14ac:dyDescent="0.2">
      <c r="A334" s="93"/>
      <c r="J334" s="543"/>
      <c r="K334" s="543"/>
      <c r="L334" s="543"/>
      <c r="M334" s="543"/>
      <c r="N334" s="543"/>
      <c r="O334" s="543"/>
      <c r="P334" s="543"/>
      <c r="Q334" s="543"/>
      <c r="R334" s="543"/>
      <c r="S334" s="543"/>
      <c r="T334" s="543"/>
      <c r="U334" s="543"/>
      <c r="V334" s="543"/>
      <c r="W334" s="543"/>
      <c r="X334" s="543"/>
      <c r="Y334" s="543"/>
      <c r="Z334" s="543"/>
      <c r="AA334" s="543"/>
      <c r="AB334" s="543"/>
      <c r="AC334" s="543"/>
      <c r="AD334" s="543"/>
      <c r="AE334" s="543"/>
      <c r="AF334" s="543"/>
      <c r="AG334" s="543"/>
      <c r="AH334" s="543"/>
      <c r="AI334" s="543"/>
      <c r="AJ334" s="543"/>
      <c r="AK334" s="543"/>
      <c r="AL334" s="543"/>
      <c r="AM334" s="543"/>
      <c r="AN334" s="543"/>
      <c r="AO334" s="543"/>
      <c r="AP334" s="543"/>
      <c r="AQ334" s="543"/>
      <c r="AR334" s="543"/>
      <c r="AS334" s="543"/>
      <c r="AT334" s="543"/>
      <c r="AU334" s="543"/>
      <c r="AV334" s="543"/>
      <c r="AW334" s="543"/>
      <c r="AX334" s="543"/>
      <c r="AY334" s="543"/>
      <c r="AZ334" s="543"/>
      <c r="BA334" s="543"/>
      <c r="BB334" s="543"/>
      <c r="BC334" s="543"/>
      <c r="BD334" s="543"/>
      <c r="BE334" s="543"/>
      <c r="BF334" s="543"/>
      <c r="BG334" s="543"/>
      <c r="BH334" s="543"/>
      <c r="BI334" s="543"/>
      <c r="BJ334" s="543"/>
      <c r="BK334" s="543"/>
      <c r="BL334" s="543"/>
      <c r="BM334" s="543"/>
      <c r="BN334" s="543"/>
      <c r="BO334" s="543"/>
      <c r="BP334" s="543"/>
      <c r="BQ334" s="543"/>
      <c r="BR334" s="543"/>
      <c r="BS334" s="543"/>
      <c r="BT334" s="543"/>
      <c r="BU334" s="543"/>
      <c r="BV334" s="543"/>
      <c r="BW334" s="543"/>
      <c r="BX334" s="543"/>
      <c r="BY334" s="543"/>
      <c r="BZ334" s="543"/>
      <c r="CA334" s="543"/>
      <c r="CB334" s="543"/>
      <c r="CC334" s="543"/>
      <c r="CD334" s="544"/>
      <c r="CE334" s="543"/>
      <c r="CF334" s="543"/>
      <c r="CG334" s="543"/>
      <c r="CH334" s="543"/>
      <c r="CI334" s="544"/>
      <c r="CJ334" s="543"/>
      <c r="CK334" s="543"/>
      <c r="CL334" s="543"/>
      <c r="CM334" s="543"/>
      <c r="CN334" s="543"/>
      <c r="CO334" s="543"/>
      <c r="CP334" s="545"/>
      <c r="CQ334" s="543"/>
      <c r="CR334" s="545"/>
      <c r="CS334" s="543"/>
      <c r="CT334" s="543"/>
      <c r="CU334" s="543"/>
      <c r="CV334" s="543"/>
      <c r="CW334" s="543"/>
      <c r="CX334" s="543"/>
      <c r="CY334" s="543"/>
      <c r="CZ334" s="543"/>
      <c r="DA334" s="543"/>
      <c r="DB334" s="543"/>
      <c r="DC334" s="543"/>
      <c r="DD334" s="543"/>
      <c r="DE334" s="543"/>
      <c r="DF334" s="543"/>
      <c r="DG334" s="543"/>
      <c r="DH334" s="545"/>
      <c r="DI334" s="543"/>
      <c r="DJ334" s="546"/>
      <c r="DK334" s="543"/>
      <c r="DL334" s="543"/>
      <c r="DM334" s="543"/>
      <c r="DN334" s="543"/>
      <c r="DO334" s="543"/>
      <c r="DP334" s="543"/>
      <c r="DT334" s="546"/>
      <c r="DU334" s="19"/>
      <c r="DV334" s="19"/>
      <c r="DW334" s="19"/>
      <c r="DX334" s="19"/>
      <c r="DY334" s="19"/>
      <c r="DZ334" s="19"/>
      <c r="ED334" s="542"/>
      <c r="EE334" s="542"/>
      <c r="EF334" s="542"/>
      <c r="EG334" s="542"/>
      <c r="EH334" s="542"/>
      <c r="EI334" s="542"/>
      <c r="EJ334" s="542"/>
      <c r="EK334" s="542"/>
      <c r="EL334" s="542"/>
      <c r="EM334" s="19"/>
      <c r="EN334" s="569"/>
      <c r="EO334" s="93"/>
      <c r="EP334" s="93"/>
      <c r="EQ334" s="93"/>
      <c r="ES334" s="569">
        <v>1017</v>
      </c>
      <c r="ET334" t="s">
        <v>1230</v>
      </c>
      <c r="EU334" t="s">
        <v>844</v>
      </c>
      <c r="EV334" t="s">
        <v>3118</v>
      </c>
      <c r="EW334" t="s">
        <v>54</v>
      </c>
      <c r="EX334" s="600">
        <v>56303</v>
      </c>
      <c r="EY334">
        <v>1013056969</v>
      </c>
    </row>
    <row r="335" spans="1:155" x14ac:dyDescent="0.2">
      <c r="A335" s="93"/>
      <c r="J335" s="543"/>
      <c r="K335" s="543"/>
      <c r="L335" s="543"/>
      <c r="M335" s="543"/>
      <c r="N335" s="543"/>
      <c r="O335" s="543"/>
      <c r="P335" s="543"/>
      <c r="Q335" s="543"/>
      <c r="R335" s="543"/>
      <c r="S335" s="543"/>
      <c r="T335" s="543"/>
      <c r="U335" s="543"/>
      <c r="V335" s="543"/>
      <c r="W335" s="543"/>
      <c r="X335" s="543"/>
      <c r="Y335" s="543"/>
      <c r="Z335" s="543"/>
      <c r="AA335" s="543"/>
      <c r="AB335" s="543"/>
      <c r="AC335" s="543"/>
      <c r="AD335" s="543"/>
      <c r="AE335" s="543"/>
      <c r="AF335" s="543"/>
      <c r="AG335" s="543"/>
      <c r="AH335" s="543"/>
      <c r="AI335" s="543"/>
      <c r="AJ335" s="543"/>
      <c r="AK335" s="543"/>
      <c r="AL335" s="543"/>
      <c r="AM335" s="543"/>
      <c r="AN335" s="543"/>
      <c r="AO335" s="543"/>
      <c r="AP335" s="543"/>
      <c r="AQ335" s="543"/>
      <c r="AR335" s="543"/>
      <c r="AS335" s="543"/>
      <c r="AT335" s="543"/>
      <c r="AU335" s="543"/>
      <c r="AV335" s="543"/>
      <c r="AW335" s="543"/>
      <c r="AX335" s="543"/>
      <c r="AY335" s="543"/>
      <c r="AZ335" s="543"/>
      <c r="BA335" s="543"/>
      <c r="BB335" s="543"/>
      <c r="BC335" s="543"/>
      <c r="BD335" s="543"/>
      <c r="BE335" s="543"/>
      <c r="BF335" s="543"/>
      <c r="BG335" s="543"/>
      <c r="BH335" s="543"/>
      <c r="BI335" s="543"/>
      <c r="BJ335" s="543"/>
      <c r="BK335" s="543"/>
      <c r="BL335" s="543"/>
      <c r="BM335" s="543"/>
      <c r="BN335" s="543"/>
      <c r="BO335" s="543"/>
      <c r="BP335" s="543"/>
      <c r="BQ335" s="543"/>
      <c r="BR335" s="543"/>
      <c r="BS335" s="543"/>
      <c r="BT335" s="543"/>
      <c r="BU335" s="543"/>
      <c r="BV335" s="543"/>
      <c r="BW335" s="543"/>
      <c r="BX335" s="543"/>
      <c r="BY335" s="543"/>
      <c r="BZ335" s="543"/>
      <c r="CA335" s="543"/>
      <c r="CB335" s="543"/>
      <c r="CC335" s="543"/>
      <c r="CD335" s="544"/>
      <c r="CE335" s="543"/>
      <c r="CF335" s="543"/>
      <c r="CG335" s="543"/>
      <c r="CH335" s="543"/>
      <c r="CI335" s="544"/>
      <c r="CJ335" s="543"/>
      <c r="CK335" s="543"/>
      <c r="CL335" s="543"/>
      <c r="CM335" s="543"/>
      <c r="CN335" s="545"/>
      <c r="CO335" s="543"/>
      <c r="CP335" s="545"/>
      <c r="CQ335" s="543"/>
      <c r="CR335" s="543"/>
      <c r="CS335" s="543"/>
      <c r="CT335" s="543"/>
      <c r="CU335" s="543"/>
      <c r="CV335" s="543"/>
      <c r="CW335" s="543"/>
      <c r="CX335" s="543"/>
      <c r="CY335" s="543"/>
      <c r="CZ335" s="543"/>
      <c r="DA335" s="543"/>
      <c r="DB335" s="543"/>
      <c r="DC335" s="543"/>
      <c r="DD335" s="543"/>
      <c r="DE335" s="543"/>
      <c r="DF335" s="543"/>
      <c r="DG335" s="543"/>
      <c r="DH335" s="543"/>
      <c r="DI335" s="543"/>
      <c r="DJ335" s="546"/>
      <c r="DK335" s="543"/>
      <c r="DL335" s="543"/>
      <c r="DM335" s="543"/>
      <c r="DN335" s="543"/>
      <c r="DO335" s="543"/>
      <c r="DP335" s="543"/>
      <c r="DT335" s="546"/>
      <c r="DU335" s="19"/>
      <c r="DV335" s="19"/>
      <c r="DW335" s="19"/>
      <c r="DX335" s="19"/>
      <c r="DY335" s="19"/>
      <c r="DZ335" s="19"/>
      <c r="ED335" s="542"/>
      <c r="EE335" s="542"/>
      <c r="EF335" s="542"/>
      <c r="EG335" s="542"/>
      <c r="EH335" s="542"/>
      <c r="EI335" s="542"/>
      <c r="EJ335" s="542"/>
      <c r="EK335" s="542"/>
      <c r="EL335" s="542"/>
      <c r="EM335" s="19"/>
      <c r="EN335" s="569"/>
      <c r="EO335" s="93"/>
      <c r="EP335" s="93"/>
      <c r="EQ335" s="93"/>
      <c r="ES335" s="569">
        <v>733</v>
      </c>
      <c r="ET335" t="s">
        <v>1649</v>
      </c>
      <c r="EU335" t="s">
        <v>844</v>
      </c>
      <c r="EV335" t="s">
        <v>3119</v>
      </c>
      <c r="EW335" t="s">
        <v>54</v>
      </c>
      <c r="EX335" s="600">
        <v>56377</v>
      </c>
      <c r="EY335">
        <v>1083638761</v>
      </c>
    </row>
    <row r="336" spans="1:155" x14ac:dyDescent="0.2">
      <c r="A336" s="93"/>
      <c r="J336" s="547"/>
      <c r="K336" s="547"/>
      <c r="L336" s="547"/>
      <c r="M336" s="547"/>
      <c r="N336" s="547"/>
      <c r="O336" s="547"/>
      <c r="P336" s="548"/>
      <c r="Q336" s="548"/>
      <c r="R336" s="547"/>
      <c r="S336" s="547"/>
      <c r="T336" s="547"/>
      <c r="U336" s="547"/>
      <c r="V336" s="547"/>
      <c r="W336" s="547"/>
      <c r="X336" s="547"/>
      <c r="Y336" s="547"/>
      <c r="Z336" s="548"/>
      <c r="AA336" s="547"/>
      <c r="AB336" s="548"/>
      <c r="AC336" s="547"/>
      <c r="AD336" s="547"/>
      <c r="AE336" s="547"/>
      <c r="AF336" s="547"/>
      <c r="AG336" s="547"/>
      <c r="AH336" s="547"/>
      <c r="AI336" s="547"/>
      <c r="AJ336" s="547"/>
      <c r="AK336" s="547"/>
      <c r="AL336" s="547"/>
      <c r="AM336" s="547"/>
      <c r="AN336" s="548"/>
      <c r="AO336" s="547"/>
      <c r="AP336" s="548"/>
      <c r="AQ336" s="547"/>
      <c r="AR336" s="547"/>
      <c r="AS336" s="547"/>
      <c r="AT336" s="547"/>
      <c r="AU336" s="547"/>
      <c r="AV336" s="547"/>
      <c r="AW336" s="547"/>
      <c r="AX336" s="547"/>
      <c r="AY336" s="547"/>
      <c r="AZ336" s="547"/>
      <c r="BA336" s="547"/>
      <c r="BB336" s="548"/>
      <c r="BC336" s="547"/>
      <c r="BD336" s="548"/>
      <c r="BE336" s="547"/>
      <c r="BF336" s="547"/>
      <c r="BG336" s="547"/>
      <c r="BH336" s="547"/>
      <c r="BI336" s="547"/>
      <c r="BJ336" s="547"/>
      <c r="BK336" s="547"/>
      <c r="BL336" s="547"/>
      <c r="BM336" s="547"/>
      <c r="BN336" s="547"/>
      <c r="BO336" s="547"/>
      <c r="BP336" s="547"/>
      <c r="BQ336" s="547"/>
      <c r="BR336" s="548"/>
      <c r="BS336" s="547"/>
      <c r="BT336" s="547"/>
      <c r="BU336" s="547"/>
      <c r="BV336" s="547"/>
      <c r="BW336" s="547"/>
      <c r="BX336" s="547"/>
      <c r="BY336" s="547"/>
      <c r="BZ336" s="547"/>
      <c r="CA336" s="547"/>
      <c r="CB336" s="547"/>
      <c r="CC336" s="547"/>
      <c r="CD336" s="547"/>
      <c r="CE336" s="547"/>
      <c r="CF336" s="547"/>
      <c r="CG336" s="547"/>
      <c r="CH336" s="547"/>
      <c r="CI336" s="547"/>
      <c r="CJ336" s="549"/>
      <c r="CK336" s="547"/>
      <c r="CL336" s="547"/>
      <c r="CM336" s="547"/>
      <c r="CN336" s="547"/>
      <c r="CO336" s="547"/>
      <c r="CP336" s="19"/>
      <c r="CQ336" s="19"/>
      <c r="CR336" s="19"/>
      <c r="CS336" s="19"/>
      <c r="CT336" s="19"/>
      <c r="CU336" s="19"/>
      <c r="ED336" s="542"/>
      <c r="EE336" s="542"/>
      <c r="EF336" s="542"/>
      <c r="EG336" s="542"/>
      <c r="EH336" s="542"/>
      <c r="EI336" s="542"/>
      <c r="EJ336" s="542"/>
      <c r="EK336" s="542"/>
      <c r="EL336" s="542"/>
      <c r="EM336" s="19"/>
      <c r="EN336" s="569"/>
      <c r="EO336" s="93"/>
      <c r="EP336" s="93"/>
      <c r="EQ336" s="93"/>
      <c r="ES336" s="569">
        <v>149</v>
      </c>
      <c r="ET336" t="s">
        <v>1915</v>
      </c>
      <c r="EU336" t="s">
        <v>899</v>
      </c>
      <c r="EV336" t="s">
        <v>900</v>
      </c>
      <c r="EW336" t="s">
        <v>54</v>
      </c>
      <c r="EX336" s="599">
        <v>56378</v>
      </c>
      <c r="EY336">
        <v>1740553932</v>
      </c>
    </row>
    <row r="337" spans="1:155" x14ac:dyDescent="0.2">
      <c r="A337" s="93"/>
      <c r="J337" s="547"/>
      <c r="K337" s="547"/>
      <c r="L337" s="547"/>
      <c r="M337" s="547"/>
      <c r="N337" s="547"/>
      <c r="O337" s="547"/>
      <c r="P337" s="548"/>
      <c r="Q337" s="548"/>
      <c r="R337" s="547"/>
      <c r="S337" s="547"/>
      <c r="T337" s="547"/>
      <c r="U337" s="547"/>
      <c r="V337" s="547"/>
      <c r="W337" s="547"/>
      <c r="X337" s="547"/>
      <c r="Y337" s="547"/>
      <c r="Z337" s="548"/>
      <c r="AA337" s="547"/>
      <c r="AB337" s="548"/>
      <c r="AC337" s="547"/>
      <c r="AD337" s="547"/>
      <c r="AE337" s="547"/>
      <c r="AF337" s="547"/>
      <c r="AG337" s="547"/>
      <c r="AH337" s="547"/>
      <c r="AI337" s="547"/>
      <c r="AJ337" s="547"/>
      <c r="AK337" s="547"/>
      <c r="AL337" s="547"/>
      <c r="AM337" s="547"/>
      <c r="AN337" s="548"/>
      <c r="AO337" s="547"/>
      <c r="AP337" s="548"/>
      <c r="AQ337" s="547"/>
      <c r="AR337" s="547"/>
      <c r="AS337" s="547"/>
      <c r="AT337" s="547"/>
      <c r="AU337" s="547"/>
      <c r="AV337" s="547"/>
      <c r="AW337" s="547"/>
      <c r="AX337" s="547"/>
      <c r="AY337" s="547"/>
      <c r="AZ337" s="547"/>
      <c r="BA337" s="547"/>
      <c r="BB337" s="548"/>
      <c r="BC337" s="547"/>
      <c r="BD337" s="548"/>
      <c r="BE337" s="547"/>
      <c r="BF337" s="547"/>
      <c r="BG337" s="547"/>
      <c r="BH337" s="547"/>
      <c r="BI337" s="547"/>
      <c r="BJ337" s="547"/>
      <c r="BK337" s="547"/>
      <c r="BL337" s="547"/>
      <c r="BM337" s="547"/>
      <c r="BN337" s="547"/>
      <c r="BO337" s="547"/>
      <c r="BP337" s="547"/>
      <c r="BQ337" s="547"/>
      <c r="BR337" s="548"/>
      <c r="BS337" s="547"/>
      <c r="BT337" s="547"/>
      <c r="BU337" s="547"/>
      <c r="BV337" s="547"/>
      <c r="BW337" s="547"/>
      <c r="BX337" s="547"/>
      <c r="BY337" s="547"/>
      <c r="BZ337" s="547"/>
      <c r="CA337" s="547"/>
      <c r="CB337" s="547"/>
      <c r="CC337" s="547"/>
      <c r="CD337" s="547"/>
      <c r="CE337" s="547"/>
      <c r="CF337" s="550"/>
      <c r="CG337" s="547"/>
      <c r="CH337" s="547"/>
      <c r="CI337" s="547"/>
      <c r="CJ337" s="549"/>
      <c r="CK337" s="547"/>
      <c r="CL337" s="547"/>
      <c r="CM337" s="547"/>
      <c r="CN337" s="547"/>
      <c r="CO337" s="547"/>
      <c r="CP337" s="19"/>
      <c r="CQ337" s="19"/>
      <c r="CR337" s="19"/>
      <c r="CS337" s="19"/>
      <c r="CT337" s="19"/>
      <c r="CU337" s="19"/>
      <c r="ED337" s="542"/>
      <c r="EE337" s="542"/>
      <c r="EF337" s="542"/>
      <c r="EG337" s="542"/>
      <c r="EH337" s="542"/>
      <c r="EI337" s="542"/>
      <c r="EJ337" s="542"/>
      <c r="EK337" s="542"/>
      <c r="EL337" s="542"/>
      <c r="EM337" s="19"/>
      <c r="EN337" s="569"/>
      <c r="EO337" s="93"/>
      <c r="EP337" s="93"/>
      <c r="EQ337" s="93"/>
      <c r="ES337" s="569">
        <v>857</v>
      </c>
      <c r="ET337" t="s">
        <v>898</v>
      </c>
      <c r="EU337" t="s">
        <v>899</v>
      </c>
      <c r="EV337" t="s">
        <v>3120</v>
      </c>
      <c r="EW337" t="s">
        <v>54</v>
      </c>
      <c r="EX337" s="600">
        <v>56378</v>
      </c>
      <c r="EY337"/>
    </row>
    <row r="338" spans="1:155" x14ac:dyDescent="0.2">
      <c r="A338" s="93"/>
      <c r="J338" s="547"/>
      <c r="K338" s="547"/>
      <c r="L338" s="547"/>
      <c r="M338" s="547"/>
      <c r="N338" s="547"/>
      <c r="O338" s="547"/>
      <c r="P338" s="548"/>
      <c r="Q338" s="548"/>
      <c r="R338" s="547"/>
      <c r="S338" s="547"/>
      <c r="T338" s="547"/>
      <c r="U338" s="547"/>
      <c r="V338" s="547"/>
      <c r="W338" s="547"/>
      <c r="X338" s="547"/>
      <c r="Y338" s="547"/>
      <c r="Z338" s="548"/>
      <c r="AA338" s="547"/>
      <c r="AB338" s="548"/>
      <c r="AC338" s="547"/>
      <c r="AD338" s="547"/>
      <c r="AE338" s="547"/>
      <c r="AF338" s="547"/>
      <c r="AG338" s="547"/>
      <c r="AH338" s="547"/>
      <c r="AI338" s="547"/>
      <c r="AJ338" s="547"/>
      <c r="AK338" s="547"/>
      <c r="AL338" s="547"/>
      <c r="AM338" s="547"/>
      <c r="AN338" s="548"/>
      <c r="AO338" s="547"/>
      <c r="AP338" s="548"/>
      <c r="AQ338" s="547"/>
      <c r="AR338" s="547"/>
      <c r="AS338" s="547"/>
      <c r="AT338" s="547"/>
      <c r="AU338" s="547"/>
      <c r="AV338" s="547"/>
      <c r="AW338" s="547"/>
      <c r="AX338" s="547"/>
      <c r="AY338" s="547"/>
      <c r="AZ338" s="547"/>
      <c r="BA338" s="547"/>
      <c r="BB338" s="548"/>
      <c r="BC338" s="547"/>
      <c r="BD338" s="548"/>
      <c r="BE338" s="547"/>
      <c r="BF338" s="547"/>
      <c r="BG338" s="547"/>
      <c r="BH338" s="547"/>
      <c r="BI338" s="547"/>
      <c r="BJ338" s="547"/>
      <c r="BK338" s="547"/>
      <c r="BL338" s="547"/>
      <c r="BM338" s="547"/>
      <c r="BN338" s="547"/>
      <c r="BO338" s="547"/>
      <c r="BP338" s="547"/>
      <c r="BQ338" s="547"/>
      <c r="BR338" s="548"/>
      <c r="BS338" s="547"/>
      <c r="BT338" s="547"/>
      <c r="BU338" s="547"/>
      <c r="BV338" s="547"/>
      <c r="BW338" s="547"/>
      <c r="BX338" s="547"/>
      <c r="BY338" s="547"/>
      <c r="BZ338" s="547"/>
      <c r="CA338" s="547"/>
      <c r="CB338" s="547"/>
      <c r="CC338" s="547"/>
      <c r="CD338" s="547"/>
      <c r="CE338" s="547"/>
      <c r="CF338" s="547"/>
      <c r="CG338" s="547"/>
      <c r="CH338" s="547"/>
      <c r="CI338" s="547"/>
      <c r="CJ338" s="549"/>
      <c r="CK338" s="547"/>
      <c r="CL338" s="547"/>
      <c r="CM338" s="547"/>
      <c r="CN338" s="547"/>
      <c r="CO338" s="547"/>
      <c r="CP338" s="19"/>
      <c r="CQ338" s="19"/>
      <c r="CR338" s="19"/>
      <c r="CS338" s="19"/>
      <c r="CT338" s="19"/>
      <c r="CU338" s="19"/>
      <c r="ED338" s="542"/>
      <c r="EE338" s="542"/>
      <c r="EF338" s="542"/>
      <c r="EG338" s="542"/>
      <c r="EH338" s="542"/>
      <c r="EI338" s="542"/>
      <c r="EJ338" s="542"/>
      <c r="EK338" s="542"/>
      <c r="EL338" s="542"/>
      <c r="EM338" s="19"/>
      <c r="EN338" s="569"/>
      <c r="EO338" s="93"/>
      <c r="EP338" s="93"/>
      <c r="EQ338" s="93"/>
      <c r="ES338" s="569">
        <v>1402</v>
      </c>
      <c r="ET338" t="s">
        <v>2622</v>
      </c>
      <c r="EU338" t="s">
        <v>2623</v>
      </c>
      <c r="EV338" t="s">
        <v>3121</v>
      </c>
      <c r="EW338" t="s">
        <v>2625</v>
      </c>
      <c r="EX338" s="600">
        <v>37865</v>
      </c>
      <c r="EY338"/>
    </row>
    <row r="339" spans="1:155" x14ac:dyDescent="0.2">
      <c r="A339" s="93"/>
      <c r="J339" s="543"/>
      <c r="K339" s="543"/>
      <c r="L339" s="543"/>
      <c r="M339" s="543"/>
      <c r="N339" s="543"/>
      <c r="O339" s="543"/>
      <c r="P339" s="543"/>
      <c r="Q339" s="543"/>
      <c r="R339" s="543"/>
      <c r="S339" s="543"/>
      <c r="T339" s="543"/>
      <c r="U339" s="543"/>
      <c r="V339" s="543"/>
      <c r="W339" s="543"/>
      <c r="X339" s="543"/>
      <c r="Y339" s="543"/>
      <c r="Z339" s="543"/>
      <c r="AA339" s="543"/>
      <c r="AB339" s="543"/>
      <c r="AC339" s="543"/>
      <c r="AD339" s="543"/>
      <c r="AE339" s="543"/>
      <c r="AF339" s="543"/>
      <c r="AG339" s="543"/>
      <c r="AH339" s="543"/>
      <c r="AI339" s="543"/>
      <c r="AJ339" s="543"/>
      <c r="AK339" s="543"/>
      <c r="AL339" s="543"/>
      <c r="AM339" s="543"/>
      <c r="AN339" s="543"/>
      <c r="AO339" s="543"/>
      <c r="AP339" s="543"/>
      <c r="AQ339" s="543"/>
      <c r="AR339" s="543"/>
      <c r="AS339" s="543"/>
      <c r="AT339" s="543"/>
      <c r="AU339" s="543"/>
      <c r="AV339" s="543"/>
      <c r="AW339" s="543"/>
      <c r="AX339" s="543"/>
      <c r="AY339" s="543"/>
      <c r="AZ339" s="543"/>
      <c r="BA339" s="543"/>
      <c r="BB339" s="543"/>
      <c r="BC339" s="543"/>
      <c r="BD339" s="543"/>
      <c r="BE339" s="543"/>
      <c r="BF339" s="543"/>
      <c r="BG339" s="543"/>
      <c r="BH339" s="543"/>
      <c r="BI339" s="543"/>
      <c r="BJ339" s="543"/>
      <c r="BK339" s="543"/>
      <c r="BL339" s="543"/>
      <c r="BM339" s="543"/>
      <c r="BN339" s="543"/>
      <c r="BO339" s="543"/>
      <c r="BP339" s="543"/>
      <c r="BQ339" s="543"/>
      <c r="BR339" s="543"/>
      <c r="BS339" s="543"/>
      <c r="BT339" s="543"/>
      <c r="BU339" s="543"/>
      <c r="BV339" s="543"/>
      <c r="BW339" s="543"/>
      <c r="BX339" s="543"/>
      <c r="BY339" s="543"/>
      <c r="BZ339" s="543"/>
      <c r="CA339" s="543"/>
      <c r="CB339" s="543"/>
      <c r="CC339" s="543"/>
      <c r="CD339" s="544"/>
      <c r="CE339" s="543"/>
      <c r="CF339" s="543"/>
      <c r="CG339" s="543"/>
      <c r="CH339" s="543"/>
      <c r="CI339" s="544"/>
      <c r="CJ339" s="543"/>
      <c r="CK339" s="543"/>
      <c r="CL339" s="543"/>
      <c r="CM339" s="543"/>
      <c r="CN339" s="545"/>
      <c r="CO339" s="543"/>
      <c r="CP339" s="545"/>
      <c r="CQ339" s="543"/>
      <c r="CR339" s="543"/>
      <c r="CS339" s="543"/>
      <c r="CT339" s="543"/>
      <c r="CU339" s="543"/>
      <c r="CV339" s="543"/>
      <c r="CW339" s="543"/>
      <c r="CX339" s="543"/>
      <c r="CY339" s="543"/>
      <c r="CZ339" s="543"/>
      <c r="DA339" s="543"/>
      <c r="DB339" s="543"/>
      <c r="DC339" s="543"/>
      <c r="DD339" s="543"/>
      <c r="DE339" s="543"/>
      <c r="DF339" s="543"/>
      <c r="DG339" s="543"/>
      <c r="DH339" s="543"/>
      <c r="DI339" s="543"/>
      <c r="DJ339" s="546"/>
      <c r="DK339" s="543"/>
      <c r="DL339" s="543"/>
      <c r="DM339" s="543"/>
      <c r="DN339" s="543"/>
      <c r="DO339" s="543"/>
      <c r="DP339" s="543"/>
      <c r="DT339" s="546"/>
      <c r="DU339" s="19"/>
      <c r="DV339" s="19"/>
      <c r="DW339" s="19"/>
      <c r="DX339" s="19"/>
      <c r="DY339" s="19"/>
      <c r="DZ339" s="19"/>
      <c r="ED339" s="542"/>
      <c r="EE339" s="542"/>
      <c r="EF339" s="542"/>
      <c r="EG339" s="542"/>
      <c r="EH339" s="542"/>
      <c r="EI339" s="542"/>
      <c r="EJ339" s="542"/>
      <c r="EK339" s="542"/>
      <c r="EL339" s="542"/>
      <c r="EM339" s="19"/>
      <c r="EN339" s="569"/>
      <c r="EO339" s="93"/>
      <c r="EP339" s="93"/>
      <c r="EQ339" s="93"/>
      <c r="ES339" s="569">
        <v>1406</v>
      </c>
      <c r="ET339" t="s">
        <v>2632</v>
      </c>
      <c r="EU339" t="s">
        <v>2623</v>
      </c>
      <c r="EV339" t="s">
        <v>3121</v>
      </c>
      <c r="EW339" t="s">
        <v>2625</v>
      </c>
      <c r="EX339" s="600">
        <v>37865</v>
      </c>
      <c r="EY339"/>
    </row>
    <row r="340" spans="1:155" x14ac:dyDescent="0.2">
      <c r="A340" s="93"/>
      <c r="J340" s="543"/>
      <c r="K340" s="543"/>
      <c r="L340" s="543"/>
      <c r="M340" s="543"/>
      <c r="N340" s="543"/>
      <c r="O340" s="543"/>
      <c r="P340" s="543"/>
      <c r="Q340" s="543"/>
      <c r="R340" s="543"/>
      <c r="S340" s="543"/>
      <c r="T340" s="543"/>
      <c r="U340" s="543"/>
      <c r="V340" s="543"/>
      <c r="W340" s="543"/>
      <c r="X340" s="543"/>
      <c r="Y340" s="543"/>
      <c r="Z340" s="543"/>
      <c r="AA340" s="543"/>
      <c r="AB340" s="543"/>
      <c r="AC340" s="543"/>
      <c r="AD340" s="543"/>
      <c r="AE340" s="543"/>
      <c r="AF340" s="543"/>
      <c r="AG340" s="543"/>
      <c r="AH340" s="543"/>
      <c r="AI340" s="543"/>
      <c r="AJ340" s="543"/>
      <c r="AK340" s="543"/>
      <c r="AL340" s="543"/>
      <c r="AM340" s="543"/>
      <c r="AN340" s="543"/>
      <c r="AO340" s="543"/>
      <c r="AP340" s="543"/>
      <c r="AQ340" s="543"/>
      <c r="AR340" s="543"/>
      <c r="AS340" s="543"/>
      <c r="AT340" s="543"/>
      <c r="AU340" s="543"/>
      <c r="AV340" s="543"/>
      <c r="AW340" s="543"/>
      <c r="AX340" s="543"/>
      <c r="AY340" s="543"/>
      <c r="AZ340" s="543"/>
      <c r="BA340" s="543"/>
      <c r="BB340" s="543"/>
      <c r="BC340" s="543"/>
      <c r="BD340" s="543"/>
      <c r="BE340" s="543"/>
      <c r="BF340" s="543"/>
      <c r="BG340" s="543"/>
      <c r="BH340" s="543"/>
      <c r="BI340" s="543"/>
      <c r="BJ340" s="543"/>
      <c r="BK340" s="543"/>
      <c r="BL340" s="543"/>
      <c r="BM340" s="543"/>
      <c r="BN340" s="543"/>
      <c r="BO340" s="543"/>
      <c r="BP340" s="543"/>
      <c r="BQ340" s="543"/>
      <c r="BR340" s="543"/>
      <c r="BS340" s="543"/>
      <c r="BT340" s="543"/>
      <c r="BU340" s="543"/>
      <c r="BV340" s="543"/>
      <c r="BW340" s="543"/>
      <c r="BX340" s="543"/>
      <c r="BY340" s="543"/>
      <c r="BZ340" s="543"/>
      <c r="CA340" s="543"/>
      <c r="CB340" s="543"/>
      <c r="CC340" s="543"/>
      <c r="CD340" s="544"/>
      <c r="CE340" s="543"/>
      <c r="CF340" s="543"/>
      <c r="CG340" s="543"/>
      <c r="CH340" s="543"/>
      <c r="CI340" s="544"/>
      <c r="CJ340" s="543"/>
      <c r="CK340" s="543"/>
      <c r="CL340" s="543"/>
      <c r="CM340" s="543"/>
      <c r="CN340" s="545"/>
      <c r="CO340" s="543"/>
      <c r="CP340" s="543"/>
      <c r="CQ340" s="543"/>
      <c r="CR340" s="543"/>
      <c r="CS340" s="543"/>
      <c r="CT340" s="543"/>
      <c r="CU340" s="543"/>
      <c r="CV340" s="543"/>
      <c r="CW340" s="543"/>
      <c r="CX340" s="543"/>
      <c r="CY340" s="543"/>
      <c r="CZ340" s="545"/>
      <c r="DA340" s="543"/>
      <c r="DB340" s="543"/>
      <c r="DC340" s="543"/>
      <c r="DD340" s="543"/>
      <c r="DE340" s="543"/>
      <c r="DF340" s="543"/>
      <c r="DG340" s="543"/>
      <c r="DH340" s="543"/>
      <c r="DI340" s="543"/>
      <c r="DJ340" s="546"/>
      <c r="DK340" s="543"/>
      <c r="DL340" s="543"/>
      <c r="DM340" s="543"/>
      <c r="DN340" s="543"/>
      <c r="DO340" s="543"/>
      <c r="DP340" s="543"/>
      <c r="DT340" s="546"/>
      <c r="DU340" s="19"/>
      <c r="DV340" s="19"/>
      <c r="DW340" s="19"/>
      <c r="DX340" s="19"/>
      <c r="DY340" s="19"/>
      <c r="DZ340" s="19"/>
      <c r="ED340" s="542"/>
      <c r="EE340" s="542"/>
      <c r="EF340" s="542"/>
      <c r="EG340" s="542"/>
      <c r="EH340" s="542"/>
      <c r="EI340" s="542"/>
      <c r="EJ340" s="542"/>
      <c r="EK340" s="542"/>
      <c r="EL340" s="542"/>
      <c r="EM340" s="19"/>
      <c r="EN340" s="569"/>
      <c r="EO340" s="93"/>
      <c r="EP340" s="93"/>
      <c r="EQ340" s="93"/>
      <c r="ES340" s="569">
        <v>135</v>
      </c>
      <c r="ET340" t="s">
        <v>1916</v>
      </c>
      <c r="EU340" t="s">
        <v>1917</v>
      </c>
      <c r="EV340" t="s">
        <v>2333</v>
      </c>
      <c r="EW340" t="s">
        <v>54</v>
      </c>
      <c r="EX340" s="599">
        <v>55379</v>
      </c>
      <c r="EY340">
        <v>1578520045</v>
      </c>
    </row>
    <row r="341" spans="1:155" x14ac:dyDescent="0.2">
      <c r="A341" s="93"/>
      <c r="J341" s="547"/>
      <c r="K341" s="547"/>
      <c r="L341" s="547"/>
      <c r="M341" s="547"/>
      <c r="N341" s="547"/>
      <c r="O341" s="547"/>
      <c r="P341" s="548"/>
      <c r="Q341" s="548"/>
      <c r="R341" s="547"/>
      <c r="S341" s="547"/>
      <c r="T341" s="547"/>
      <c r="U341" s="547"/>
      <c r="V341" s="547"/>
      <c r="W341" s="547"/>
      <c r="X341" s="547"/>
      <c r="Y341" s="547"/>
      <c r="Z341" s="548"/>
      <c r="AA341" s="547"/>
      <c r="AB341" s="548"/>
      <c r="AC341" s="547"/>
      <c r="AD341" s="547"/>
      <c r="AE341" s="547"/>
      <c r="AF341" s="547"/>
      <c r="AG341" s="547"/>
      <c r="AH341" s="547"/>
      <c r="AI341" s="547"/>
      <c r="AJ341" s="547"/>
      <c r="AK341" s="547"/>
      <c r="AL341" s="547"/>
      <c r="AM341" s="547"/>
      <c r="AN341" s="548"/>
      <c r="AO341" s="547"/>
      <c r="AP341" s="548"/>
      <c r="AQ341" s="547"/>
      <c r="AR341" s="547"/>
      <c r="AS341" s="547"/>
      <c r="AT341" s="547"/>
      <c r="AU341" s="547"/>
      <c r="AV341" s="547"/>
      <c r="AW341" s="547"/>
      <c r="AX341" s="547"/>
      <c r="AY341" s="547"/>
      <c r="AZ341" s="547"/>
      <c r="BA341" s="547"/>
      <c r="BB341" s="548"/>
      <c r="BC341" s="547"/>
      <c r="BD341" s="548"/>
      <c r="BE341" s="547"/>
      <c r="BF341" s="547"/>
      <c r="BG341" s="547"/>
      <c r="BH341" s="547"/>
      <c r="BI341" s="547"/>
      <c r="BJ341" s="547"/>
      <c r="BK341" s="547"/>
      <c r="BL341" s="547"/>
      <c r="BM341" s="547"/>
      <c r="BN341" s="547"/>
      <c r="BO341" s="547"/>
      <c r="BP341" s="547"/>
      <c r="BQ341" s="547"/>
      <c r="BR341" s="548"/>
      <c r="BS341" s="547"/>
      <c r="BT341" s="547"/>
      <c r="BU341" s="547"/>
      <c r="BV341" s="547"/>
      <c r="BW341" s="547"/>
      <c r="BX341" s="547"/>
      <c r="BY341" s="547"/>
      <c r="BZ341" s="547"/>
      <c r="CA341" s="547"/>
      <c r="CB341" s="547"/>
      <c r="CC341" s="547"/>
      <c r="CD341" s="547"/>
      <c r="CE341" s="547"/>
      <c r="CF341" s="547"/>
      <c r="CG341" s="547"/>
      <c r="CH341" s="547"/>
      <c r="CI341" s="547"/>
      <c r="CJ341" s="549"/>
      <c r="CK341" s="547"/>
      <c r="CL341" s="547"/>
      <c r="CM341" s="547"/>
      <c r="CN341" s="547"/>
      <c r="CO341" s="547"/>
      <c r="CP341" s="19"/>
      <c r="CQ341" s="19"/>
      <c r="CR341" s="19"/>
      <c r="CS341" s="19"/>
      <c r="CT341" s="19"/>
      <c r="CU341" s="19"/>
      <c r="ED341" s="542"/>
      <c r="EE341" s="542"/>
      <c r="EF341" s="542"/>
      <c r="EG341" s="542"/>
      <c r="EH341" s="542"/>
      <c r="EI341" s="542"/>
      <c r="EJ341" s="542"/>
      <c r="EK341" s="542"/>
      <c r="EL341" s="542"/>
      <c r="EM341" s="19"/>
      <c r="EN341" s="569"/>
      <c r="EO341" s="93"/>
      <c r="EP341" s="93"/>
      <c r="EQ341" s="93"/>
      <c r="ES341" s="569">
        <v>874</v>
      </c>
      <c r="ET341" t="s">
        <v>749</v>
      </c>
      <c r="EU341" t="s">
        <v>750</v>
      </c>
      <c r="EV341" t="s">
        <v>3122</v>
      </c>
      <c r="EW341" t="s">
        <v>54</v>
      </c>
      <c r="EX341" s="600">
        <v>55126</v>
      </c>
      <c r="EY341">
        <v>1891729737</v>
      </c>
    </row>
    <row r="342" spans="1:155" x14ac:dyDescent="0.2">
      <c r="A342" s="93"/>
      <c r="J342" s="547"/>
      <c r="K342" s="547"/>
      <c r="L342" s="547"/>
      <c r="M342" s="547"/>
      <c r="N342" s="547"/>
      <c r="O342" s="547"/>
      <c r="P342" s="548"/>
      <c r="Q342" s="548"/>
      <c r="R342" s="547"/>
      <c r="S342" s="547"/>
      <c r="T342" s="547"/>
      <c r="U342" s="547"/>
      <c r="V342" s="547"/>
      <c r="W342" s="547"/>
      <c r="X342" s="547"/>
      <c r="Y342" s="547"/>
      <c r="Z342" s="548"/>
      <c r="AA342" s="547"/>
      <c r="AB342" s="548"/>
      <c r="AC342" s="547"/>
      <c r="AD342" s="547"/>
      <c r="AE342" s="547"/>
      <c r="AF342" s="547"/>
      <c r="AG342" s="547"/>
      <c r="AH342" s="547"/>
      <c r="AI342" s="547"/>
      <c r="AJ342" s="547"/>
      <c r="AK342" s="547"/>
      <c r="AL342" s="547"/>
      <c r="AM342" s="547"/>
      <c r="AN342" s="548"/>
      <c r="AO342" s="547"/>
      <c r="AP342" s="548"/>
      <c r="AQ342" s="547"/>
      <c r="AR342" s="547"/>
      <c r="AS342" s="547"/>
      <c r="AT342" s="547"/>
      <c r="AU342" s="547"/>
      <c r="AV342" s="547"/>
      <c r="AW342" s="547"/>
      <c r="AX342" s="547"/>
      <c r="AY342" s="547"/>
      <c r="AZ342" s="547"/>
      <c r="BA342" s="547"/>
      <c r="BB342" s="548"/>
      <c r="BC342" s="547"/>
      <c r="BD342" s="548"/>
      <c r="BE342" s="547"/>
      <c r="BF342" s="547"/>
      <c r="BG342" s="547"/>
      <c r="BH342" s="547"/>
      <c r="BI342" s="547"/>
      <c r="BJ342" s="547"/>
      <c r="BK342" s="547"/>
      <c r="BL342" s="547"/>
      <c r="BM342" s="547"/>
      <c r="BN342" s="547"/>
      <c r="BO342" s="547"/>
      <c r="BP342" s="547"/>
      <c r="BQ342" s="547"/>
      <c r="BR342" s="548"/>
      <c r="BS342" s="547"/>
      <c r="BT342" s="547"/>
      <c r="BU342" s="547"/>
      <c r="BV342" s="547"/>
      <c r="BW342" s="547"/>
      <c r="BX342" s="547"/>
      <c r="BY342" s="547"/>
      <c r="BZ342" s="547"/>
      <c r="CA342" s="547"/>
      <c r="CB342" s="547"/>
      <c r="CC342" s="547"/>
      <c r="CD342" s="547"/>
      <c r="CE342" s="547"/>
      <c r="CF342" s="547"/>
      <c r="CG342" s="547"/>
      <c r="CH342" s="547"/>
      <c r="CI342" s="547"/>
      <c r="CJ342" s="549"/>
      <c r="CK342" s="547"/>
      <c r="CL342" s="547"/>
      <c r="CM342" s="547"/>
      <c r="CN342" s="550"/>
      <c r="CO342" s="547"/>
      <c r="CP342" s="19"/>
      <c r="CQ342" s="19"/>
      <c r="CR342" s="19"/>
      <c r="CS342" s="19"/>
      <c r="CT342" s="19"/>
      <c r="CU342" s="19"/>
      <c r="ED342" s="542"/>
      <c r="EE342" s="542"/>
      <c r="EF342" s="542"/>
      <c r="EG342" s="542"/>
      <c r="EH342" s="542"/>
      <c r="EI342" s="542"/>
      <c r="EJ342" s="542"/>
      <c r="EK342" s="542"/>
      <c r="EL342" s="542"/>
      <c r="EM342" s="19"/>
      <c r="EN342" s="569"/>
      <c r="EO342" s="93"/>
      <c r="EP342" s="93"/>
      <c r="EQ342" s="93"/>
      <c r="ES342" s="569">
        <v>613</v>
      </c>
      <c r="ET342" t="s">
        <v>1562</v>
      </c>
      <c r="EU342" t="s">
        <v>1563</v>
      </c>
      <c r="EV342" t="s">
        <v>3123</v>
      </c>
      <c r="EW342" t="s">
        <v>1565</v>
      </c>
      <c r="EX342" s="600">
        <v>57117</v>
      </c>
      <c r="EY342">
        <v>1821017880</v>
      </c>
    </row>
    <row r="343" spans="1:155" x14ac:dyDescent="0.2">
      <c r="A343" s="93"/>
      <c r="J343" s="547"/>
      <c r="K343" s="547"/>
      <c r="L343" s="547"/>
      <c r="M343" s="547"/>
      <c r="N343" s="547"/>
      <c r="O343" s="547"/>
      <c r="P343" s="548"/>
      <c r="Q343" s="548"/>
      <c r="R343" s="547"/>
      <c r="S343" s="547"/>
      <c r="T343" s="547"/>
      <c r="U343" s="547"/>
      <c r="V343" s="547"/>
      <c r="W343" s="547"/>
      <c r="X343" s="547"/>
      <c r="Y343" s="547"/>
      <c r="Z343" s="548"/>
      <c r="AA343" s="547"/>
      <c r="AB343" s="548"/>
      <c r="AC343" s="547"/>
      <c r="AD343" s="547"/>
      <c r="AE343" s="547"/>
      <c r="AF343" s="547"/>
      <c r="AG343" s="547"/>
      <c r="AH343" s="547"/>
      <c r="AI343" s="547"/>
      <c r="AJ343" s="547"/>
      <c r="AK343" s="547"/>
      <c r="AL343" s="547"/>
      <c r="AM343" s="547"/>
      <c r="AN343" s="548"/>
      <c r="AO343" s="547"/>
      <c r="AP343" s="548"/>
      <c r="AQ343" s="547"/>
      <c r="AR343" s="547"/>
      <c r="AS343" s="547"/>
      <c r="AT343" s="547"/>
      <c r="AU343" s="547"/>
      <c r="AV343" s="547"/>
      <c r="AW343" s="547"/>
      <c r="AX343" s="547"/>
      <c r="AY343" s="547"/>
      <c r="AZ343" s="547"/>
      <c r="BA343" s="547"/>
      <c r="BB343" s="548"/>
      <c r="BC343" s="547"/>
      <c r="BD343" s="548"/>
      <c r="BE343" s="547"/>
      <c r="BF343" s="547"/>
      <c r="BG343" s="547"/>
      <c r="BH343" s="547"/>
      <c r="BI343" s="547"/>
      <c r="BJ343" s="547"/>
      <c r="BK343" s="547"/>
      <c r="BL343" s="547"/>
      <c r="BM343" s="547"/>
      <c r="BN343" s="547"/>
      <c r="BO343" s="547"/>
      <c r="BP343" s="547"/>
      <c r="BQ343" s="547"/>
      <c r="BR343" s="548"/>
      <c r="BS343" s="547"/>
      <c r="BT343" s="547"/>
      <c r="BU343" s="547"/>
      <c r="BV343" s="547"/>
      <c r="BW343" s="547"/>
      <c r="BX343" s="547"/>
      <c r="BY343" s="547"/>
      <c r="BZ343" s="547"/>
      <c r="CA343" s="547"/>
      <c r="CB343" s="547"/>
      <c r="CC343" s="547"/>
      <c r="CD343" s="547"/>
      <c r="CE343" s="547"/>
      <c r="CF343" s="547"/>
      <c r="CG343" s="547"/>
      <c r="CH343" s="547"/>
      <c r="CI343" s="547"/>
      <c r="CJ343" s="549"/>
      <c r="CK343" s="547"/>
      <c r="CL343" s="547"/>
      <c r="CM343" s="547"/>
      <c r="CN343" s="550"/>
      <c r="CO343" s="547"/>
      <c r="CP343" s="19"/>
      <c r="CQ343" s="19"/>
      <c r="CR343" s="19"/>
      <c r="CS343" s="19"/>
      <c r="CT343" s="19"/>
      <c r="CU343" s="19"/>
      <c r="ED343" s="542"/>
      <c r="EE343" s="542"/>
      <c r="EF343" s="542"/>
      <c r="EG343" s="542"/>
      <c r="EH343" s="542"/>
      <c r="EI343" s="542"/>
      <c r="EJ343" s="542"/>
      <c r="EK343" s="542"/>
      <c r="EL343" s="542"/>
      <c r="EM343" s="19"/>
      <c r="EN343" s="569"/>
      <c r="EO343" s="93"/>
      <c r="EP343" s="93"/>
      <c r="EQ343" s="93"/>
      <c r="ES343" s="569">
        <v>614</v>
      </c>
      <c r="ET343" t="s">
        <v>1575</v>
      </c>
      <c r="EU343" t="s">
        <v>1563</v>
      </c>
      <c r="EV343" t="s">
        <v>3123</v>
      </c>
      <c r="EW343" t="s">
        <v>1565</v>
      </c>
      <c r="EX343" s="600">
        <v>57117</v>
      </c>
      <c r="EY343">
        <v>1821017880</v>
      </c>
    </row>
    <row r="344" spans="1:155" x14ac:dyDescent="0.2">
      <c r="A344" s="93"/>
      <c r="J344" s="547"/>
      <c r="K344" s="547"/>
      <c r="L344" s="547"/>
      <c r="M344" s="547"/>
      <c r="N344" s="547"/>
      <c r="O344" s="547"/>
      <c r="P344" s="548"/>
      <c r="Q344" s="548"/>
      <c r="R344" s="547"/>
      <c r="S344" s="547"/>
      <c r="T344" s="547"/>
      <c r="U344" s="547"/>
      <c r="V344" s="547"/>
      <c r="W344" s="547"/>
      <c r="X344" s="547"/>
      <c r="Y344" s="547"/>
      <c r="Z344" s="548"/>
      <c r="AA344" s="547"/>
      <c r="AB344" s="548"/>
      <c r="AC344" s="547"/>
      <c r="AD344" s="547"/>
      <c r="AE344" s="547"/>
      <c r="AF344" s="547"/>
      <c r="AG344" s="547"/>
      <c r="AH344" s="547"/>
      <c r="AI344" s="547"/>
      <c r="AJ344" s="547"/>
      <c r="AK344" s="547"/>
      <c r="AL344" s="547"/>
      <c r="AM344" s="547"/>
      <c r="AN344" s="548"/>
      <c r="AO344" s="547"/>
      <c r="AP344" s="548"/>
      <c r="AQ344" s="547"/>
      <c r="AR344" s="547"/>
      <c r="AS344" s="547"/>
      <c r="AT344" s="547"/>
      <c r="AU344" s="547"/>
      <c r="AV344" s="547"/>
      <c r="AW344" s="547"/>
      <c r="AX344" s="547"/>
      <c r="AY344" s="547"/>
      <c r="AZ344" s="547"/>
      <c r="BA344" s="547"/>
      <c r="BB344" s="548"/>
      <c r="BC344" s="547"/>
      <c r="BD344" s="548"/>
      <c r="BE344" s="547"/>
      <c r="BF344" s="547"/>
      <c r="BG344" s="547"/>
      <c r="BH344" s="547"/>
      <c r="BI344" s="547"/>
      <c r="BJ344" s="547"/>
      <c r="BK344" s="547"/>
      <c r="BL344" s="547"/>
      <c r="BM344" s="547"/>
      <c r="BN344" s="547"/>
      <c r="BO344" s="547"/>
      <c r="BP344" s="547"/>
      <c r="BQ344" s="547"/>
      <c r="BR344" s="548"/>
      <c r="BS344" s="547"/>
      <c r="BT344" s="547"/>
      <c r="BU344" s="547"/>
      <c r="BV344" s="547"/>
      <c r="BW344" s="547"/>
      <c r="BX344" s="547"/>
      <c r="BY344" s="547"/>
      <c r="BZ344" s="547"/>
      <c r="CA344" s="547"/>
      <c r="CB344" s="547"/>
      <c r="CC344" s="547"/>
      <c r="CD344" s="547"/>
      <c r="CE344" s="547"/>
      <c r="CF344" s="550"/>
      <c r="CG344" s="547"/>
      <c r="CH344" s="547"/>
      <c r="CI344" s="547"/>
      <c r="CJ344" s="549"/>
      <c r="CK344" s="547"/>
      <c r="CL344" s="547"/>
      <c r="CM344" s="547"/>
      <c r="CN344" s="547"/>
      <c r="CO344" s="547"/>
      <c r="CP344" s="19"/>
      <c r="CQ344" s="19"/>
      <c r="CR344" s="19"/>
      <c r="CS344" s="19"/>
      <c r="CT344" s="19"/>
      <c r="CU344" s="19"/>
      <c r="ED344" s="542"/>
      <c r="EE344" s="542"/>
      <c r="EF344" s="542"/>
      <c r="EG344" s="542"/>
      <c r="EH344" s="542"/>
      <c r="EI344" s="542"/>
      <c r="EJ344" s="542"/>
      <c r="EK344" s="542"/>
      <c r="EL344" s="542"/>
      <c r="EM344" s="19"/>
      <c r="EN344" s="569"/>
      <c r="EO344" s="93"/>
      <c r="EP344" s="93"/>
      <c r="EQ344" s="93"/>
      <c r="ES344" s="569">
        <v>615</v>
      </c>
      <c r="ET344" t="s">
        <v>1576</v>
      </c>
      <c r="EU344" t="s">
        <v>1563</v>
      </c>
      <c r="EV344" t="s">
        <v>3123</v>
      </c>
      <c r="EW344" t="s">
        <v>1565</v>
      </c>
      <c r="EX344" s="600">
        <v>57117</v>
      </c>
      <c r="EY344">
        <v>1821017880</v>
      </c>
    </row>
    <row r="345" spans="1:155" x14ac:dyDescent="0.2">
      <c r="A345" s="93"/>
      <c r="J345" s="547"/>
      <c r="K345" s="547"/>
      <c r="L345" s="547"/>
      <c r="M345" s="547"/>
      <c r="N345" s="547"/>
      <c r="O345" s="547"/>
      <c r="P345" s="548"/>
      <c r="Q345" s="548"/>
      <c r="R345" s="547"/>
      <c r="S345" s="547"/>
      <c r="T345" s="547"/>
      <c r="U345" s="547"/>
      <c r="V345" s="547"/>
      <c r="W345" s="547"/>
      <c r="X345" s="547"/>
      <c r="Y345" s="547"/>
      <c r="Z345" s="548"/>
      <c r="AA345" s="547"/>
      <c r="AB345" s="548"/>
      <c r="AC345" s="547"/>
      <c r="AD345" s="547"/>
      <c r="AE345" s="547"/>
      <c r="AF345" s="547"/>
      <c r="AG345" s="547"/>
      <c r="AH345" s="547"/>
      <c r="AI345" s="547"/>
      <c r="AJ345" s="547"/>
      <c r="AK345" s="547"/>
      <c r="AL345" s="547"/>
      <c r="AM345" s="547"/>
      <c r="AN345" s="548"/>
      <c r="AO345" s="547"/>
      <c r="AP345" s="548"/>
      <c r="AQ345" s="547"/>
      <c r="AR345" s="547"/>
      <c r="AS345" s="547"/>
      <c r="AT345" s="547"/>
      <c r="AU345" s="547"/>
      <c r="AV345" s="547"/>
      <c r="AW345" s="547"/>
      <c r="AX345" s="547"/>
      <c r="AY345" s="547"/>
      <c r="AZ345" s="547"/>
      <c r="BA345" s="547"/>
      <c r="BB345" s="548"/>
      <c r="BC345" s="547"/>
      <c r="BD345" s="548"/>
      <c r="BE345" s="547"/>
      <c r="BF345" s="547"/>
      <c r="BG345" s="547"/>
      <c r="BH345" s="547"/>
      <c r="BI345" s="547"/>
      <c r="BJ345" s="547"/>
      <c r="BK345" s="547"/>
      <c r="BL345" s="547"/>
      <c r="BM345" s="547"/>
      <c r="BN345" s="547"/>
      <c r="BO345" s="547"/>
      <c r="BP345" s="547"/>
      <c r="BQ345" s="547"/>
      <c r="BR345" s="548"/>
      <c r="BS345" s="547"/>
      <c r="BT345" s="547"/>
      <c r="BU345" s="547"/>
      <c r="BV345" s="547"/>
      <c r="BW345" s="547"/>
      <c r="BX345" s="547"/>
      <c r="BY345" s="547"/>
      <c r="BZ345" s="547"/>
      <c r="CA345" s="547"/>
      <c r="CB345" s="547"/>
      <c r="CC345" s="547"/>
      <c r="CD345" s="547"/>
      <c r="CE345" s="547"/>
      <c r="CF345" s="547"/>
      <c r="CG345" s="547"/>
      <c r="CH345" s="547"/>
      <c r="CI345" s="547"/>
      <c r="CJ345" s="549"/>
      <c r="CK345" s="547"/>
      <c r="CL345" s="547"/>
      <c r="CM345" s="547"/>
      <c r="CN345" s="550"/>
      <c r="CO345" s="547"/>
      <c r="CP345" s="19"/>
      <c r="CQ345" s="19"/>
      <c r="CR345" s="19"/>
      <c r="CS345" s="19"/>
      <c r="CT345" s="19"/>
      <c r="CU345" s="19"/>
      <c r="ED345" s="542"/>
      <c r="EE345" s="542"/>
      <c r="EF345" s="542"/>
      <c r="EG345" s="542"/>
      <c r="EH345" s="542"/>
      <c r="EI345" s="542"/>
      <c r="EJ345" s="542"/>
      <c r="EK345" s="542"/>
      <c r="EL345" s="542"/>
      <c r="EM345" s="19"/>
      <c r="EN345" s="569"/>
      <c r="EO345" s="93"/>
      <c r="EP345" s="93"/>
      <c r="EQ345" s="93"/>
      <c r="ES345" s="569">
        <v>99</v>
      </c>
      <c r="ET345" t="s">
        <v>1918</v>
      </c>
      <c r="EU345" t="s">
        <v>1629</v>
      </c>
      <c r="EV345" t="s">
        <v>2334</v>
      </c>
      <c r="EW345" t="s">
        <v>54</v>
      </c>
      <c r="EX345" s="599">
        <v>56172</v>
      </c>
      <c r="EY345">
        <v>1053497214</v>
      </c>
    </row>
    <row r="346" spans="1:155" x14ac:dyDescent="0.2">
      <c r="A346" s="93"/>
      <c r="J346" s="543"/>
      <c r="K346" s="543"/>
      <c r="L346" s="543"/>
      <c r="M346" s="543"/>
      <c r="N346" s="543"/>
      <c r="O346" s="543"/>
      <c r="P346" s="543"/>
      <c r="Q346" s="543"/>
      <c r="R346" s="543"/>
      <c r="S346" s="543"/>
      <c r="T346" s="543"/>
      <c r="U346" s="543"/>
      <c r="V346" s="543"/>
      <c r="W346" s="543"/>
      <c r="X346" s="543"/>
      <c r="Y346" s="543"/>
      <c r="Z346" s="543"/>
      <c r="AA346" s="543"/>
      <c r="AB346" s="543"/>
      <c r="AC346" s="543"/>
      <c r="AD346" s="543"/>
      <c r="AE346" s="543"/>
      <c r="AF346" s="543"/>
      <c r="AG346" s="543"/>
      <c r="AH346" s="543"/>
      <c r="AI346" s="543"/>
      <c r="AJ346" s="543"/>
      <c r="AK346" s="543"/>
      <c r="AL346" s="543"/>
      <c r="AM346" s="543"/>
      <c r="AN346" s="543"/>
      <c r="AO346" s="543"/>
      <c r="AP346" s="543"/>
      <c r="AQ346" s="543"/>
      <c r="AR346" s="543"/>
      <c r="AS346" s="543"/>
      <c r="AT346" s="543"/>
      <c r="AU346" s="543"/>
      <c r="AV346" s="543"/>
      <c r="AW346" s="543"/>
      <c r="AX346" s="543"/>
      <c r="AY346" s="543"/>
      <c r="AZ346" s="543"/>
      <c r="BA346" s="543"/>
      <c r="BB346" s="543"/>
      <c r="BC346" s="543"/>
      <c r="BD346" s="543"/>
      <c r="BE346" s="543"/>
      <c r="BF346" s="543"/>
      <c r="BG346" s="543"/>
      <c r="BH346" s="543"/>
      <c r="BI346" s="543"/>
      <c r="BJ346" s="543"/>
      <c r="BK346" s="543"/>
      <c r="BL346" s="543"/>
      <c r="BM346" s="543"/>
      <c r="BN346" s="543"/>
      <c r="BO346" s="543"/>
      <c r="BP346" s="543"/>
      <c r="BQ346" s="543"/>
      <c r="BR346" s="543"/>
      <c r="BS346" s="543"/>
      <c r="BT346" s="543"/>
      <c r="BU346" s="543"/>
      <c r="BV346" s="543"/>
      <c r="BW346" s="543"/>
      <c r="BX346" s="543"/>
      <c r="BY346" s="543"/>
      <c r="BZ346" s="543"/>
      <c r="CA346" s="543"/>
      <c r="CB346" s="543"/>
      <c r="CC346" s="543"/>
      <c r="CD346" s="544"/>
      <c r="CE346" s="543"/>
      <c r="CF346" s="543"/>
      <c r="CG346" s="543"/>
      <c r="CH346" s="543"/>
      <c r="CI346" s="544"/>
      <c r="CJ346" s="543"/>
      <c r="CK346" s="543"/>
      <c r="CL346" s="543"/>
      <c r="CM346" s="543"/>
      <c r="CN346" s="545"/>
      <c r="CO346" s="543"/>
      <c r="CP346" s="543"/>
      <c r="CQ346" s="543"/>
      <c r="CR346" s="543"/>
      <c r="CS346" s="543"/>
      <c r="CT346" s="543"/>
      <c r="CU346" s="543"/>
      <c r="CV346" s="543"/>
      <c r="CW346" s="543"/>
      <c r="CX346" s="543"/>
      <c r="CY346" s="543"/>
      <c r="CZ346" s="543"/>
      <c r="DA346" s="543"/>
      <c r="DB346" s="543"/>
      <c r="DC346" s="543"/>
      <c r="DD346" s="543"/>
      <c r="DE346" s="543"/>
      <c r="DF346" s="543"/>
      <c r="DG346" s="543"/>
      <c r="DH346" s="543"/>
      <c r="DI346" s="543"/>
      <c r="DJ346" s="543"/>
      <c r="DK346" s="543"/>
      <c r="DL346" s="543"/>
      <c r="DM346" s="545"/>
      <c r="DN346" s="543"/>
      <c r="DO346" s="546"/>
      <c r="DP346" s="543"/>
      <c r="DQ346" s="543"/>
      <c r="DR346" s="543"/>
      <c r="DS346" s="543"/>
      <c r="DT346" s="543"/>
      <c r="DU346" s="543"/>
      <c r="DY346" s="546"/>
      <c r="DZ346" s="19"/>
      <c r="EA346" s="19"/>
      <c r="EB346" s="19"/>
      <c r="EC346" s="19"/>
      <c r="ED346" s="19"/>
      <c r="EE346" s="19"/>
      <c r="EI346" s="542"/>
      <c r="EJ346" s="542"/>
      <c r="EK346" s="542"/>
      <c r="EL346" s="542"/>
      <c r="EM346" s="542"/>
      <c r="EN346" s="542"/>
      <c r="EO346" s="542"/>
      <c r="EP346" s="542"/>
      <c r="EQ346" s="542"/>
      <c r="ES346" s="569">
        <v>858</v>
      </c>
      <c r="ET346" t="s">
        <v>1021</v>
      </c>
      <c r="EU346" t="s">
        <v>1022</v>
      </c>
      <c r="EV346" t="s">
        <v>3124</v>
      </c>
      <c r="EW346" t="s">
        <v>54</v>
      </c>
      <c r="EX346" s="600">
        <v>56085</v>
      </c>
      <c r="EY346"/>
    </row>
    <row r="347" spans="1:155" x14ac:dyDescent="0.2">
      <c r="A347" s="93"/>
      <c r="J347" s="543"/>
      <c r="K347" s="543"/>
      <c r="L347" s="543"/>
      <c r="M347" s="543"/>
      <c r="N347" s="543"/>
      <c r="O347" s="543"/>
      <c r="P347" s="543"/>
      <c r="Q347" s="543"/>
      <c r="R347" s="543"/>
      <c r="S347" s="543"/>
      <c r="T347" s="543"/>
      <c r="U347" s="543"/>
      <c r="V347" s="543"/>
      <c r="W347" s="543"/>
      <c r="X347" s="543"/>
      <c r="Y347" s="543"/>
      <c r="Z347" s="543"/>
      <c r="AA347" s="543"/>
      <c r="AB347" s="543"/>
      <c r="AC347" s="543"/>
      <c r="AD347" s="543"/>
      <c r="AE347" s="543"/>
      <c r="AF347" s="543"/>
      <c r="AG347" s="543"/>
      <c r="AH347" s="543"/>
      <c r="AI347" s="543"/>
      <c r="AJ347" s="543"/>
      <c r="AK347" s="543"/>
      <c r="AL347" s="543"/>
      <c r="AM347" s="543"/>
      <c r="AN347" s="543"/>
      <c r="AO347" s="543"/>
      <c r="AP347" s="543"/>
      <c r="AQ347" s="543"/>
      <c r="AR347" s="543"/>
      <c r="AS347" s="543"/>
      <c r="AT347" s="543"/>
      <c r="AU347" s="543"/>
      <c r="AV347" s="543"/>
      <c r="AW347" s="543"/>
      <c r="AX347" s="543"/>
      <c r="AY347" s="543"/>
      <c r="AZ347" s="543"/>
      <c r="BA347" s="543"/>
      <c r="BB347" s="543"/>
      <c r="BC347" s="543"/>
      <c r="BD347" s="543"/>
      <c r="BE347" s="543"/>
      <c r="BF347" s="543"/>
      <c r="BG347" s="543"/>
      <c r="BH347" s="543"/>
      <c r="BI347" s="543"/>
      <c r="BJ347" s="543"/>
      <c r="BK347" s="543"/>
      <c r="BL347" s="543"/>
      <c r="BM347" s="543"/>
      <c r="BN347" s="543"/>
      <c r="BO347" s="543"/>
      <c r="BP347" s="543"/>
      <c r="BQ347" s="543"/>
      <c r="BR347" s="543"/>
      <c r="BS347" s="543"/>
      <c r="BT347" s="543"/>
      <c r="BU347" s="543"/>
      <c r="BV347" s="543"/>
      <c r="BW347" s="543"/>
      <c r="BX347" s="543"/>
      <c r="BY347" s="543"/>
      <c r="BZ347" s="543"/>
      <c r="CA347" s="543"/>
      <c r="CB347" s="543"/>
      <c r="CC347" s="543"/>
      <c r="CD347" s="544"/>
      <c r="CE347" s="543"/>
      <c r="CF347" s="543"/>
      <c r="CG347" s="543"/>
      <c r="CH347" s="543"/>
      <c r="CI347" s="544"/>
      <c r="CJ347" s="543"/>
      <c r="CK347" s="543"/>
      <c r="CL347" s="543"/>
      <c r="CM347" s="543"/>
      <c r="CN347" s="545"/>
      <c r="CO347" s="543"/>
      <c r="CP347" s="543"/>
      <c r="CQ347" s="543"/>
      <c r="CR347" s="543"/>
      <c r="CS347" s="543"/>
      <c r="CT347" s="543"/>
      <c r="CU347" s="543"/>
      <c r="CV347" s="543"/>
      <c r="CW347" s="543"/>
      <c r="CX347" s="543"/>
      <c r="CY347" s="543"/>
      <c r="CZ347" s="543"/>
      <c r="DA347" s="543"/>
      <c r="DB347" s="543"/>
      <c r="DC347" s="543"/>
      <c r="DD347" s="543"/>
      <c r="DE347" s="543"/>
      <c r="DF347" s="543"/>
      <c r="DG347" s="543"/>
      <c r="DH347" s="543"/>
      <c r="DI347" s="543"/>
      <c r="DJ347" s="543"/>
      <c r="DK347" s="543"/>
      <c r="DL347" s="543"/>
      <c r="DM347" s="545"/>
      <c r="DN347" s="543"/>
      <c r="DO347" s="546"/>
      <c r="DP347" s="543"/>
      <c r="DQ347" s="543"/>
      <c r="DR347" s="543"/>
      <c r="DS347" s="543"/>
      <c r="DT347" s="543"/>
      <c r="DU347" s="543"/>
      <c r="DY347" s="546"/>
      <c r="DZ347" s="19"/>
      <c r="EA347" s="19"/>
      <c r="EB347" s="19"/>
      <c r="EC347" s="19"/>
      <c r="ED347" s="19"/>
      <c r="EE347" s="19"/>
      <c r="EI347" s="542"/>
      <c r="EJ347" s="542"/>
      <c r="EK347" s="542"/>
      <c r="EL347" s="542"/>
      <c r="EM347" s="542"/>
      <c r="EN347" s="542"/>
      <c r="EO347" s="542"/>
      <c r="EP347" s="542"/>
      <c r="EQ347" s="542"/>
      <c r="ER347" s="19"/>
      <c r="ES347" s="569">
        <v>129</v>
      </c>
      <c r="ET347" t="s">
        <v>1919</v>
      </c>
      <c r="EU347" t="s">
        <v>1022</v>
      </c>
      <c r="EV347" t="s">
        <v>1023</v>
      </c>
      <c r="EW347" t="s">
        <v>54</v>
      </c>
      <c r="EX347" s="599">
        <v>56085</v>
      </c>
      <c r="EY347">
        <v>1952370348</v>
      </c>
    </row>
    <row r="348" spans="1:155" x14ac:dyDescent="0.2">
      <c r="A348" s="93"/>
      <c r="J348" s="543"/>
      <c r="K348" s="543"/>
      <c r="L348" s="543"/>
      <c r="M348" s="543"/>
      <c r="N348" s="543"/>
      <c r="O348" s="543"/>
      <c r="P348" s="543"/>
      <c r="Q348" s="543"/>
      <c r="R348" s="543"/>
      <c r="S348" s="543"/>
      <c r="T348" s="543"/>
      <c r="U348" s="543"/>
      <c r="V348" s="543"/>
      <c r="W348" s="543"/>
      <c r="X348" s="543"/>
      <c r="Y348" s="543"/>
      <c r="Z348" s="543"/>
      <c r="AA348" s="543"/>
      <c r="AB348" s="543"/>
      <c r="AC348" s="543"/>
      <c r="AD348" s="543"/>
      <c r="AE348" s="543"/>
      <c r="AF348" s="543"/>
      <c r="AG348" s="543"/>
      <c r="AH348" s="543"/>
      <c r="AI348" s="543"/>
      <c r="AJ348" s="543"/>
      <c r="AK348" s="543"/>
      <c r="AL348" s="543"/>
      <c r="AM348" s="543"/>
      <c r="AN348" s="543"/>
      <c r="AO348" s="543"/>
      <c r="AP348" s="543"/>
      <c r="AQ348" s="543"/>
      <c r="AR348" s="543"/>
      <c r="AS348" s="543"/>
      <c r="AT348" s="543"/>
      <c r="AU348" s="543"/>
      <c r="AV348" s="543"/>
      <c r="AW348" s="543"/>
      <c r="AX348" s="543"/>
      <c r="AY348" s="543"/>
      <c r="AZ348" s="543"/>
      <c r="BA348" s="543"/>
      <c r="BB348" s="543"/>
      <c r="BC348" s="543"/>
      <c r="BD348" s="543"/>
      <c r="BE348" s="543"/>
      <c r="BF348" s="543"/>
      <c r="BG348" s="543"/>
      <c r="BH348" s="543"/>
      <c r="BI348" s="543"/>
      <c r="BJ348" s="543"/>
      <c r="BK348" s="543"/>
      <c r="BL348" s="543"/>
      <c r="BM348" s="543"/>
      <c r="BN348" s="543"/>
      <c r="BO348" s="543"/>
      <c r="BP348" s="543"/>
      <c r="BQ348" s="543"/>
      <c r="BR348" s="543"/>
      <c r="BS348" s="543"/>
      <c r="BT348" s="543"/>
      <c r="BU348" s="543"/>
      <c r="BV348" s="543"/>
      <c r="BW348" s="543"/>
      <c r="BX348" s="543"/>
      <c r="BY348" s="543"/>
      <c r="BZ348" s="543"/>
      <c r="CA348" s="543"/>
      <c r="CB348" s="543"/>
      <c r="CC348" s="543"/>
      <c r="CD348" s="544"/>
      <c r="CE348" s="543"/>
      <c r="CF348" s="543"/>
      <c r="CG348" s="543"/>
      <c r="CH348" s="543"/>
      <c r="CI348" s="544"/>
      <c r="CJ348" s="543"/>
      <c r="CK348" s="543"/>
      <c r="CL348" s="543"/>
      <c r="CM348" s="543"/>
      <c r="CN348" s="545"/>
      <c r="CO348" s="543"/>
      <c r="CP348" s="543"/>
      <c r="CQ348" s="543"/>
      <c r="CR348" s="543"/>
      <c r="CS348" s="543"/>
      <c r="CT348" s="543"/>
      <c r="CU348" s="543"/>
      <c r="CV348" s="543"/>
      <c r="CW348" s="543"/>
      <c r="CX348" s="543"/>
      <c r="CY348" s="543"/>
      <c r="CZ348" s="543"/>
      <c r="DA348" s="543"/>
      <c r="DB348" s="543"/>
      <c r="DC348" s="543"/>
      <c r="DD348" s="543"/>
      <c r="DE348" s="543"/>
      <c r="DF348" s="543"/>
      <c r="DG348" s="543"/>
      <c r="DH348" s="543"/>
      <c r="DI348" s="543"/>
      <c r="DJ348" s="543"/>
      <c r="DK348" s="543"/>
      <c r="DL348" s="543"/>
      <c r="DM348" s="543"/>
      <c r="DN348" s="543"/>
      <c r="DO348" s="546"/>
      <c r="DP348" s="543"/>
      <c r="DQ348" s="543"/>
      <c r="DR348" s="543"/>
      <c r="DS348" s="543"/>
      <c r="DT348" s="543"/>
      <c r="DU348" s="543"/>
      <c r="DY348" s="546"/>
      <c r="DZ348" s="19"/>
      <c r="EA348" s="19"/>
      <c r="EB348" s="19"/>
      <c r="EC348" s="19"/>
      <c r="ED348" s="19"/>
      <c r="EE348" s="19"/>
      <c r="EI348" s="542"/>
      <c r="EJ348" s="542"/>
      <c r="EK348" s="542"/>
      <c r="EL348" s="542"/>
      <c r="EM348" s="542"/>
      <c r="EN348" s="542"/>
      <c r="EO348" s="542"/>
      <c r="EP348" s="542"/>
      <c r="EQ348" s="542"/>
      <c r="ER348" s="19"/>
      <c r="ES348" s="569">
        <v>130</v>
      </c>
      <c r="ET348" t="s">
        <v>1920</v>
      </c>
      <c r="EU348" t="s">
        <v>1921</v>
      </c>
      <c r="EV348" t="s">
        <v>2335</v>
      </c>
      <c r="EW348" t="s">
        <v>54</v>
      </c>
      <c r="EX348" s="599">
        <v>56087</v>
      </c>
      <c r="EY348">
        <v>1619945052</v>
      </c>
    </row>
    <row r="349" spans="1:155" x14ac:dyDescent="0.2">
      <c r="A349" s="93"/>
      <c r="J349" s="547"/>
      <c r="K349" s="547"/>
      <c r="L349" s="547"/>
      <c r="M349" s="547"/>
      <c r="N349" s="547"/>
      <c r="O349" s="547"/>
      <c r="P349" s="548"/>
      <c r="Q349" s="548"/>
      <c r="R349" s="547"/>
      <c r="S349" s="547"/>
      <c r="T349" s="547"/>
      <c r="U349" s="547"/>
      <c r="V349" s="547"/>
      <c r="W349" s="547"/>
      <c r="X349" s="547"/>
      <c r="Y349" s="547"/>
      <c r="Z349" s="548"/>
      <c r="AA349" s="547"/>
      <c r="AB349" s="548"/>
      <c r="AC349" s="547"/>
      <c r="AD349" s="547"/>
      <c r="AE349" s="547"/>
      <c r="AF349" s="547"/>
      <c r="AG349" s="547"/>
      <c r="AH349" s="547"/>
      <c r="AI349" s="547"/>
      <c r="AJ349" s="547"/>
      <c r="AK349" s="547"/>
      <c r="AL349" s="547"/>
      <c r="AM349" s="547"/>
      <c r="AN349" s="548"/>
      <c r="AO349" s="547"/>
      <c r="AP349" s="548"/>
      <c r="AQ349" s="547"/>
      <c r="AR349" s="547"/>
      <c r="AS349" s="547"/>
      <c r="AT349" s="547"/>
      <c r="AU349" s="547"/>
      <c r="AV349" s="547"/>
      <c r="AW349" s="547"/>
      <c r="AX349" s="547"/>
      <c r="AY349" s="547"/>
      <c r="AZ349" s="547"/>
      <c r="BA349" s="547"/>
      <c r="BB349" s="548"/>
      <c r="BC349" s="547"/>
      <c r="BD349" s="548"/>
      <c r="BE349" s="547"/>
      <c r="BF349" s="547"/>
      <c r="BG349" s="547"/>
      <c r="BH349" s="547"/>
      <c r="BI349" s="547"/>
      <c r="BJ349" s="547"/>
      <c r="BK349" s="547"/>
      <c r="BL349" s="547"/>
      <c r="BM349" s="547"/>
      <c r="BN349" s="547"/>
      <c r="BO349" s="547"/>
      <c r="BP349" s="547"/>
      <c r="BQ349" s="547"/>
      <c r="BR349" s="548"/>
      <c r="BS349" s="547"/>
      <c r="BT349" s="547"/>
      <c r="BU349" s="547"/>
      <c r="BV349" s="547"/>
      <c r="BW349" s="547"/>
      <c r="BX349" s="547"/>
      <c r="BY349" s="547"/>
      <c r="BZ349" s="547"/>
      <c r="CA349" s="547"/>
      <c r="CB349" s="547"/>
      <c r="CC349" s="547"/>
      <c r="CD349" s="547"/>
      <c r="CE349" s="547"/>
      <c r="CF349" s="547"/>
      <c r="CG349" s="547"/>
      <c r="CH349" s="547"/>
      <c r="CI349" s="547"/>
      <c r="CJ349" s="549"/>
      <c r="CK349" s="547"/>
      <c r="CL349" s="547"/>
      <c r="CM349" s="547"/>
      <c r="CN349" s="547"/>
      <c r="CO349" s="547"/>
      <c r="CP349" s="19"/>
      <c r="CQ349" s="19"/>
      <c r="CR349" s="19"/>
      <c r="CS349" s="19"/>
      <c r="CT349" s="19"/>
      <c r="CU349" s="19"/>
      <c r="EI349" s="542"/>
      <c r="EJ349" s="542"/>
      <c r="EK349" s="542"/>
      <c r="EL349" s="542"/>
      <c r="EM349" s="542"/>
      <c r="EN349" s="542"/>
      <c r="EO349" s="542"/>
      <c r="EP349" s="542"/>
      <c r="EQ349" s="542"/>
      <c r="ER349" s="19"/>
      <c r="ES349" s="569">
        <v>591</v>
      </c>
      <c r="ET349" t="s">
        <v>847</v>
      </c>
      <c r="EU349" t="s">
        <v>848</v>
      </c>
      <c r="EV349" t="s">
        <v>3125</v>
      </c>
      <c r="EW349" t="s">
        <v>54</v>
      </c>
      <c r="EX349" s="600">
        <v>56303</v>
      </c>
      <c r="EY349">
        <v>1659348092</v>
      </c>
    </row>
    <row r="350" spans="1:155" x14ac:dyDescent="0.2">
      <c r="A350" s="546"/>
      <c r="B350" s="543"/>
      <c r="C350" s="543"/>
      <c r="J350" s="543"/>
      <c r="K350" s="543"/>
      <c r="L350" s="543"/>
      <c r="M350" s="543"/>
      <c r="N350" s="543"/>
      <c r="O350" s="543"/>
      <c r="P350" s="543"/>
      <c r="Q350" s="543"/>
      <c r="R350" s="543"/>
      <c r="S350" s="543"/>
      <c r="T350" s="543"/>
      <c r="U350" s="543"/>
      <c r="V350" s="543"/>
      <c r="W350" s="543"/>
      <c r="X350" s="543"/>
      <c r="Y350" s="543"/>
      <c r="Z350" s="543"/>
      <c r="AA350" s="543"/>
      <c r="AB350" s="543"/>
      <c r="AC350" s="543"/>
      <c r="AD350" s="543"/>
      <c r="AE350" s="543"/>
      <c r="AF350" s="543"/>
      <c r="AG350" s="543"/>
      <c r="AH350" s="543"/>
      <c r="AI350" s="543"/>
      <c r="AJ350" s="543"/>
      <c r="AK350" s="543"/>
      <c r="AL350" s="543"/>
      <c r="AM350" s="543"/>
      <c r="AN350" s="543"/>
      <c r="AO350" s="543"/>
      <c r="AP350" s="543"/>
      <c r="AQ350" s="543"/>
      <c r="AR350" s="543"/>
      <c r="AS350" s="543"/>
      <c r="AT350" s="543"/>
      <c r="AU350" s="543"/>
      <c r="AV350" s="543"/>
      <c r="AW350" s="543"/>
      <c r="AX350" s="543"/>
      <c r="AY350" s="543"/>
      <c r="AZ350" s="543"/>
      <c r="BA350" s="543"/>
      <c r="BB350" s="543"/>
      <c r="BC350" s="543"/>
      <c r="BD350" s="543"/>
      <c r="BE350" s="543"/>
      <c r="BF350" s="543"/>
      <c r="BG350" s="543"/>
      <c r="BH350" s="543"/>
      <c r="BI350" s="543"/>
      <c r="BJ350" s="543"/>
      <c r="BK350" s="543"/>
      <c r="BL350" s="543"/>
      <c r="BM350" s="543"/>
      <c r="BN350" s="543"/>
      <c r="BO350" s="543"/>
      <c r="BP350" s="543"/>
      <c r="BQ350" s="543"/>
      <c r="BR350" s="543"/>
      <c r="BS350" s="543"/>
      <c r="BT350" s="543"/>
      <c r="BU350" s="543"/>
      <c r="BV350" s="543"/>
      <c r="BW350" s="543"/>
      <c r="BX350" s="543"/>
      <c r="BY350" s="543"/>
      <c r="BZ350" s="543"/>
      <c r="CA350" s="543"/>
      <c r="CB350" s="543"/>
      <c r="CC350" s="543"/>
      <c r="CD350" s="544"/>
      <c r="CE350" s="543"/>
      <c r="CF350" s="543"/>
      <c r="CG350" s="543"/>
      <c r="CH350" s="543"/>
      <c r="CI350" s="544"/>
      <c r="CJ350" s="543"/>
      <c r="CK350" s="543"/>
      <c r="CL350" s="543"/>
      <c r="CM350" s="543"/>
      <c r="CN350" s="545"/>
      <c r="CO350" s="543"/>
      <c r="CP350" s="543"/>
      <c r="CQ350" s="543"/>
      <c r="CR350" s="543"/>
      <c r="CS350" s="543"/>
      <c r="CT350" s="543"/>
      <c r="CU350" s="545"/>
      <c r="CV350" s="543"/>
      <c r="CW350" s="543"/>
      <c r="CX350" s="543"/>
      <c r="CY350" s="543"/>
      <c r="CZ350" s="545"/>
      <c r="DA350" s="543"/>
      <c r="DB350" s="543"/>
      <c r="DC350" s="543"/>
      <c r="DD350" s="543"/>
      <c r="DE350" s="543"/>
      <c r="DF350" s="543"/>
      <c r="DG350" s="543"/>
      <c r="DH350" s="543"/>
      <c r="DI350" s="543"/>
      <c r="DJ350" s="543"/>
      <c r="DK350" s="543"/>
      <c r="DL350" s="543"/>
      <c r="DM350" s="543"/>
      <c r="DN350" s="543"/>
      <c r="DO350" s="546"/>
      <c r="DP350" s="543"/>
      <c r="DQ350" s="543"/>
      <c r="DR350" s="543"/>
      <c r="DS350" s="543"/>
      <c r="DT350" s="543"/>
      <c r="DU350" s="543"/>
      <c r="DY350" s="546"/>
      <c r="DZ350" s="19"/>
      <c r="EA350" s="19"/>
      <c r="EB350" s="19"/>
      <c r="EC350" s="19"/>
      <c r="ED350" s="19"/>
      <c r="EE350" s="19"/>
      <c r="EI350" s="542"/>
      <c r="EJ350" s="542"/>
      <c r="EK350" s="542"/>
      <c r="EL350" s="542"/>
      <c r="EM350" s="542"/>
      <c r="EN350" s="542"/>
      <c r="EO350" s="542"/>
      <c r="EP350" s="542"/>
      <c r="EQ350" s="542"/>
      <c r="ER350" s="19"/>
      <c r="ES350" s="569">
        <v>743</v>
      </c>
      <c r="ET350" t="s">
        <v>2238</v>
      </c>
      <c r="EU350" t="s">
        <v>848</v>
      </c>
      <c r="EV350" t="s">
        <v>3125</v>
      </c>
      <c r="EW350" t="s">
        <v>54</v>
      </c>
      <c r="EX350" s="600">
        <v>56303</v>
      </c>
      <c r="EY350">
        <v>1689196339</v>
      </c>
    </row>
    <row r="351" spans="1:155" x14ac:dyDescent="0.2">
      <c r="A351" s="546"/>
      <c r="B351" s="543"/>
      <c r="C351" s="543"/>
      <c r="J351" s="547"/>
      <c r="K351" s="547"/>
      <c r="L351" s="547"/>
      <c r="M351" s="547"/>
      <c r="N351" s="547"/>
      <c r="O351" s="547"/>
      <c r="P351" s="548"/>
      <c r="Q351" s="548"/>
      <c r="R351" s="547"/>
      <c r="S351" s="547"/>
      <c r="T351" s="547"/>
      <c r="U351" s="547"/>
      <c r="V351" s="547"/>
      <c r="W351" s="547"/>
      <c r="X351" s="547"/>
      <c r="Y351" s="547"/>
      <c r="Z351" s="548"/>
      <c r="AA351" s="547"/>
      <c r="AB351" s="548"/>
      <c r="AC351" s="547"/>
      <c r="AD351" s="547"/>
      <c r="AE351" s="547"/>
      <c r="AF351" s="547"/>
      <c r="AG351" s="547"/>
      <c r="AH351" s="547"/>
      <c r="AI351" s="547"/>
      <c r="AJ351" s="547"/>
      <c r="AK351" s="547"/>
      <c r="AL351" s="547"/>
      <c r="AM351" s="547"/>
      <c r="AN351" s="548"/>
      <c r="AO351" s="547"/>
      <c r="AP351" s="548"/>
      <c r="AQ351" s="547"/>
      <c r="AR351" s="547"/>
      <c r="AS351" s="547"/>
      <c r="AT351" s="547"/>
      <c r="AU351" s="547"/>
      <c r="AV351" s="547"/>
      <c r="AW351" s="547"/>
      <c r="AX351" s="547"/>
      <c r="AY351" s="547"/>
      <c r="AZ351" s="547"/>
      <c r="BA351" s="547"/>
      <c r="BB351" s="548"/>
      <c r="BC351" s="547"/>
      <c r="BD351" s="548"/>
      <c r="BE351" s="547"/>
      <c r="BF351" s="547"/>
      <c r="BG351" s="547"/>
      <c r="BH351" s="547"/>
      <c r="BI351" s="547"/>
      <c r="BJ351" s="547"/>
      <c r="BK351" s="547"/>
      <c r="BL351" s="547"/>
      <c r="BM351" s="547"/>
      <c r="BN351" s="547"/>
      <c r="BO351" s="547"/>
      <c r="BP351" s="547"/>
      <c r="BQ351" s="547"/>
      <c r="BR351" s="548"/>
      <c r="BS351" s="547"/>
      <c r="BT351" s="547"/>
      <c r="BU351" s="547"/>
      <c r="BV351" s="547"/>
      <c r="BW351" s="547"/>
      <c r="BX351" s="547"/>
      <c r="BY351" s="547"/>
      <c r="BZ351" s="547"/>
      <c r="CA351" s="547"/>
      <c r="CB351" s="547"/>
      <c r="CC351" s="547"/>
      <c r="CD351" s="547"/>
      <c r="CE351" s="547"/>
      <c r="CF351" s="550"/>
      <c r="CG351" s="547"/>
      <c r="CH351" s="547"/>
      <c r="CI351" s="547"/>
      <c r="CJ351" s="549"/>
      <c r="CK351" s="547"/>
      <c r="CL351" s="547"/>
      <c r="CM351" s="547"/>
      <c r="CN351" s="547"/>
      <c r="CO351" s="547"/>
      <c r="CP351" s="19"/>
      <c r="CQ351" s="19"/>
      <c r="CR351" s="19"/>
      <c r="CS351" s="19"/>
      <c r="CT351" s="19"/>
      <c r="CU351" s="19"/>
      <c r="EI351" s="542"/>
      <c r="EJ351" s="542"/>
      <c r="EK351" s="542"/>
      <c r="EL351" s="542"/>
      <c r="EM351" s="542"/>
      <c r="EN351" s="542"/>
      <c r="EO351" s="542"/>
      <c r="EP351" s="542"/>
      <c r="EQ351" s="542"/>
      <c r="ER351" s="19"/>
      <c r="ES351" s="569">
        <v>764</v>
      </c>
      <c r="ET351" t="s">
        <v>2870</v>
      </c>
      <c r="EU351" t="s">
        <v>848</v>
      </c>
      <c r="EV351" t="s">
        <v>3126</v>
      </c>
      <c r="EW351" t="s">
        <v>54</v>
      </c>
      <c r="EX351" s="600">
        <v>56303</v>
      </c>
      <c r="EY351">
        <v>1508882754</v>
      </c>
    </row>
    <row r="352" spans="1:155" x14ac:dyDescent="0.2">
      <c r="A352" s="546"/>
      <c r="B352" s="543"/>
      <c r="C352" s="543"/>
      <c r="J352" s="543"/>
      <c r="K352" s="543"/>
      <c r="L352" s="543"/>
      <c r="M352" s="543"/>
      <c r="N352" s="543"/>
      <c r="O352" s="543"/>
      <c r="P352" s="543"/>
      <c r="Q352" s="543"/>
      <c r="R352" s="543"/>
      <c r="S352" s="543"/>
      <c r="T352" s="543"/>
      <c r="U352" s="543"/>
      <c r="V352" s="543"/>
      <c r="W352" s="543"/>
      <c r="X352" s="543"/>
      <c r="Y352" s="543"/>
      <c r="Z352" s="543"/>
      <c r="AA352" s="543"/>
      <c r="AB352" s="543"/>
      <c r="AC352" s="543"/>
      <c r="AD352" s="543"/>
      <c r="AE352" s="543"/>
      <c r="AF352" s="543"/>
      <c r="AG352" s="543"/>
      <c r="AH352" s="543"/>
      <c r="AI352" s="543"/>
      <c r="AJ352" s="543"/>
      <c r="AK352" s="543"/>
      <c r="AL352" s="543"/>
      <c r="AM352" s="543"/>
      <c r="AN352" s="543"/>
      <c r="AO352" s="543"/>
      <c r="AP352" s="543"/>
      <c r="AQ352" s="543"/>
      <c r="AR352" s="543"/>
      <c r="AS352" s="543"/>
      <c r="AT352" s="543"/>
      <c r="AU352" s="543"/>
      <c r="AV352" s="543"/>
      <c r="AW352" s="543"/>
      <c r="AX352" s="543"/>
      <c r="AY352" s="543"/>
      <c r="AZ352" s="543"/>
      <c r="BA352" s="543"/>
      <c r="BB352" s="543"/>
      <c r="BC352" s="543"/>
      <c r="BD352" s="543"/>
      <c r="BE352" s="543"/>
      <c r="BF352" s="543"/>
      <c r="BG352" s="543"/>
      <c r="BH352" s="543"/>
      <c r="BI352" s="543"/>
      <c r="BJ352" s="543"/>
      <c r="BK352" s="543"/>
      <c r="BL352" s="543"/>
      <c r="BM352" s="543"/>
      <c r="BN352" s="543"/>
      <c r="BO352" s="543"/>
      <c r="BP352" s="543"/>
      <c r="BQ352" s="543"/>
      <c r="BR352" s="543"/>
      <c r="BS352" s="543"/>
      <c r="BT352" s="543"/>
      <c r="BU352" s="543"/>
      <c r="BV352" s="543"/>
      <c r="BW352" s="543"/>
      <c r="BX352" s="543"/>
      <c r="BY352" s="543"/>
      <c r="BZ352" s="543"/>
      <c r="CA352" s="543"/>
      <c r="CB352" s="543"/>
      <c r="CC352" s="543"/>
      <c r="CD352" s="544"/>
      <c r="CE352" s="543"/>
      <c r="CF352" s="543"/>
      <c r="CG352" s="543"/>
      <c r="CH352" s="543"/>
      <c r="CI352" s="544"/>
      <c r="CJ352" s="543"/>
      <c r="CK352" s="543"/>
      <c r="CL352" s="543"/>
      <c r="CM352" s="543"/>
      <c r="CN352" s="545"/>
      <c r="CO352" s="543"/>
      <c r="CP352" s="545"/>
      <c r="CQ352" s="543"/>
      <c r="CR352" s="543"/>
      <c r="CS352" s="543"/>
      <c r="CT352" s="543"/>
      <c r="CU352" s="543"/>
      <c r="CV352" s="543"/>
      <c r="CW352" s="543"/>
      <c r="CX352" s="543"/>
      <c r="CY352" s="543"/>
      <c r="CZ352" s="545"/>
      <c r="DA352" s="543"/>
      <c r="DB352" s="543"/>
      <c r="DC352" s="543"/>
      <c r="DD352" s="543"/>
      <c r="DE352" s="543"/>
      <c r="DF352" s="543"/>
      <c r="DG352" s="543"/>
      <c r="DH352" s="543"/>
      <c r="DI352" s="543"/>
      <c r="DJ352" s="543"/>
      <c r="DK352" s="543"/>
      <c r="DL352" s="543"/>
      <c r="DM352" s="543"/>
      <c r="DN352" s="543"/>
      <c r="DO352" s="546"/>
      <c r="DP352" s="543"/>
      <c r="DQ352" s="543"/>
      <c r="DR352" s="543"/>
      <c r="DS352" s="543"/>
      <c r="DT352" s="543"/>
      <c r="DU352" s="543"/>
      <c r="DY352" s="546"/>
      <c r="DZ352" s="19"/>
      <c r="EA352" s="19"/>
      <c r="EB352" s="19"/>
      <c r="EC352" s="19"/>
      <c r="ED352" s="19"/>
      <c r="EE352" s="19"/>
      <c r="EI352" s="542"/>
      <c r="EJ352" s="542"/>
      <c r="EK352" s="542"/>
      <c r="EL352" s="542"/>
      <c r="EM352" s="542"/>
      <c r="EN352" s="542"/>
      <c r="EO352" s="542"/>
      <c r="EP352" s="542"/>
      <c r="EQ352" s="542"/>
      <c r="ER352" s="19"/>
      <c r="ES352" s="569">
        <v>132</v>
      </c>
      <c r="ET352" t="s">
        <v>1922</v>
      </c>
      <c r="EU352" t="s">
        <v>848</v>
      </c>
      <c r="EV352" t="s">
        <v>2336</v>
      </c>
      <c r="EW352" t="s">
        <v>54</v>
      </c>
      <c r="EX352" s="599">
        <v>56303</v>
      </c>
      <c r="EY352">
        <v>1043269798</v>
      </c>
    </row>
    <row r="353" spans="1:155" ht="13.9" customHeight="1" x14ac:dyDescent="0.2">
      <c r="A353" s="546"/>
      <c r="B353" s="19"/>
      <c r="C353" s="19"/>
      <c r="J353" s="543"/>
      <c r="K353" s="543"/>
      <c r="L353" s="543"/>
      <c r="M353" s="543"/>
      <c r="N353" s="543"/>
      <c r="O353" s="543"/>
      <c r="P353" s="543"/>
      <c r="Q353" s="543"/>
      <c r="R353" s="543"/>
      <c r="S353" s="543"/>
      <c r="T353" s="543"/>
      <c r="U353" s="543"/>
      <c r="V353" s="543"/>
      <c r="W353" s="543"/>
      <c r="X353" s="543"/>
      <c r="Y353" s="543"/>
      <c r="Z353" s="543"/>
      <c r="AA353" s="543"/>
      <c r="AB353" s="543"/>
      <c r="AC353" s="543"/>
      <c r="AD353" s="543"/>
      <c r="AE353" s="543"/>
      <c r="AF353" s="543"/>
      <c r="AG353" s="543"/>
      <c r="AH353" s="543"/>
      <c r="AI353" s="543"/>
      <c r="AJ353" s="543"/>
      <c r="AK353" s="543"/>
      <c r="AL353" s="543"/>
      <c r="AM353" s="543"/>
      <c r="AN353" s="543"/>
      <c r="AO353" s="543"/>
      <c r="AP353" s="543"/>
      <c r="AQ353" s="543"/>
      <c r="AR353" s="543"/>
      <c r="AS353" s="543"/>
      <c r="AT353" s="543"/>
      <c r="AU353" s="543"/>
      <c r="AV353" s="543"/>
      <c r="AW353" s="543"/>
      <c r="AX353" s="543"/>
      <c r="AY353" s="543"/>
      <c r="AZ353" s="543"/>
      <c r="BA353" s="543"/>
      <c r="BB353" s="543"/>
      <c r="BC353" s="543"/>
      <c r="BD353" s="543"/>
      <c r="BE353" s="543"/>
      <c r="BF353" s="543"/>
      <c r="BG353" s="543"/>
      <c r="BH353" s="543"/>
      <c r="BI353" s="543"/>
      <c r="BJ353" s="543"/>
      <c r="BK353" s="543"/>
      <c r="BL353" s="543"/>
      <c r="BM353" s="543"/>
      <c r="BN353" s="543"/>
      <c r="BO353" s="543"/>
      <c r="BP353" s="543"/>
      <c r="BQ353" s="543"/>
      <c r="BR353" s="543"/>
      <c r="BS353" s="543"/>
      <c r="BT353" s="543"/>
      <c r="BU353" s="543"/>
      <c r="BV353" s="543"/>
      <c r="BW353" s="543"/>
      <c r="BX353" s="543"/>
      <c r="BY353" s="543"/>
      <c r="BZ353" s="543"/>
      <c r="CA353" s="543"/>
      <c r="CB353" s="543"/>
      <c r="CC353" s="543"/>
      <c r="CD353" s="544"/>
      <c r="CE353" s="543"/>
      <c r="CF353" s="543"/>
      <c r="CG353" s="543"/>
      <c r="CH353" s="543"/>
      <c r="CI353" s="544"/>
      <c r="CJ353" s="543"/>
      <c r="CK353" s="543"/>
      <c r="CL353" s="543"/>
      <c r="CM353" s="543"/>
      <c r="CN353" s="545"/>
      <c r="CO353" s="543"/>
      <c r="CP353" s="545"/>
      <c r="CQ353" s="543"/>
      <c r="CR353" s="543"/>
      <c r="CS353" s="543"/>
      <c r="CT353" s="543"/>
      <c r="CU353" s="543"/>
      <c r="CV353" s="543"/>
      <c r="CW353" s="543"/>
      <c r="CX353" s="543"/>
      <c r="CY353" s="543"/>
      <c r="CZ353" s="545"/>
      <c r="DA353" s="543"/>
      <c r="DB353" s="543"/>
      <c r="DC353" s="543"/>
      <c r="DD353" s="543"/>
      <c r="DE353" s="543"/>
      <c r="DF353" s="543"/>
      <c r="DG353" s="543"/>
      <c r="DH353" s="543"/>
      <c r="DI353" s="543"/>
      <c r="DJ353" s="543"/>
      <c r="DK353" s="543"/>
      <c r="DL353" s="543"/>
      <c r="DM353" s="543"/>
      <c r="DN353" s="543"/>
      <c r="DO353" s="546"/>
      <c r="DP353" s="543"/>
      <c r="DQ353" s="543"/>
      <c r="DR353" s="543"/>
      <c r="DS353" s="543"/>
      <c r="DT353" s="543"/>
      <c r="DU353" s="543"/>
      <c r="DY353" s="546"/>
      <c r="DZ353" s="19"/>
      <c r="EA353" s="19"/>
      <c r="EB353" s="19"/>
      <c r="EC353" s="19"/>
      <c r="ED353" s="19"/>
      <c r="EE353" s="19"/>
      <c r="EI353" s="542"/>
      <c r="EJ353" s="542"/>
      <c r="EK353" s="542"/>
      <c r="EL353" s="542"/>
      <c r="EM353" s="542"/>
      <c r="EN353" s="542"/>
      <c r="EO353" s="542"/>
      <c r="EP353" s="542"/>
      <c r="EQ353" s="542"/>
      <c r="ER353" s="19"/>
      <c r="ES353" s="569">
        <v>212</v>
      </c>
      <c r="ET353" t="s">
        <v>1923</v>
      </c>
      <c r="EU353" t="s">
        <v>848</v>
      </c>
      <c r="EV353" t="s">
        <v>2337</v>
      </c>
      <c r="EW353" t="s">
        <v>54</v>
      </c>
      <c r="EX353" s="599">
        <v>56303</v>
      </c>
      <c r="EY353">
        <v>1588614325</v>
      </c>
    </row>
    <row r="354" spans="1:155" x14ac:dyDescent="0.2">
      <c r="A354" s="546"/>
      <c r="B354" s="543"/>
      <c r="C354" s="543"/>
      <c r="J354" s="547"/>
      <c r="K354" s="547"/>
      <c r="L354" s="547"/>
      <c r="M354" s="547"/>
      <c r="N354" s="547"/>
      <c r="O354" s="547"/>
      <c r="P354" s="548"/>
      <c r="Q354" s="548"/>
      <c r="R354" s="547"/>
      <c r="S354" s="547"/>
      <c r="T354" s="547"/>
      <c r="U354" s="547"/>
      <c r="V354" s="547"/>
      <c r="W354" s="547"/>
      <c r="X354" s="547"/>
      <c r="Y354" s="547"/>
      <c r="Z354" s="548"/>
      <c r="AA354" s="547"/>
      <c r="AB354" s="548"/>
      <c r="AC354" s="547"/>
      <c r="AD354" s="547"/>
      <c r="AE354" s="547"/>
      <c r="AF354" s="547"/>
      <c r="AG354" s="547"/>
      <c r="AH354" s="547"/>
      <c r="AI354" s="547"/>
      <c r="AJ354" s="547"/>
      <c r="AK354" s="547"/>
      <c r="AL354" s="547"/>
      <c r="AM354" s="547"/>
      <c r="AN354" s="548"/>
      <c r="AO354" s="547"/>
      <c r="AP354" s="548"/>
      <c r="AQ354" s="547"/>
      <c r="AR354" s="547"/>
      <c r="AS354" s="547"/>
      <c r="AT354" s="547"/>
      <c r="AU354" s="547"/>
      <c r="AV354" s="547"/>
      <c r="AW354" s="547"/>
      <c r="AX354" s="547"/>
      <c r="AY354" s="547"/>
      <c r="AZ354" s="547"/>
      <c r="BA354" s="547"/>
      <c r="BB354" s="548"/>
      <c r="BC354" s="547"/>
      <c r="BD354" s="548"/>
      <c r="BE354" s="547"/>
      <c r="BF354" s="547"/>
      <c r="BG354" s="547"/>
      <c r="BH354" s="547"/>
      <c r="BI354" s="547"/>
      <c r="BJ354" s="547"/>
      <c r="BK354" s="547"/>
      <c r="BL354" s="547"/>
      <c r="BM354" s="547"/>
      <c r="BN354" s="547"/>
      <c r="BO354" s="547"/>
      <c r="BP354" s="547"/>
      <c r="BQ354" s="547"/>
      <c r="BR354" s="548"/>
      <c r="BS354" s="547"/>
      <c r="BT354" s="547"/>
      <c r="BU354" s="547"/>
      <c r="BV354" s="547"/>
      <c r="BW354" s="547"/>
      <c r="BX354" s="547"/>
      <c r="BY354" s="547"/>
      <c r="BZ354" s="547"/>
      <c r="CA354" s="547"/>
      <c r="CB354" s="547"/>
      <c r="CC354" s="547"/>
      <c r="CD354" s="547"/>
      <c r="CE354" s="547"/>
      <c r="CF354" s="547"/>
      <c r="CG354" s="547"/>
      <c r="CH354" s="547"/>
      <c r="CI354" s="547"/>
      <c r="CJ354" s="549"/>
      <c r="CK354" s="547"/>
      <c r="CL354" s="547"/>
      <c r="CM354" s="547"/>
      <c r="CN354" s="550"/>
      <c r="CO354" s="547"/>
      <c r="CP354" s="19"/>
      <c r="CQ354" s="19"/>
      <c r="CR354" s="19"/>
      <c r="CS354" s="19"/>
      <c r="CT354" s="19"/>
      <c r="CU354" s="19"/>
      <c r="EI354" s="542"/>
      <c r="EJ354" s="542"/>
      <c r="EK354" s="542"/>
      <c r="EL354" s="542"/>
      <c r="EM354" s="542"/>
      <c r="EN354" s="542"/>
      <c r="EO354" s="542"/>
      <c r="EP354" s="542"/>
      <c r="EQ354" s="542"/>
      <c r="ER354" s="19"/>
      <c r="ES354" s="569">
        <v>171</v>
      </c>
      <c r="ET354" t="s">
        <v>1924</v>
      </c>
      <c r="EU354" t="s">
        <v>1925</v>
      </c>
      <c r="EV354" t="s">
        <v>2339</v>
      </c>
      <c r="EW354" t="s">
        <v>54</v>
      </c>
      <c r="EX354" s="599">
        <v>56081</v>
      </c>
      <c r="EY354">
        <v>1639198732</v>
      </c>
    </row>
    <row r="355" spans="1:155" x14ac:dyDescent="0.2">
      <c r="A355" s="546"/>
      <c r="B355" s="543"/>
      <c r="C355" s="543"/>
      <c r="J355" s="547"/>
      <c r="K355" s="547"/>
      <c r="L355" s="547"/>
      <c r="M355" s="547"/>
      <c r="N355" s="547"/>
      <c r="O355" s="547"/>
      <c r="P355" s="548"/>
      <c r="Q355" s="548"/>
      <c r="R355" s="547"/>
      <c r="S355" s="547"/>
      <c r="T355" s="547"/>
      <c r="U355" s="547"/>
      <c r="V355" s="547"/>
      <c r="W355" s="547"/>
      <c r="X355" s="547"/>
      <c r="Y355" s="547"/>
      <c r="Z355" s="548"/>
      <c r="AA355" s="547"/>
      <c r="AB355" s="548"/>
      <c r="AC355" s="547"/>
      <c r="AD355" s="547"/>
      <c r="AE355" s="547"/>
      <c r="AF355" s="547"/>
      <c r="AG355" s="547"/>
      <c r="AH355" s="547"/>
      <c r="AI355" s="547"/>
      <c r="AJ355" s="547"/>
      <c r="AK355" s="547"/>
      <c r="AL355" s="547"/>
      <c r="AM355" s="547"/>
      <c r="AN355" s="548"/>
      <c r="AO355" s="547"/>
      <c r="AP355" s="548"/>
      <c r="AQ355" s="547"/>
      <c r="AR355" s="547"/>
      <c r="AS355" s="547"/>
      <c r="AT355" s="547"/>
      <c r="AU355" s="547"/>
      <c r="AV355" s="547"/>
      <c r="AW355" s="547"/>
      <c r="AX355" s="547"/>
      <c r="AY355" s="547"/>
      <c r="AZ355" s="547"/>
      <c r="BA355" s="547"/>
      <c r="BB355" s="548"/>
      <c r="BC355" s="547"/>
      <c r="BD355" s="548"/>
      <c r="BE355" s="547"/>
      <c r="BF355" s="547"/>
      <c r="BG355" s="547"/>
      <c r="BH355" s="547"/>
      <c r="BI355" s="547"/>
      <c r="BJ355" s="547"/>
      <c r="BK355" s="547"/>
      <c r="BL355" s="547"/>
      <c r="BM355" s="547"/>
      <c r="BN355" s="547"/>
      <c r="BO355" s="547"/>
      <c r="BP355" s="547"/>
      <c r="BQ355" s="547"/>
      <c r="BR355" s="548"/>
      <c r="BS355" s="547"/>
      <c r="BT355" s="547"/>
      <c r="BU355" s="547"/>
      <c r="BV355" s="547"/>
      <c r="BW355" s="547"/>
      <c r="BX355" s="547"/>
      <c r="BY355" s="547"/>
      <c r="BZ355" s="547"/>
      <c r="CA355" s="547"/>
      <c r="CB355" s="547"/>
      <c r="CC355" s="547"/>
      <c r="CD355" s="547"/>
      <c r="CE355" s="547"/>
      <c r="CF355" s="547"/>
      <c r="CG355" s="547"/>
      <c r="CH355" s="547"/>
      <c r="CI355" s="547"/>
      <c r="CJ355" s="549"/>
      <c r="CK355" s="547"/>
      <c r="CL355" s="547"/>
      <c r="CM355" s="547"/>
      <c r="CN355" s="547"/>
      <c r="CO355" s="547"/>
      <c r="CP355" s="19"/>
      <c r="CQ355" s="19"/>
      <c r="CR355" s="19"/>
      <c r="CS355" s="19"/>
      <c r="CT355" s="19"/>
      <c r="CU355" s="19"/>
      <c r="EI355" s="542"/>
      <c r="EJ355" s="542"/>
      <c r="EK355" s="542"/>
      <c r="EL355" s="542"/>
      <c r="EM355" s="542"/>
      <c r="EN355" s="542"/>
      <c r="EO355" s="542"/>
      <c r="EP355" s="542"/>
      <c r="EQ355" s="542"/>
      <c r="ER355" s="19"/>
      <c r="ES355" s="569">
        <v>574</v>
      </c>
      <c r="ET355" t="s">
        <v>850</v>
      </c>
      <c r="EU355" t="s">
        <v>736</v>
      </c>
      <c r="EV355" t="s">
        <v>3127</v>
      </c>
      <c r="EW355" t="s">
        <v>54</v>
      </c>
      <c r="EX355" s="600">
        <v>55416</v>
      </c>
      <c r="EY355">
        <v>1659348092</v>
      </c>
    </row>
    <row r="356" spans="1:155" x14ac:dyDescent="0.2">
      <c r="A356" s="546"/>
      <c r="B356" s="19"/>
      <c r="C356" s="19"/>
      <c r="J356" s="547"/>
      <c r="K356" s="547"/>
      <c r="L356" s="547"/>
      <c r="M356" s="547"/>
      <c r="N356" s="547"/>
      <c r="O356" s="547"/>
      <c r="P356" s="548"/>
      <c r="Q356" s="548"/>
      <c r="R356" s="547"/>
      <c r="S356" s="547"/>
      <c r="T356" s="547"/>
      <c r="U356" s="547"/>
      <c r="V356" s="547"/>
      <c r="W356" s="547"/>
      <c r="X356" s="547"/>
      <c r="Y356" s="547"/>
      <c r="Z356" s="548"/>
      <c r="AA356" s="547"/>
      <c r="AB356" s="548"/>
      <c r="AC356" s="547"/>
      <c r="AD356" s="547"/>
      <c r="AE356" s="547"/>
      <c r="AF356" s="547"/>
      <c r="AG356" s="547"/>
      <c r="AH356" s="547"/>
      <c r="AI356" s="547"/>
      <c r="AJ356" s="547"/>
      <c r="AK356" s="547"/>
      <c r="AL356" s="547"/>
      <c r="AM356" s="547"/>
      <c r="AN356" s="548"/>
      <c r="AO356" s="547"/>
      <c r="AP356" s="548"/>
      <c r="AQ356" s="547"/>
      <c r="AR356" s="547"/>
      <c r="AS356" s="547"/>
      <c r="AT356" s="547"/>
      <c r="AU356" s="547"/>
      <c r="AV356" s="547"/>
      <c r="AW356" s="547"/>
      <c r="AX356" s="547"/>
      <c r="AY356" s="547"/>
      <c r="AZ356" s="547"/>
      <c r="BA356" s="547"/>
      <c r="BB356" s="548"/>
      <c r="BC356" s="547"/>
      <c r="BD356" s="548"/>
      <c r="BE356" s="547"/>
      <c r="BF356" s="547"/>
      <c r="BG356" s="547"/>
      <c r="BH356" s="547"/>
      <c r="BI356" s="547"/>
      <c r="BJ356" s="547"/>
      <c r="BK356" s="547"/>
      <c r="BL356" s="547"/>
      <c r="BM356" s="547"/>
      <c r="BN356" s="547"/>
      <c r="BO356" s="547"/>
      <c r="BP356" s="547"/>
      <c r="BQ356" s="547"/>
      <c r="BR356" s="548"/>
      <c r="BS356" s="547"/>
      <c r="BT356" s="547"/>
      <c r="BU356" s="547"/>
      <c r="BV356" s="547"/>
      <c r="BW356" s="547"/>
      <c r="BX356" s="547"/>
      <c r="BY356" s="547"/>
      <c r="BZ356" s="547"/>
      <c r="CA356" s="547"/>
      <c r="CB356" s="547"/>
      <c r="CC356" s="547"/>
      <c r="CD356" s="547"/>
      <c r="CE356" s="547"/>
      <c r="CF356" s="550"/>
      <c r="CG356" s="547"/>
      <c r="CH356" s="547"/>
      <c r="CI356" s="547"/>
      <c r="CJ356" s="549"/>
      <c r="CK356" s="547"/>
      <c r="CL356" s="547"/>
      <c r="CM356" s="547"/>
      <c r="CN356" s="547"/>
      <c r="CO356" s="547"/>
      <c r="CP356" s="19"/>
      <c r="CQ356" s="19"/>
      <c r="CR356" s="19"/>
      <c r="CS356" s="19"/>
      <c r="CT356" s="19"/>
      <c r="CU356" s="19"/>
      <c r="EI356" s="542"/>
      <c r="EJ356" s="542"/>
      <c r="EK356" s="542"/>
      <c r="EL356" s="542"/>
      <c r="EM356" s="542"/>
      <c r="EN356" s="542"/>
      <c r="EO356" s="542"/>
      <c r="EP356" s="542"/>
      <c r="EQ356" s="542"/>
      <c r="ER356" s="19"/>
      <c r="ES356" s="569">
        <v>575</v>
      </c>
      <c r="ET356" t="s">
        <v>1527</v>
      </c>
      <c r="EU356" t="s">
        <v>736</v>
      </c>
      <c r="EV356" t="s">
        <v>3128</v>
      </c>
      <c r="EW356" t="s">
        <v>54</v>
      </c>
      <c r="EX356" s="600">
        <v>55416</v>
      </c>
      <c r="EY356">
        <v>1780621904</v>
      </c>
    </row>
    <row r="357" spans="1:155" x14ac:dyDescent="0.2">
      <c r="A357" s="546"/>
      <c r="B357" s="19"/>
      <c r="C357" s="19"/>
      <c r="J357" s="543"/>
      <c r="K357" s="543"/>
      <c r="L357" s="543"/>
      <c r="M357" s="543"/>
      <c r="N357" s="543"/>
      <c r="O357" s="543"/>
      <c r="P357" s="543"/>
      <c r="Q357" s="543"/>
      <c r="R357" s="543"/>
      <c r="S357" s="543"/>
      <c r="T357" s="543"/>
      <c r="U357" s="543"/>
      <c r="V357" s="543"/>
      <c r="W357" s="543"/>
      <c r="X357" s="543"/>
      <c r="Y357" s="543"/>
      <c r="Z357" s="543"/>
      <c r="AA357" s="543"/>
      <c r="AB357" s="543"/>
      <c r="AC357" s="543"/>
      <c r="AD357" s="543"/>
      <c r="AE357" s="543"/>
      <c r="AF357" s="543"/>
      <c r="AG357" s="543"/>
      <c r="AH357" s="543"/>
      <c r="AI357" s="543"/>
      <c r="AJ357" s="543"/>
      <c r="AK357" s="543"/>
      <c r="AL357" s="543"/>
      <c r="AM357" s="543"/>
      <c r="AN357" s="543"/>
      <c r="AO357" s="543"/>
      <c r="AP357" s="543"/>
      <c r="AQ357" s="543"/>
      <c r="AR357" s="543"/>
      <c r="AS357" s="543"/>
      <c r="AT357" s="543"/>
      <c r="AU357" s="543"/>
      <c r="AV357" s="543"/>
      <c r="AW357" s="543"/>
      <c r="AX357" s="543"/>
      <c r="AY357" s="543"/>
      <c r="AZ357" s="543"/>
      <c r="BA357" s="543"/>
      <c r="BB357" s="543"/>
      <c r="BC357" s="543"/>
      <c r="BD357" s="543"/>
      <c r="BE357" s="543"/>
      <c r="BF357" s="543"/>
      <c r="BG357" s="543"/>
      <c r="BH357" s="543"/>
      <c r="BI357" s="543"/>
      <c r="BJ357" s="543"/>
      <c r="BK357" s="543"/>
      <c r="BL357" s="543"/>
      <c r="BM357" s="543"/>
      <c r="BN357" s="543"/>
      <c r="BO357" s="543"/>
      <c r="BP357" s="543"/>
      <c r="BQ357" s="543"/>
      <c r="BR357" s="543"/>
      <c r="BS357" s="543"/>
      <c r="BT357" s="543"/>
      <c r="BU357" s="543"/>
      <c r="BV357" s="543"/>
      <c r="BW357" s="543"/>
      <c r="BX357" s="543"/>
      <c r="BY357" s="543"/>
      <c r="BZ357" s="543"/>
      <c r="CA357" s="543"/>
      <c r="CB357" s="543"/>
      <c r="CC357" s="543"/>
      <c r="CD357" s="544"/>
      <c r="CE357" s="543"/>
      <c r="CF357" s="543"/>
      <c r="CG357" s="543"/>
      <c r="CH357" s="543"/>
      <c r="CI357" s="544"/>
      <c r="CJ357" s="543"/>
      <c r="CK357" s="543"/>
      <c r="CL357" s="543"/>
      <c r="CM357" s="543"/>
      <c r="CN357" s="545"/>
      <c r="CO357" s="543"/>
      <c r="CP357" s="543"/>
      <c r="CQ357" s="543"/>
      <c r="CR357" s="543"/>
      <c r="CS357" s="543"/>
      <c r="CT357" s="543"/>
      <c r="CU357" s="543"/>
      <c r="CV357" s="543"/>
      <c r="CW357" s="543"/>
      <c r="CX357" s="543"/>
      <c r="CY357" s="543"/>
      <c r="CZ357" s="543"/>
      <c r="DA357" s="543"/>
      <c r="DB357" s="543"/>
      <c r="DC357" s="543"/>
      <c r="DD357" s="543"/>
      <c r="DE357" s="543"/>
      <c r="DF357" s="543"/>
      <c r="DG357" s="543"/>
      <c r="DH357" s="543"/>
      <c r="DI357" s="543"/>
      <c r="DJ357" s="543"/>
      <c r="DK357" s="543"/>
      <c r="DL357" s="543"/>
      <c r="DM357" s="543"/>
      <c r="DN357" s="543"/>
      <c r="DO357" s="546"/>
      <c r="DP357" s="543"/>
      <c r="DQ357" s="543"/>
      <c r="DR357" s="543"/>
      <c r="DS357" s="543"/>
      <c r="DT357" s="543"/>
      <c r="DU357" s="543"/>
      <c r="DW357" s="552"/>
      <c r="DY357" s="546"/>
      <c r="DZ357" s="19"/>
      <c r="EA357" s="19"/>
      <c r="EB357" s="19"/>
      <c r="EC357" s="19"/>
      <c r="ED357" s="19"/>
      <c r="EE357" s="19"/>
      <c r="EI357" s="542"/>
      <c r="EJ357" s="542"/>
      <c r="EK357" s="542"/>
      <c r="EL357" s="542"/>
      <c r="EM357" s="542"/>
      <c r="EN357" s="542"/>
      <c r="EO357" s="542"/>
      <c r="EP357" s="542"/>
      <c r="EQ357" s="542"/>
      <c r="ER357" s="19"/>
      <c r="ES357" s="569">
        <v>86</v>
      </c>
      <c r="ET357" t="s">
        <v>1926</v>
      </c>
      <c r="EU357" t="s">
        <v>736</v>
      </c>
      <c r="EV357" t="s">
        <v>1514</v>
      </c>
      <c r="EW357" t="s">
        <v>54</v>
      </c>
      <c r="EX357" s="599">
        <v>55426</v>
      </c>
      <c r="EY357">
        <v>1649220724</v>
      </c>
    </row>
    <row r="358" spans="1:155" x14ac:dyDescent="0.2">
      <c r="A358" s="546"/>
      <c r="B358" s="543"/>
      <c r="C358" s="543"/>
      <c r="J358" s="547"/>
      <c r="K358" s="547"/>
      <c r="L358" s="547"/>
      <c r="M358" s="547"/>
      <c r="N358" s="547"/>
      <c r="O358" s="547"/>
      <c r="P358" s="548"/>
      <c r="Q358" s="548"/>
      <c r="R358" s="547"/>
      <c r="S358" s="547"/>
      <c r="T358" s="547"/>
      <c r="U358" s="547"/>
      <c r="V358" s="547"/>
      <c r="W358" s="547"/>
      <c r="X358" s="547"/>
      <c r="Y358" s="547"/>
      <c r="Z358" s="548"/>
      <c r="AA358" s="547"/>
      <c r="AB358" s="548"/>
      <c r="AC358" s="547"/>
      <c r="AD358" s="547"/>
      <c r="AE358" s="547"/>
      <c r="AF358" s="547"/>
      <c r="AG358" s="547"/>
      <c r="AH358" s="547"/>
      <c r="AI358" s="547"/>
      <c r="AJ358" s="547"/>
      <c r="AK358" s="547"/>
      <c r="AL358" s="547"/>
      <c r="AM358" s="547"/>
      <c r="AN358" s="548"/>
      <c r="AO358" s="547"/>
      <c r="AP358" s="548"/>
      <c r="AQ358" s="547"/>
      <c r="AR358" s="547"/>
      <c r="AS358" s="547"/>
      <c r="AT358" s="547"/>
      <c r="AU358" s="547"/>
      <c r="AV358" s="547"/>
      <c r="AW358" s="547"/>
      <c r="AX358" s="547"/>
      <c r="AY358" s="547"/>
      <c r="AZ358" s="547"/>
      <c r="BA358" s="547"/>
      <c r="BB358" s="548"/>
      <c r="BC358" s="547"/>
      <c r="BD358" s="548"/>
      <c r="BE358" s="547"/>
      <c r="BF358" s="547"/>
      <c r="BG358" s="547"/>
      <c r="BH358" s="547"/>
      <c r="BI358" s="547"/>
      <c r="BJ358" s="547"/>
      <c r="BK358" s="547"/>
      <c r="BL358" s="547"/>
      <c r="BM358" s="547"/>
      <c r="BN358" s="547"/>
      <c r="BO358" s="547"/>
      <c r="BP358" s="547"/>
      <c r="BQ358" s="547"/>
      <c r="BR358" s="548"/>
      <c r="BS358" s="547"/>
      <c r="BT358" s="547"/>
      <c r="BU358" s="547"/>
      <c r="BV358" s="547"/>
      <c r="BW358" s="547"/>
      <c r="BX358" s="547"/>
      <c r="BY358" s="547"/>
      <c r="BZ358" s="547"/>
      <c r="CA358" s="547"/>
      <c r="CB358" s="547"/>
      <c r="CC358" s="547"/>
      <c r="CD358" s="547"/>
      <c r="CE358" s="547"/>
      <c r="CF358" s="550"/>
      <c r="CG358" s="547"/>
      <c r="CH358" s="547"/>
      <c r="CI358" s="547"/>
      <c r="CJ358" s="549"/>
      <c r="CK358" s="547"/>
      <c r="CL358" s="547"/>
      <c r="CM358" s="547"/>
      <c r="CN358" s="550"/>
      <c r="CO358" s="547"/>
      <c r="CP358" s="19"/>
      <c r="CQ358" s="19"/>
      <c r="CR358" s="19"/>
      <c r="CS358" s="19"/>
      <c r="CT358" s="19"/>
      <c r="CU358" s="19"/>
      <c r="EI358" s="542"/>
      <c r="EJ358" s="542"/>
      <c r="EK358" s="542"/>
      <c r="EL358" s="542"/>
      <c r="EM358" s="542"/>
      <c r="EN358" s="542"/>
      <c r="EO358" s="542"/>
      <c r="EP358" s="542"/>
      <c r="EQ358" s="542"/>
      <c r="ER358" s="19"/>
      <c r="ES358" s="569">
        <v>680</v>
      </c>
      <c r="ET358" t="s">
        <v>786</v>
      </c>
      <c r="EU358" t="s">
        <v>787</v>
      </c>
      <c r="EV358" t="s">
        <v>3129</v>
      </c>
      <c r="EW358" t="s">
        <v>54</v>
      </c>
      <c r="EX358" s="600">
        <v>55108</v>
      </c>
      <c r="EY358">
        <v>1710158357</v>
      </c>
    </row>
    <row r="359" spans="1:155" x14ac:dyDescent="0.2">
      <c r="A359" s="546"/>
      <c r="B359" s="19"/>
      <c r="C359" s="19"/>
      <c r="J359" s="543"/>
      <c r="K359" s="543"/>
      <c r="L359" s="543"/>
      <c r="M359" s="543"/>
      <c r="N359" s="543"/>
      <c r="O359" s="543"/>
      <c r="P359" s="543"/>
      <c r="Q359" s="543"/>
      <c r="R359" s="543"/>
      <c r="S359" s="543"/>
      <c r="T359" s="543"/>
      <c r="U359" s="543"/>
      <c r="V359" s="543"/>
      <c r="W359" s="543"/>
      <c r="X359" s="543"/>
      <c r="Y359" s="543"/>
      <c r="Z359" s="543"/>
      <c r="AA359" s="543"/>
      <c r="AB359" s="543"/>
      <c r="AC359" s="543"/>
      <c r="AD359" s="543"/>
      <c r="AE359" s="543"/>
      <c r="AF359" s="543"/>
      <c r="AG359" s="543"/>
      <c r="AH359" s="543"/>
      <c r="AI359" s="543"/>
      <c r="AJ359" s="543"/>
      <c r="AK359" s="543"/>
      <c r="AL359" s="543"/>
      <c r="AM359" s="543"/>
      <c r="AN359" s="543"/>
      <c r="AO359" s="543"/>
      <c r="AP359" s="543"/>
      <c r="AQ359" s="543"/>
      <c r="AR359" s="543"/>
      <c r="AS359" s="543"/>
      <c r="AT359" s="543"/>
      <c r="AU359" s="543"/>
      <c r="AV359" s="543"/>
      <c r="AW359" s="543"/>
      <c r="AX359" s="543"/>
      <c r="AY359" s="543"/>
      <c r="AZ359" s="543"/>
      <c r="BA359" s="543"/>
      <c r="BB359" s="543"/>
      <c r="BC359" s="543"/>
      <c r="BD359" s="543"/>
      <c r="BE359" s="543"/>
      <c r="BF359" s="543"/>
      <c r="BG359" s="543"/>
      <c r="BH359" s="543"/>
      <c r="BI359" s="543"/>
      <c r="BJ359" s="543"/>
      <c r="BK359" s="543"/>
      <c r="BL359" s="543"/>
      <c r="BM359" s="543"/>
      <c r="BN359" s="543"/>
      <c r="BO359" s="543"/>
      <c r="BP359" s="543"/>
      <c r="BQ359" s="543"/>
      <c r="BR359" s="543"/>
      <c r="BS359" s="543"/>
      <c r="BT359" s="543"/>
      <c r="BU359" s="543"/>
      <c r="BV359" s="543"/>
      <c r="BW359" s="543"/>
      <c r="BX359" s="543"/>
      <c r="BY359" s="543"/>
      <c r="BZ359" s="543"/>
      <c r="CA359" s="543"/>
      <c r="CB359" s="543"/>
      <c r="CC359" s="543"/>
      <c r="CD359" s="544"/>
      <c r="CE359" s="543"/>
      <c r="CF359" s="543"/>
      <c r="CG359" s="543"/>
      <c r="CH359" s="543"/>
      <c r="CI359" s="544"/>
      <c r="CJ359" s="543"/>
      <c r="CK359" s="543"/>
      <c r="CL359" s="543"/>
      <c r="CM359" s="543"/>
      <c r="CN359" s="545"/>
      <c r="CO359" s="543"/>
      <c r="CP359" s="543"/>
      <c r="CQ359" s="543"/>
      <c r="CR359" s="543"/>
      <c r="CS359" s="543"/>
      <c r="CT359" s="543"/>
      <c r="CU359" s="543"/>
      <c r="CV359" s="543"/>
      <c r="CW359" s="543"/>
      <c r="CX359" s="543"/>
      <c r="CY359" s="543"/>
      <c r="CZ359" s="543"/>
      <c r="DA359" s="543"/>
      <c r="DB359" s="543"/>
      <c r="DC359" s="543"/>
      <c r="DD359" s="543"/>
      <c r="DE359" s="543"/>
      <c r="DF359" s="543"/>
      <c r="DG359" s="543"/>
      <c r="DH359" s="543"/>
      <c r="DI359" s="543"/>
      <c r="DJ359" s="543"/>
      <c r="DK359" s="543"/>
      <c r="DL359" s="543"/>
      <c r="DM359" s="543"/>
      <c r="DN359" s="543"/>
      <c r="DO359" s="546"/>
      <c r="DP359" s="543"/>
      <c r="DQ359" s="543"/>
      <c r="DR359" s="543"/>
      <c r="DS359" s="543"/>
      <c r="DT359" s="543"/>
      <c r="DU359" s="543"/>
      <c r="DY359" s="546"/>
      <c r="DZ359" s="19"/>
      <c r="EA359" s="19"/>
      <c r="EB359" s="19"/>
      <c r="EC359" s="19"/>
      <c r="ED359" s="19"/>
      <c r="EE359" s="19"/>
      <c r="EI359" s="542"/>
      <c r="EJ359" s="542"/>
      <c r="EK359" s="542"/>
      <c r="EL359" s="542"/>
      <c r="EM359" s="542"/>
      <c r="EN359" s="542"/>
      <c r="EO359" s="542"/>
      <c r="EP359" s="542"/>
      <c r="EQ359" s="542"/>
      <c r="ER359" s="19"/>
      <c r="ES359" s="569">
        <v>10</v>
      </c>
      <c r="ET359" t="s">
        <v>1927</v>
      </c>
      <c r="EU359" t="s">
        <v>787</v>
      </c>
      <c r="EV359" t="s">
        <v>2340</v>
      </c>
      <c r="EW359" t="s">
        <v>54</v>
      </c>
      <c r="EX359" s="599">
        <v>55103</v>
      </c>
      <c r="EY359">
        <v>1194787465</v>
      </c>
    </row>
    <row r="360" spans="1:155" x14ac:dyDescent="0.2">
      <c r="A360" s="546"/>
      <c r="B360" s="543"/>
      <c r="C360" s="543"/>
      <c r="J360" s="547"/>
      <c r="K360" s="547"/>
      <c r="L360" s="547"/>
      <c r="M360" s="547"/>
      <c r="N360" s="547"/>
      <c r="O360" s="547"/>
      <c r="P360" s="548"/>
      <c r="Q360" s="548"/>
      <c r="R360" s="547"/>
      <c r="S360" s="547"/>
      <c r="T360" s="547"/>
      <c r="U360" s="547"/>
      <c r="V360" s="547"/>
      <c r="W360" s="547"/>
      <c r="X360" s="547"/>
      <c r="Y360" s="547"/>
      <c r="Z360" s="548"/>
      <c r="AA360" s="547"/>
      <c r="AB360" s="548"/>
      <c r="AC360" s="547"/>
      <c r="AD360" s="547"/>
      <c r="AE360" s="547"/>
      <c r="AF360" s="547"/>
      <c r="AG360" s="547"/>
      <c r="AH360" s="547"/>
      <c r="AI360" s="547"/>
      <c r="AJ360" s="547"/>
      <c r="AK360" s="547"/>
      <c r="AL360" s="547"/>
      <c r="AM360" s="547"/>
      <c r="AN360" s="548"/>
      <c r="AO360" s="547"/>
      <c r="AP360" s="548"/>
      <c r="AQ360" s="547"/>
      <c r="AR360" s="547"/>
      <c r="AS360" s="547"/>
      <c r="AT360" s="547"/>
      <c r="AU360" s="547"/>
      <c r="AV360" s="547"/>
      <c r="AW360" s="547"/>
      <c r="AX360" s="547"/>
      <c r="AY360" s="547"/>
      <c r="AZ360" s="547"/>
      <c r="BA360" s="547"/>
      <c r="BB360" s="548"/>
      <c r="BC360" s="547"/>
      <c r="BD360" s="548"/>
      <c r="BE360" s="547"/>
      <c r="BF360" s="547"/>
      <c r="BG360" s="547"/>
      <c r="BH360" s="547"/>
      <c r="BI360" s="547"/>
      <c r="BJ360" s="547"/>
      <c r="BK360" s="547"/>
      <c r="BL360" s="547"/>
      <c r="BM360" s="547"/>
      <c r="BN360" s="547"/>
      <c r="BO360" s="547"/>
      <c r="BP360" s="547"/>
      <c r="BQ360" s="547"/>
      <c r="BR360" s="548"/>
      <c r="BS360" s="547"/>
      <c r="BT360" s="547"/>
      <c r="BU360" s="547"/>
      <c r="BV360" s="547"/>
      <c r="BW360" s="547"/>
      <c r="BX360" s="547"/>
      <c r="BY360" s="547"/>
      <c r="BZ360" s="547"/>
      <c r="CA360" s="547"/>
      <c r="CB360" s="547"/>
      <c r="CC360" s="547"/>
      <c r="CD360" s="547"/>
      <c r="CE360" s="547"/>
      <c r="CF360" s="550"/>
      <c r="CG360" s="547"/>
      <c r="CH360" s="547"/>
      <c r="CI360" s="547"/>
      <c r="CJ360" s="549"/>
      <c r="CK360" s="547"/>
      <c r="CL360" s="547"/>
      <c r="CM360" s="547"/>
      <c r="CN360" s="547"/>
      <c r="CO360" s="547"/>
      <c r="CP360" s="19"/>
      <c r="CQ360" s="19"/>
      <c r="CR360" s="19"/>
      <c r="CS360" s="19"/>
      <c r="CT360" s="19"/>
      <c r="CU360" s="19"/>
      <c r="EI360" s="542"/>
      <c r="EJ360" s="542"/>
      <c r="EK360" s="542"/>
      <c r="EL360" s="542"/>
      <c r="EM360" s="542"/>
      <c r="EN360" s="542"/>
      <c r="EO360" s="542"/>
      <c r="EP360" s="542"/>
      <c r="EQ360" s="542"/>
      <c r="ER360" s="554"/>
      <c r="ES360" s="569">
        <v>555</v>
      </c>
      <c r="ET360" t="s">
        <v>837</v>
      </c>
      <c r="EU360" t="s">
        <v>787</v>
      </c>
      <c r="EV360" t="s">
        <v>3130</v>
      </c>
      <c r="EW360" t="s">
        <v>54</v>
      </c>
      <c r="EX360" s="600">
        <v>55118</v>
      </c>
      <c r="EY360">
        <v>1659348092</v>
      </c>
    </row>
    <row r="361" spans="1:155" x14ac:dyDescent="0.2">
      <c r="A361" s="546"/>
      <c r="B361" s="543"/>
      <c r="C361" s="543"/>
      <c r="J361" s="547"/>
      <c r="K361" s="547"/>
      <c r="L361" s="547"/>
      <c r="M361" s="547"/>
      <c r="N361" s="547"/>
      <c r="O361" s="547"/>
      <c r="P361" s="548"/>
      <c r="Q361" s="548"/>
      <c r="R361" s="547"/>
      <c r="S361" s="547"/>
      <c r="T361" s="547"/>
      <c r="U361" s="547"/>
      <c r="V361" s="547"/>
      <c r="W361" s="547"/>
      <c r="X361" s="547"/>
      <c r="Y361" s="547"/>
      <c r="Z361" s="548"/>
      <c r="AA361" s="547"/>
      <c r="AB361" s="548"/>
      <c r="AC361" s="547"/>
      <c r="AD361" s="547"/>
      <c r="AE361" s="547"/>
      <c r="AF361" s="547"/>
      <c r="AG361" s="547"/>
      <c r="AH361" s="547"/>
      <c r="AI361" s="547"/>
      <c r="AJ361" s="547"/>
      <c r="AK361" s="547"/>
      <c r="AL361" s="547"/>
      <c r="AM361" s="547"/>
      <c r="AN361" s="548"/>
      <c r="AO361" s="547"/>
      <c r="AP361" s="548"/>
      <c r="AQ361" s="547"/>
      <c r="AR361" s="547"/>
      <c r="AS361" s="547"/>
      <c r="AT361" s="547"/>
      <c r="AU361" s="547"/>
      <c r="AV361" s="547"/>
      <c r="AW361" s="547"/>
      <c r="AX361" s="547"/>
      <c r="AY361" s="547"/>
      <c r="AZ361" s="547"/>
      <c r="BA361" s="547"/>
      <c r="BB361" s="548"/>
      <c r="BC361" s="547"/>
      <c r="BD361" s="548"/>
      <c r="BE361" s="547"/>
      <c r="BF361" s="547"/>
      <c r="BG361" s="547"/>
      <c r="BH361" s="547"/>
      <c r="BI361" s="547"/>
      <c r="BJ361" s="547"/>
      <c r="BK361" s="547"/>
      <c r="BL361" s="547"/>
      <c r="BM361" s="547"/>
      <c r="BN361" s="547"/>
      <c r="BO361" s="547"/>
      <c r="BP361" s="547"/>
      <c r="BQ361" s="547"/>
      <c r="BR361" s="548"/>
      <c r="BS361" s="547"/>
      <c r="BT361" s="547"/>
      <c r="BU361" s="547"/>
      <c r="BV361" s="547"/>
      <c r="BW361" s="547"/>
      <c r="BX361" s="547"/>
      <c r="BY361" s="547"/>
      <c r="BZ361" s="547"/>
      <c r="CA361" s="547"/>
      <c r="CB361" s="547"/>
      <c r="CC361" s="547"/>
      <c r="CD361" s="547"/>
      <c r="CE361" s="547"/>
      <c r="CF361" s="547"/>
      <c r="CG361" s="547"/>
      <c r="CH361" s="547"/>
      <c r="CI361" s="547"/>
      <c r="CJ361" s="549"/>
      <c r="CK361" s="547"/>
      <c r="CL361" s="547"/>
      <c r="CM361" s="547"/>
      <c r="CN361" s="547"/>
      <c r="CO361" s="547"/>
      <c r="CP361" s="19"/>
      <c r="CQ361" s="19"/>
      <c r="CR361" s="19"/>
      <c r="CS361" s="19"/>
      <c r="CT361" s="19"/>
      <c r="CU361" s="19"/>
      <c r="EI361" s="542"/>
      <c r="EJ361" s="542"/>
      <c r="EK361" s="542"/>
      <c r="EL361" s="542"/>
      <c r="EM361" s="542"/>
      <c r="EN361" s="542"/>
      <c r="EO361" s="542"/>
      <c r="EP361" s="542"/>
      <c r="EQ361" s="542"/>
      <c r="ER361" s="19"/>
      <c r="ES361" s="569">
        <v>891</v>
      </c>
      <c r="ET361" t="s">
        <v>2158</v>
      </c>
      <c r="EU361" t="s">
        <v>787</v>
      </c>
      <c r="EV361" t="s">
        <v>3131</v>
      </c>
      <c r="EW361" t="s">
        <v>54</v>
      </c>
      <c r="EX361" s="600">
        <v>55102</v>
      </c>
      <c r="EY361">
        <v>1336175744</v>
      </c>
    </row>
    <row r="362" spans="1:155" x14ac:dyDescent="0.2">
      <c r="A362" s="546"/>
      <c r="B362" s="543"/>
      <c r="C362" s="543"/>
      <c r="J362" s="547"/>
      <c r="K362" s="547"/>
      <c r="L362" s="547"/>
      <c r="M362" s="547"/>
      <c r="N362" s="547"/>
      <c r="O362" s="547"/>
      <c r="P362" s="548"/>
      <c r="Q362" s="548"/>
      <c r="R362" s="547"/>
      <c r="S362" s="547"/>
      <c r="T362" s="547"/>
      <c r="U362" s="547"/>
      <c r="V362" s="547"/>
      <c r="W362" s="547"/>
      <c r="X362" s="547"/>
      <c r="Y362" s="547"/>
      <c r="Z362" s="548"/>
      <c r="AA362" s="547"/>
      <c r="AB362" s="548"/>
      <c r="AC362" s="547"/>
      <c r="AD362" s="547"/>
      <c r="AE362" s="547"/>
      <c r="AF362" s="547"/>
      <c r="AG362" s="547"/>
      <c r="AH362" s="547"/>
      <c r="AI362" s="547"/>
      <c r="AJ362" s="547"/>
      <c r="AK362" s="547"/>
      <c r="AL362" s="547"/>
      <c r="AM362" s="547"/>
      <c r="AN362" s="548"/>
      <c r="AO362" s="547"/>
      <c r="AP362" s="548"/>
      <c r="AQ362" s="547"/>
      <c r="AR362" s="547"/>
      <c r="AS362" s="547"/>
      <c r="AT362" s="547"/>
      <c r="AU362" s="547"/>
      <c r="AV362" s="547"/>
      <c r="AW362" s="547"/>
      <c r="AX362" s="547"/>
      <c r="AY362" s="547"/>
      <c r="AZ362" s="547"/>
      <c r="BA362" s="547"/>
      <c r="BB362" s="548"/>
      <c r="BC362" s="547"/>
      <c r="BD362" s="548"/>
      <c r="BE362" s="547"/>
      <c r="BF362" s="547"/>
      <c r="BG362" s="547"/>
      <c r="BH362" s="547"/>
      <c r="BI362" s="547"/>
      <c r="BJ362" s="547"/>
      <c r="BK362" s="547"/>
      <c r="BL362" s="547"/>
      <c r="BM362" s="547"/>
      <c r="BN362" s="547"/>
      <c r="BO362" s="547"/>
      <c r="BP362" s="547"/>
      <c r="BQ362" s="547"/>
      <c r="BR362" s="548"/>
      <c r="BS362" s="547"/>
      <c r="BT362" s="547"/>
      <c r="BU362" s="547"/>
      <c r="BV362" s="547"/>
      <c r="BW362" s="547"/>
      <c r="BX362" s="547"/>
      <c r="BY362" s="547"/>
      <c r="BZ362" s="547"/>
      <c r="CA362" s="547"/>
      <c r="CB362" s="547"/>
      <c r="CC362" s="547"/>
      <c r="CD362" s="547"/>
      <c r="CE362" s="547"/>
      <c r="CF362" s="547"/>
      <c r="CG362" s="547"/>
      <c r="CH362" s="547"/>
      <c r="CI362" s="547"/>
      <c r="CJ362" s="549"/>
      <c r="CK362" s="547"/>
      <c r="CL362" s="547"/>
      <c r="CM362" s="547"/>
      <c r="CN362" s="547"/>
      <c r="CO362" s="547"/>
      <c r="CP362" s="19"/>
      <c r="CQ362" s="19"/>
      <c r="CR362" s="19"/>
      <c r="CS362" s="19"/>
      <c r="CT362" s="19"/>
      <c r="CU362" s="19"/>
      <c r="EI362" s="542"/>
      <c r="EJ362" s="542"/>
      <c r="EK362" s="542"/>
      <c r="EL362" s="542"/>
      <c r="EM362" s="542"/>
      <c r="EN362" s="542"/>
      <c r="EO362" s="542"/>
      <c r="EP362" s="542"/>
      <c r="EQ362" s="542"/>
      <c r="ER362" s="19"/>
      <c r="ES362" s="569">
        <v>49</v>
      </c>
      <c r="ET362" t="s">
        <v>1928</v>
      </c>
      <c r="EU362" t="s">
        <v>787</v>
      </c>
      <c r="EV362" t="s">
        <v>2341</v>
      </c>
      <c r="EW362" t="s">
        <v>54</v>
      </c>
      <c r="EX362" s="599">
        <v>55101</v>
      </c>
      <c r="EY362">
        <v>1447352836</v>
      </c>
    </row>
    <row r="363" spans="1:155" x14ac:dyDescent="0.2">
      <c r="A363" s="546"/>
      <c r="B363" s="543"/>
      <c r="C363" s="543"/>
      <c r="J363" s="547"/>
      <c r="K363" s="547"/>
      <c r="L363" s="547"/>
      <c r="M363" s="547"/>
      <c r="N363" s="547"/>
      <c r="O363" s="547"/>
      <c r="P363" s="548"/>
      <c r="Q363" s="548"/>
      <c r="R363" s="547"/>
      <c r="S363" s="547"/>
      <c r="T363" s="547"/>
      <c r="U363" s="547"/>
      <c r="V363" s="547"/>
      <c r="W363" s="547"/>
      <c r="X363" s="547"/>
      <c r="Y363" s="547"/>
      <c r="Z363" s="548"/>
      <c r="AA363" s="547"/>
      <c r="AB363" s="548"/>
      <c r="AC363" s="547"/>
      <c r="AD363" s="547"/>
      <c r="AE363" s="547"/>
      <c r="AF363" s="547"/>
      <c r="AG363" s="547"/>
      <c r="AH363" s="547"/>
      <c r="AI363" s="547"/>
      <c r="AJ363" s="547"/>
      <c r="AK363" s="547"/>
      <c r="AL363" s="547"/>
      <c r="AM363" s="547"/>
      <c r="AN363" s="548"/>
      <c r="AO363" s="547"/>
      <c r="AP363" s="548"/>
      <c r="AQ363" s="547"/>
      <c r="AR363" s="547"/>
      <c r="AS363" s="547"/>
      <c r="AT363" s="547"/>
      <c r="AU363" s="547"/>
      <c r="AV363" s="547"/>
      <c r="AW363" s="547"/>
      <c r="AX363" s="547"/>
      <c r="AY363" s="547"/>
      <c r="AZ363" s="547"/>
      <c r="BA363" s="547"/>
      <c r="BB363" s="548"/>
      <c r="BC363" s="547"/>
      <c r="BD363" s="548"/>
      <c r="BE363" s="547"/>
      <c r="BF363" s="547"/>
      <c r="BG363" s="547"/>
      <c r="BH363" s="547"/>
      <c r="BI363" s="547"/>
      <c r="BJ363" s="547"/>
      <c r="BK363" s="547"/>
      <c r="BL363" s="547"/>
      <c r="BM363" s="547"/>
      <c r="BN363" s="547"/>
      <c r="BO363" s="547"/>
      <c r="BP363" s="547"/>
      <c r="BQ363" s="547"/>
      <c r="BR363" s="548"/>
      <c r="BS363" s="547"/>
      <c r="BT363" s="547"/>
      <c r="BU363" s="547"/>
      <c r="BV363" s="547"/>
      <c r="BW363" s="547"/>
      <c r="BX363" s="547"/>
      <c r="BY363" s="547"/>
      <c r="BZ363" s="547"/>
      <c r="CA363" s="547"/>
      <c r="CB363" s="547"/>
      <c r="CC363" s="547"/>
      <c r="CD363" s="547"/>
      <c r="CE363" s="547"/>
      <c r="CF363" s="550"/>
      <c r="CG363" s="547"/>
      <c r="CH363" s="547"/>
      <c r="CI363" s="547"/>
      <c r="CJ363" s="549"/>
      <c r="CK363" s="547"/>
      <c r="CL363" s="547"/>
      <c r="CM363" s="547"/>
      <c r="CN363" s="547"/>
      <c r="CO363" s="547"/>
      <c r="CP363" s="19"/>
      <c r="CQ363" s="19"/>
      <c r="CR363" s="19"/>
      <c r="CS363" s="19"/>
      <c r="CT363" s="19"/>
      <c r="CU363" s="19"/>
      <c r="EI363" s="542"/>
      <c r="EJ363" s="542"/>
      <c r="EK363" s="542"/>
      <c r="EL363" s="542"/>
      <c r="EM363" s="542"/>
      <c r="EN363" s="542"/>
      <c r="EO363" s="542"/>
      <c r="EP363" s="542"/>
      <c r="EQ363" s="542"/>
      <c r="ER363" s="19"/>
      <c r="ES363" s="569">
        <v>151</v>
      </c>
      <c r="ET363" t="s">
        <v>1929</v>
      </c>
      <c r="EU363" t="s">
        <v>787</v>
      </c>
      <c r="EV363" t="s">
        <v>2342</v>
      </c>
      <c r="EW363" t="s">
        <v>54</v>
      </c>
      <c r="EX363" s="599">
        <v>55101</v>
      </c>
      <c r="EY363">
        <v>1629006457</v>
      </c>
    </row>
    <row r="364" spans="1:155" x14ac:dyDescent="0.2">
      <c r="A364" s="93"/>
      <c r="J364" s="543"/>
      <c r="K364" s="543"/>
      <c r="L364" s="543"/>
      <c r="M364" s="543"/>
      <c r="N364" s="543"/>
      <c r="O364" s="543"/>
      <c r="P364" s="543"/>
      <c r="Q364" s="543"/>
      <c r="R364" s="543"/>
      <c r="S364" s="543"/>
      <c r="T364" s="543"/>
      <c r="U364" s="543"/>
      <c r="V364" s="543"/>
      <c r="W364" s="543"/>
      <c r="X364" s="543"/>
      <c r="Y364" s="543"/>
      <c r="Z364" s="543"/>
      <c r="AA364" s="543"/>
      <c r="AB364" s="543"/>
      <c r="AC364" s="564"/>
      <c r="AD364" s="543"/>
      <c r="AE364" s="543"/>
      <c r="AF364" s="543"/>
      <c r="AG364" s="543"/>
      <c r="AH364" s="543"/>
      <c r="AI364" s="543"/>
      <c r="AJ364" s="543"/>
      <c r="AK364" s="543"/>
      <c r="AL364" s="543"/>
      <c r="AM364" s="543"/>
      <c r="AN364" s="543"/>
      <c r="AO364" s="543"/>
      <c r="AP364" s="543"/>
      <c r="AQ364" s="543"/>
      <c r="AR364" s="543"/>
      <c r="AS364" s="543"/>
      <c r="AT364" s="543"/>
      <c r="AU364" s="543"/>
      <c r="AV364" s="543"/>
      <c r="AW364" s="543"/>
      <c r="AX364" s="543"/>
      <c r="AY364" s="543"/>
      <c r="AZ364" s="543"/>
      <c r="BA364" s="543"/>
      <c r="BB364" s="543"/>
      <c r="BC364" s="543"/>
      <c r="BD364" s="543"/>
      <c r="BE364" s="543"/>
      <c r="BF364" s="543"/>
      <c r="BG364" s="543"/>
      <c r="BH364" s="543"/>
      <c r="BI364" s="543"/>
      <c r="BJ364" s="543"/>
      <c r="BK364" s="543"/>
      <c r="BL364" s="543"/>
      <c r="BM364" s="543"/>
      <c r="BN364" s="543"/>
      <c r="BO364" s="543"/>
      <c r="BP364" s="543"/>
      <c r="BQ364" s="543"/>
      <c r="BR364" s="543"/>
      <c r="BS364" s="564"/>
      <c r="BT364" s="543"/>
      <c r="BU364" s="543"/>
      <c r="BV364" s="543"/>
      <c r="BW364" s="543"/>
      <c r="BX364" s="543"/>
      <c r="BY364" s="543"/>
      <c r="BZ364" s="543"/>
      <c r="CA364" s="543"/>
      <c r="CB364" s="543"/>
      <c r="CC364" s="543"/>
      <c r="CD364" s="544"/>
      <c r="CE364" s="543"/>
      <c r="CF364" s="543"/>
      <c r="CG364" s="543"/>
      <c r="CH364" s="543"/>
      <c r="CI364" s="544"/>
      <c r="CJ364" s="543"/>
      <c r="CK364" s="543"/>
      <c r="CL364" s="543"/>
      <c r="CM364" s="543"/>
      <c r="CN364" s="545"/>
      <c r="CO364" s="543"/>
      <c r="CP364" s="543"/>
      <c r="CQ364" s="543"/>
      <c r="CR364" s="543"/>
      <c r="CS364" s="543"/>
      <c r="CT364" s="543"/>
      <c r="CU364" s="545"/>
      <c r="CV364" s="543"/>
      <c r="CW364" s="543"/>
      <c r="CX364" s="543"/>
      <c r="CY364" s="543"/>
      <c r="CZ364" s="543"/>
      <c r="DA364" s="543"/>
      <c r="DB364" s="545"/>
      <c r="DC364" s="543"/>
      <c r="DD364" s="543"/>
      <c r="DE364" s="543"/>
      <c r="DF364" s="543"/>
      <c r="DG364" s="543"/>
      <c r="DH364" s="543"/>
      <c r="DI364" s="543"/>
      <c r="DJ364" s="543"/>
      <c r="DK364" s="543"/>
      <c r="DL364" s="543"/>
      <c r="DM364" s="543"/>
      <c r="DN364" s="543"/>
      <c r="DO364" s="546"/>
      <c r="DP364" s="543"/>
      <c r="DQ364" s="543"/>
      <c r="DR364" s="543"/>
      <c r="DS364" s="543"/>
      <c r="DT364" s="543"/>
      <c r="DU364" s="543"/>
      <c r="DY364" s="546"/>
      <c r="DZ364" s="19"/>
      <c r="EA364" s="19"/>
      <c r="EB364" s="19"/>
      <c r="EC364" s="19"/>
      <c r="ED364" s="19"/>
      <c r="EE364" s="19"/>
      <c r="EI364" s="542"/>
      <c r="EJ364" s="542"/>
      <c r="EK364" s="542"/>
      <c r="EL364" s="542"/>
      <c r="EM364" s="542"/>
      <c r="EN364" s="542"/>
      <c r="EO364" s="542"/>
      <c r="EP364" s="542"/>
      <c r="EQ364" s="542"/>
      <c r="ER364" s="19"/>
      <c r="ES364" s="569">
        <v>1203</v>
      </c>
      <c r="ET364" t="s">
        <v>2113</v>
      </c>
      <c r="EU364" t="s">
        <v>787</v>
      </c>
      <c r="EV364" t="s">
        <v>3132</v>
      </c>
      <c r="EW364" t="s">
        <v>54</v>
      </c>
      <c r="EX364" s="600">
        <v>55103</v>
      </c>
      <c r="EY364">
        <v>1487104683</v>
      </c>
    </row>
    <row r="365" spans="1:155" x14ac:dyDescent="0.2">
      <c r="A365" s="93"/>
      <c r="J365" s="554"/>
      <c r="K365" s="554"/>
      <c r="L365" s="554"/>
      <c r="M365" s="554"/>
      <c r="N365" s="554"/>
      <c r="O365" s="554"/>
      <c r="P365" s="554"/>
      <c r="Q365" s="554"/>
      <c r="R365" s="554"/>
      <c r="S365" s="554"/>
      <c r="T365" s="554"/>
      <c r="U365" s="554"/>
      <c r="V365" s="554"/>
      <c r="W365" s="554"/>
      <c r="X365" s="554"/>
      <c r="Y365" s="554"/>
      <c r="Z365" s="554"/>
      <c r="AA365" s="554"/>
      <c r="AB365" s="554"/>
      <c r="AC365" s="554"/>
      <c r="AD365" s="554"/>
      <c r="AE365" s="554"/>
      <c r="AF365" s="554"/>
      <c r="AG365" s="554"/>
      <c r="AH365" s="554"/>
      <c r="AI365" s="554"/>
      <c r="AJ365" s="554"/>
      <c r="AK365" s="554"/>
      <c r="AL365" s="554"/>
      <c r="AM365" s="554"/>
      <c r="AN365" s="554"/>
      <c r="AO365" s="554"/>
      <c r="AP365" s="554"/>
      <c r="AQ365" s="554"/>
      <c r="AR365" s="554"/>
      <c r="AS365" s="554"/>
      <c r="AT365" s="554"/>
      <c r="AU365" s="554"/>
      <c r="AV365" s="554"/>
      <c r="AW365" s="554"/>
      <c r="AX365" s="554"/>
      <c r="AY365" s="554"/>
      <c r="AZ365" s="554"/>
      <c r="BA365" s="554"/>
      <c r="BB365" s="554"/>
      <c r="BC365" s="554"/>
      <c r="BD365" s="554"/>
      <c r="BE365" s="554"/>
      <c r="BF365" s="554"/>
      <c r="BG365" s="554"/>
      <c r="BH365" s="554"/>
      <c r="BI365" s="554"/>
      <c r="BJ365" s="554"/>
      <c r="BK365" s="554"/>
      <c r="BL365" s="554"/>
      <c r="BM365" s="554"/>
      <c r="BN365" s="554"/>
      <c r="BO365" s="554"/>
      <c r="BP365" s="554"/>
      <c r="BQ365" s="554"/>
      <c r="BR365" s="554"/>
      <c r="BS365" s="554"/>
      <c r="BT365" s="554"/>
      <c r="BU365" s="554"/>
      <c r="BV365" s="554"/>
      <c r="BW365" s="554"/>
      <c r="BX365" s="554"/>
      <c r="BY365" s="554"/>
      <c r="BZ365" s="554"/>
      <c r="CA365" s="554"/>
      <c r="CB365" s="554"/>
      <c r="CC365" s="554"/>
      <c r="CD365" s="554"/>
      <c r="CE365" s="554"/>
      <c r="CF365" s="554"/>
      <c r="CG365" s="554"/>
      <c r="CH365" s="554"/>
      <c r="CI365" s="554"/>
      <c r="CJ365" s="555"/>
      <c r="CK365" s="19"/>
      <c r="CL365" s="19"/>
      <c r="CM365" s="19"/>
      <c r="CN365" s="19"/>
      <c r="CO365" s="19"/>
      <c r="CP365" s="19"/>
      <c r="CQ365" s="19"/>
      <c r="CR365" s="19"/>
      <c r="CS365" s="19"/>
      <c r="CT365" s="19"/>
      <c r="CU365" s="19"/>
      <c r="DZ365" s="19"/>
      <c r="EA365" s="19"/>
      <c r="EB365" s="19"/>
      <c r="EC365" s="19"/>
      <c r="ED365" s="19"/>
      <c r="EE365" s="19"/>
      <c r="EI365" s="542"/>
      <c r="EJ365" s="542"/>
      <c r="EK365" s="542"/>
      <c r="EL365" s="542"/>
      <c r="EM365" s="542"/>
      <c r="EN365" s="542"/>
      <c r="EO365" s="542"/>
      <c r="EP365" s="542"/>
      <c r="EQ365" s="542"/>
      <c r="ER365" s="19"/>
      <c r="ES365" s="569">
        <v>141</v>
      </c>
      <c r="ET365" t="s">
        <v>1930</v>
      </c>
      <c r="EU365" t="s">
        <v>787</v>
      </c>
      <c r="EV365" t="s">
        <v>2343</v>
      </c>
      <c r="EW365" t="s">
        <v>54</v>
      </c>
      <c r="EX365" s="599">
        <v>55102</v>
      </c>
      <c r="EY365">
        <v>1134186273</v>
      </c>
    </row>
    <row r="366" spans="1:155" x14ac:dyDescent="0.2">
      <c r="A366" s="93"/>
      <c r="J366" s="554"/>
      <c r="K366" s="554"/>
      <c r="L366" s="554"/>
      <c r="M366" s="554"/>
      <c r="N366" s="554"/>
      <c r="O366" s="554"/>
      <c r="P366" s="554"/>
      <c r="Q366" s="554"/>
      <c r="R366" s="554"/>
      <c r="S366" s="554"/>
      <c r="T366" s="554"/>
      <c r="U366" s="554"/>
      <c r="V366" s="554"/>
      <c r="W366" s="554"/>
      <c r="X366" s="554"/>
      <c r="Y366" s="554"/>
      <c r="Z366" s="554"/>
      <c r="AA366" s="554"/>
      <c r="AB366" s="554"/>
      <c r="AC366" s="554"/>
      <c r="AD366" s="554"/>
      <c r="AE366" s="554"/>
      <c r="AF366" s="554"/>
      <c r="AG366" s="554"/>
      <c r="AH366" s="554"/>
      <c r="AI366" s="554"/>
      <c r="AJ366" s="554"/>
      <c r="AK366" s="554"/>
      <c r="AL366" s="554"/>
      <c r="AM366" s="554"/>
      <c r="AN366" s="554"/>
      <c r="AO366" s="554"/>
      <c r="AP366" s="554"/>
      <c r="AQ366" s="554"/>
      <c r="AR366" s="554"/>
      <c r="AS366" s="554"/>
      <c r="AT366" s="554"/>
      <c r="AU366" s="554"/>
      <c r="AV366" s="554"/>
      <c r="AW366" s="554"/>
      <c r="AX366" s="554"/>
      <c r="AY366" s="554"/>
      <c r="AZ366" s="554"/>
      <c r="BA366" s="554"/>
      <c r="BB366" s="554"/>
      <c r="BC366" s="554"/>
      <c r="BD366" s="554"/>
      <c r="BE366" s="554"/>
      <c r="BF366" s="554"/>
      <c r="BG366" s="554"/>
      <c r="BH366" s="554"/>
      <c r="BI366" s="554"/>
      <c r="BJ366" s="554"/>
      <c r="BK366" s="554"/>
      <c r="BL366" s="554"/>
      <c r="BM366" s="554"/>
      <c r="BN366" s="554"/>
      <c r="BO366" s="554"/>
      <c r="BP366" s="554"/>
      <c r="BQ366" s="554"/>
      <c r="BR366" s="554"/>
      <c r="BS366" s="554"/>
      <c r="BT366" s="554"/>
      <c r="BU366" s="554"/>
      <c r="BV366" s="554"/>
      <c r="BW366" s="554"/>
      <c r="BX366" s="554"/>
      <c r="BY366" s="554"/>
      <c r="BZ366" s="554"/>
      <c r="CA366" s="554"/>
      <c r="CB366" s="554"/>
      <c r="CC366" s="554"/>
      <c r="CD366" s="554"/>
      <c r="CE366" s="554"/>
      <c r="CF366" s="554"/>
      <c r="CG366" s="554"/>
      <c r="CH366" s="554"/>
      <c r="CI366" s="554"/>
      <c r="CJ366" s="555"/>
      <c r="CK366" s="19"/>
      <c r="CL366" s="19"/>
      <c r="CM366" s="19"/>
      <c r="CN366" s="19"/>
      <c r="CO366" s="19"/>
      <c r="CP366" s="19"/>
      <c r="CQ366" s="19"/>
      <c r="CR366" s="19"/>
      <c r="CS366" s="19"/>
      <c r="CT366" s="19"/>
      <c r="CU366" s="19"/>
      <c r="DZ366" s="19"/>
      <c r="EA366" s="19"/>
      <c r="EB366" s="19"/>
      <c r="EC366" s="19"/>
      <c r="ED366" s="19"/>
      <c r="EE366" s="19"/>
      <c r="EI366" s="542"/>
      <c r="EJ366" s="542"/>
      <c r="EK366" s="542"/>
      <c r="EL366" s="542"/>
      <c r="EM366" s="542"/>
      <c r="EN366" s="542"/>
      <c r="EO366" s="542"/>
      <c r="EP366" s="542"/>
      <c r="EQ366" s="542"/>
      <c r="ER366" s="19"/>
      <c r="ES366" s="569">
        <v>754</v>
      </c>
      <c r="ET366" t="s">
        <v>1671</v>
      </c>
      <c r="EU366" t="s">
        <v>787</v>
      </c>
      <c r="EV366" t="s">
        <v>3133</v>
      </c>
      <c r="EW366" t="s">
        <v>54</v>
      </c>
      <c r="EX366" s="600">
        <v>55102</v>
      </c>
      <c r="EY366">
        <v>1609911205</v>
      </c>
    </row>
    <row r="367" spans="1:155" x14ac:dyDescent="0.2">
      <c r="A367" s="93"/>
      <c r="J367" s="543"/>
      <c r="K367" s="543"/>
      <c r="L367" s="543"/>
      <c r="M367" s="543"/>
      <c r="N367" s="543"/>
      <c r="O367" s="543"/>
      <c r="P367" s="543"/>
      <c r="Q367" s="543"/>
      <c r="R367" s="543"/>
      <c r="S367" s="543"/>
      <c r="T367" s="543"/>
      <c r="U367" s="543"/>
      <c r="V367" s="543"/>
      <c r="W367" s="543"/>
      <c r="X367" s="543"/>
      <c r="Y367" s="543"/>
      <c r="Z367" s="543"/>
      <c r="AA367" s="543"/>
      <c r="AB367" s="543"/>
      <c r="AC367" s="543"/>
      <c r="AD367" s="543"/>
      <c r="AE367" s="543"/>
      <c r="AF367" s="543"/>
      <c r="AG367" s="543"/>
      <c r="AH367" s="543"/>
      <c r="AI367" s="543"/>
      <c r="AJ367" s="543"/>
      <c r="AK367" s="543"/>
      <c r="AL367" s="543"/>
      <c r="AM367" s="543"/>
      <c r="AN367" s="543"/>
      <c r="AO367" s="543"/>
      <c r="AP367" s="543"/>
      <c r="AQ367" s="543"/>
      <c r="AR367" s="543"/>
      <c r="AS367" s="543"/>
      <c r="AT367" s="543"/>
      <c r="AU367" s="543"/>
      <c r="AV367" s="543"/>
      <c r="AW367" s="543"/>
      <c r="AX367" s="543"/>
      <c r="AY367" s="543"/>
      <c r="AZ367" s="543"/>
      <c r="BA367" s="543"/>
      <c r="BB367" s="543"/>
      <c r="BC367" s="543"/>
      <c r="BD367" s="543"/>
      <c r="BE367" s="543"/>
      <c r="BF367" s="543"/>
      <c r="BG367" s="543"/>
      <c r="BH367" s="543"/>
      <c r="BI367" s="543"/>
      <c r="BJ367" s="543"/>
      <c r="BK367" s="543"/>
      <c r="BL367" s="543"/>
      <c r="BM367" s="543"/>
      <c r="BN367" s="543"/>
      <c r="BO367" s="543"/>
      <c r="BP367" s="543"/>
      <c r="BQ367" s="543"/>
      <c r="BR367" s="543"/>
      <c r="BS367" s="543"/>
      <c r="BT367" s="543"/>
      <c r="BU367" s="543"/>
      <c r="BV367" s="543"/>
      <c r="BW367" s="543"/>
      <c r="BX367" s="543"/>
      <c r="BY367" s="543"/>
      <c r="BZ367" s="543"/>
      <c r="CA367" s="543"/>
      <c r="CB367" s="543"/>
      <c r="CC367" s="543"/>
      <c r="CD367" s="544"/>
      <c r="CE367" s="543"/>
      <c r="CF367" s="543"/>
      <c r="CG367" s="543"/>
      <c r="CH367" s="543"/>
      <c r="CI367" s="544"/>
      <c r="CJ367" s="543"/>
      <c r="CK367" s="543"/>
      <c r="CL367" s="543"/>
      <c r="CM367" s="543"/>
      <c r="CN367" s="545"/>
      <c r="CO367" s="543"/>
      <c r="CP367" s="543"/>
      <c r="CQ367" s="543"/>
      <c r="CR367" s="543"/>
      <c r="CS367" s="543"/>
      <c r="CT367" s="543"/>
      <c r="CU367" s="543"/>
      <c r="CV367" s="543"/>
      <c r="CW367" s="543"/>
      <c r="CX367" s="543"/>
      <c r="CY367" s="543"/>
      <c r="CZ367" s="543"/>
      <c r="DA367" s="543"/>
      <c r="DB367" s="543"/>
      <c r="DC367" s="543"/>
      <c r="DD367" s="543"/>
      <c r="DE367" s="543"/>
      <c r="DF367" s="543"/>
      <c r="DG367" s="543"/>
      <c r="DH367" s="543"/>
      <c r="DI367" s="543"/>
      <c r="DJ367" s="543"/>
      <c r="DK367" s="543"/>
      <c r="DL367" s="543"/>
      <c r="DM367" s="543"/>
      <c r="DN367" s="543"/>
      <c r="DO367" s="546"/>
      <c r="DP367" s="543"/>
      <c r="DQ367" s="543"/>
      <c r="DR367" s="543"/>
      <c r="DS367" s="543"/>
      <c r="DT367" s="543"/>
      <c r="DU367" s="543"/>
      <c r="DY367" s="546"/>
      <c r="DZ367" s="19"/>
      <c r="EA367" s="19"/>
      <c r="EB367" s="19"/>
      <c r="EC367" s="19"/>
      <c r="ED367" s="19"/>
      <c r="EE367" s="19"/>
      <c r="EI367" s="542"/>
      <c r="EJ367" s="542"/>
      <c r="EK367" s="542"/>
      <c r="EL367" s="542"/>
      <c r="EM367" s="542"/>
      <c r="EN367" s="542"/>
      <c r="EO367" s="542"/>
      <c r="EP367" s="542"/>
      <c r="EQ367" s="542"/>
      <c r="ER367" s="19"/>
      <c r="ES367" s="569">
        <v>584</v>
      </c>
      <c r="ET367" t="s">
        <v>1673</v>
      </c>
      <c r="EU367" t="s">
        <v>787</v>
      </c>
      <c r="EV367" t="s">
        <v>3134</v>
      </c>
      <c r="EW367" t="s">
        <v>54</v>
      </c>
      <c r="EX367" s="600">
        <v>55102</v>
      </c>
      <c r="EY367">
        <v>1720059264</v>
      </c>
    </row>
    <row r="368" spans="1:155" x14ac:dyDescent="0.2">
      <c r="A368" s="93"/>
      <c r="J368" s="543"/>
      <c r="K368" s="543"/>
      <c r="L368" s="543"/>
      <c r="M368" s="543"/>
      <c r="N368" s="543"/>
      <c r="O368" s="543"/>
      <c r="P368" s="543"/>
      <c r="Q368" s="543"/>
      <c r="R368" s="543"/>
      <c r="S368" s="543"/>
      <c r="T368" s="543"/>
      <c r="U368" s="543"/>
      <c r="V368" s="543"/>
      <c r="W368" s="543"/>
      <c r="X368" s="543"/>
      <c r="Y368" s="543"/>
      <c r="Z368" s="543"/>
      <c r="AA368" s="543"/>
      <c r="AB368" s="543"/>
      <c r="AC368" s="543"/>
      <c r="AD368" s="543"/>
      <c r="AE368" s="543"/>
      <c r="AF368" s="543"/>
      <c r="AG368" s="543"/>
      <c r="AH368" s="543"/>
      <c r="AI368" s="543"/>
      <c r="AJ368" s="543"/>
      <c r="AK368" s="543"/>
      <c r="AL368" s="543"/>
      <c r="AM368" s="543"/>
      <c r="AN368" s="543"/>
      <c r="AO368" s="543"/>
      <c r="AP368" s="543"/>
      <c r="AQ368" s="543"/>
      <c r="AR368" s="543"/>
      <c r="AS368" s="543"/>
      <c r="AT368" s="543"/>
      <c r="AU368" s="543"/>
      <c r="AV368" s="543"/>
      <c r="AW368" s="543"/>
      <c r="AX368" s="543"/>
      <c r="AY368" s="543"/>
      <c r="AZ368" s="543"/>
      <c r="BA368" s="543"/>
      <c r="BB368" s="543"/>
      <c r="BC368" s="543"/>
      <c r="BD368" s="543"/>
      <c r="BE368" s="543"/>
      <c r="BF368" s="543"/>
      <c r="BG368" s="543"/>
      <c r="BH368" s="543"/>
      <c r="BI368" s="543"/>
      <c r="BJ368" s="543"/>
      <c r="BK368" s="543"/>
      <c r="BL368" s="543"/>
      <c r="BM368" s="543"/>
      <c r="BN368" s="543"/>
      <c r="BO368" s="543"/>
      <c r="BP368" s="543"/>
      <c r="BQ368" s="543"/>
      <c r="BR368" s="543"/>
      <c r="BS368" s="543"/>
      <c r="BT368" s="543"/>
      <c r="BU368" s="543"/>
      <c r="BV368" s="543"/>
      <c r="BW368" s="543"/>
      <c r="BX368" s="543"/>
      <c r="BY368" s="543"/>
      <c r="BZ368" s="543"/>
      <c r="CA368" s="543"/>
      <c r="CB368" s="543"/>
      <c r="CC368" s="543"/>
      <c r="CD368" s="544"/>
      <c r="CE368" s="543"/>
      <c r="CF368" s="543"/>
      <c r="CG368" s="543"/>
      <c r="CH368" s="543"/>
      <c r="CI368" s="544"/>
      <c r="CJ368" s="543"/>
      <c r="CK368" s="543"/>
      <c r="CL368" s="543"/>
      <c r="CM368" s="543"/>
      <c r="CN368" s="545"/>
      <c r="CO368" s="543"/>
      <c r="CP368" s="543"/>
      <c r="CQ368" s="543"/>
      <c r="CR368" s="543"/>
      <c r="CS368" s="543"/>
      <c r="CT368" s="543"/>
      <c r="CU368" s="545"/>
      <c r="CV368" s="543"/>
      <c r="CW368" s="543"/>
      <c r="CX368" s="543"/>
      <c r="CY368" s="543"/>
      <c r="CZ368" s="545"/>
      <c r="DA368" s="543"/>
      <c r="DB368" s="543"/>
      <c r="DC368" s="543"/>
      <c r="DD368" s="543"/>
      <c r="DE368" s="543"/>
      <c r="DF368" s="543"/>
      <c r="DG368" s="543"/>
      <c r="DH368" s="543"/>
      <c r="DI368" s="543"/>
      <c r="DJ368" s="543"/>
      <c r="DK368" s="543"/>
      <c r="DL368" s="543"/>
      <c r="DM368" s="543"/>
      <c r="DN368" s="543"/>
      <c r="DO368" s="546"/>
      <c r="DP368" s="543"/>
      <c r="DQ368" s="543"/>
      <c r="DR368" s="543"/>
      <c r="DS368" s="543"/>
      <c r="DT368" s="543"/>
      <c r="DU368" s="543"/>
      <c r="DY368" s="546"/>
      <c r="DZ368" s="19"/>
      <c r="EA368" s="19"/>
      <c r="EB368" s="19"/>
      <c r="EC368" s="19"/>
      <c r="ED368" s="19"/>
      <c r="EE368" s="19"/>
      <c r="EI368" s="542"/>
      <c r="EJ368" s="542"/>
      <c r="EK368" s="542"/>
      <c r="EL368" s="542"/>
      <c r="EM368" s="542"/>
      <c r="EN368" s="542"/>
      <c r="EO368" s="542"/>
      <c r="EP368" s="542"/>
      <c r="EQ368" s="542"/>
      <c r="ER368" s="19"/>
      <c r="ES368" s="569">
        <v>749</v>
      </c>
      <c r="ET368" t="s">
        <v>1718</v>
      </c>
      <c r="EU368" t="s">
        <v>787</v>
      </c>
      <c r="EV368" t="s">
        <v>3135</v>
      </c>
      <c r="EW368" t="s">
        <v>54</v>
      </c>
      <c r="EX368" s="600">
        <v>55104</v>
      </c>
      <c r="EY368">
        <v>1306899463</v>
      </c>
    </row>
    <row r="369" spans="1:155" x14ac:dyDescent="0.2">
      <c r="A369" s="93"/>
      <c r="J369" s="543"/>
      <c r="K369" s="543"/>
      <c r="L369" s="543"/>
      <c r="M369" s="543"/>
      <c r="N369" s="543"/>
      <c r="O369" s="543"/>
      <c r="P369" s="543"/>
      <c r="Q369" s="543"/>
      <c r="R369" s="543"/>
      <c r="S369" s="543"/>
      <c r="T369" s="543"/>
      <c r="U369" s="543"/>
      <c r="V369" s="543"/>
      <c r="W369" s="543"/>
      <c r="X369" s="543"/>
      <c r="Y369" s="543"/>
      <c r="Z369" s="543"/>
      <c r="AA369" s="543"/>
      <c r="AB369" s="543"/>
      <c r="AC369" s="543"/>
      <c r="AD369" s="543"/>
      <c r="AE369" s="543"/>
      <c r="AF369" s="543"/>
      <c r="AG369" s="543"/>
      <c r="AH369" s="543"/>
      <c r="AI369" s="543"/>
      <c r="AJ369" s="543"/>
      <c r="AK369" s="543"/>
      <c r="AL369" s="543"/>
      <c r="AM369" s="543"/>
      <c r="AN369" s="543"/>
      <c r="AO369" s="543"/>
      <c r="AP369" s="543"/>
      <c r="AQ369" s="543"/>
      <c r="AR369" s="543"/>
      <c r="AS369" s="543"/>
      <c r="AT369" s="543"/>
      <c r="AU369" s="543"/>
      <c r="AV369" s="543"/>
      <c r="AW369" s="543"/>
      <c r="AX369" s="543"/>
      <c r="AY369" s="543"/>
      <c r="AZ369" s="543"/>
      <c r="BA369" s="543"/>
      <c r="BB369" s="543"/>
      <c r="BC369" s="543"/>
      <c r="BD369" s="543"/>
      <c r="BE369" s="543"/>
      <c r="BF369" s="543"/>
      <c r="BG369" s="543"/>
      <c r="BH369" s="543"/>
      <c r="BI369" s="543"/>
      <c r="BJ369" s="543"/>
      <c r="BK369" s="543"/>
      <c r="BL369" s="543"/>
      <c r="BM369" s="543"/>
      <c r="BN369" s="543"/>
      <c r="BO369" s="543"/>
      <c r="BP369" s="543"/>
      <c r="BQ369" s="543"/>
      <c r="BR369" s="543"/>
      <c r="BS369" s="543"/>
      <c r="BT369" s="543"/>
      <c r="BU369" s="543"/>
      <c r="BV369" s="543"/>
      <c r="BW369" s="543"/>
      <c r="BX369" s="543"/>
      <c r="BY369" s="543"/>
      <c r="BZ369" s="543"/>
      <c r="CA369" s="543"/>
      <c r="CB369" s="543"/>
      <c r="CC369" s="543"/>
      <c r="CD369" s="544"/>
      <c r="CE369" s="543"/>
      <c r="CF369" s="543"/>
      <c r="CG369" s="543"/>
      <c r="CH369" s="543"/>
      <c r="CI369" s="544"/>
      <c r="CJ369" s="543"/>
      <c r="CK369" s="543"/>
      <c r="CL369" s="543"/>
      <c r="CM369" s="543"/>
      <c r="CN369" s="545"/>
      <c r="CO369" s="543"/>
      <c r="CP369" s="543"/>
      <c r="CQ369" s="543"/>
      <c r="CR369" s="543"/>
      <c r="CS369" s="543"/>
      <c r="CT369" s="543"/>
      <c r="CU369" s="543"/>
      <c r="CV369" s="543"/>
      <c r="CW369" s="543"/>
      <c r="CX369" s="543"/>
      <c r="CY369" s="543"/>
      <c r="CZ369" s="543"/>
      <c r="DA369" s="543"/>
      <c r="DB369" s="543"/>
      <c r="DC369" s="543"/>
      <c r="DD369" s="543"/>
      <c r="DE369" s="543"/>
      <c r="DF369" s="543"/>
      <c r="DG369" s="543"/>
      <c r="DH369" s="543"/>
      <c r="DI369" s="543"/>
      <c r="DJ369" s="543"/>
      <c r="DK369" s="543"/>
      <c r="DL369" s="543"/>
      <c r="DM369" s="543"/>
      <c r="DN369" s="543"/>
      <c r="DO369" s="546"/>
      <c r="DP369" s="543"/>
      <c r="DQ369" s="543"/>
      <c r="DR369" s="543"/>
      <c r="DS369" s="543"/>
      <c r="DT369" s="543"/>
      <c r="DU369" s="543"/>
      <c r="DY369" s="546"/>
      <c r="DZ369" s="19"/>
      <c r="EA369" s="19"/>
      <c r="EB369" s="19"/>
      <c r="EC369" s="19"/>
      <c r="ED369" s="19"/>
      <c r="EE369" s="19"/>
      <c r="EI369" s="542"/>
      <c r="EJ369" s="542"/>
      <c r="EK369" s="542"/>
      <c r="EL369" s="542"/>
      <c r="EM369" s="542"/>
      <c r="EN369" s="542"/>
      <c r="EO369" s="542"/>
      <c r="EP369" s="542"/>
      <c r="EQ369" s="542"/>
      <c r="ER369" s="19"/>
      <c r="ES369" s="569">
        <v>163</v>
      </c>
      <c r="ET369" t="s">
        <v>1931</v>
      </c>
      <c r="EU369" t="s">
        <v>787</v>
      </c>
      <c r="EV369" t="s">
        <v>2344</v>
      </c>
      <c r="EW369" t="s">
        <v>54</v>
      </c>
      <c r="EX369" s="599">
        <v>55102</v>
      </c>
      <c r="EY369">
        <v>1457319485</v>
      </c>
    </row>
    <row r="370" spans="1:155" x14ac:dyDescent="0.2">
      <c r="A370" s="93"/>
      <c r="J370" s="547"/>
      <c r="K370" s="547"/>
      <c r="L370" s="547"/>
      <c r="M370" s="547"/>
      <c r="N370" s="547"/>
      <c r="O370" s="547"/>
      <c r="P370" s="548"/>
      <c r="Q370" s="548"/>
      <c r="R370" s="547"/>
      <c r="S370" s="547"/>
      <c r="T370" s="547"/>
      <c r="U370" s="547"/>
      <c r="V370" s="547"/>
      <c r="W370" s="547"/>
      <c r="X370" s="547"/>
      <c r="Y370" s="547"/>
      <c r="Z370" s="548"/>
      <c r="AA370" s="547"/>
      <c r="AB370" s="548"/>
      <c r="AC370" s="547"/>
      <c r="AD370" s="547"/>
      <c r="AE370" s="547"/>
      <c r="AF370" s="547"/>
      <c r="AG370" s="547"/>
      <c r="AH370" s="547"/>
      <c r="AI370" s="547"/>
      <c r="AJ370" s="547"/>
      <c r="AK370" s="547"/>
      <c r="AL370" s="547"/>
      <c r="AM370" s="547"/>
      <c r="AN370" s="548"/>
      <c r="AO370" s="547"/>
      <c r="AP370" s="548"/>
      <c r="AQ370" s="547"/>
      <c r="AR370" s="547"/>
      <c r="AS370" s="547"/>
      <c r="AT370" s="547"/>
      <c r="AU370" s="547"/>
      <c r="AV370" s="547"/>
      <c r="AW370" s="547"/>
      <c r="AX370" s="547"/>
      <c r="AY370" s="547"/>
      <c r="AZ370" s="547"/>
      <c r="BA370" s="547"/>
      <c r="BB370" s="548"/>
      <c r="BC370" s="547"/>
      <c r="BD370" s="548"/>
      <c r="BE370" s="547"/>
      <c r="BF370" s="547"/>
      <c r="BG370" s="547"/>
      <c r="BH370" s="547"/>
      <c r="BI370" s="547"/>
      <c r="BJ370" s="547"/>
      <c r="BK370" s="547"/>
      <c r="BL370" s="547"/>
      <c r="BM370" s="547"/>
      <c r="BN370" s="547"/>
      <c r="BO370" s="547"/>
      <c r="BP370" s="547"/>
      <c r="BQ370" s="547"/>
      <c r="BR370" s="548"/>
      <c r="BS370" s="547"/>
      <c r="BT370" s="547"/>
      <c r="BU370" s="547"/>
      <c r="BV370" s="547"/>
      <c r="BW370" s="547"/>
      <c r="BX370" s="547"/>
      <c r="BY370" s="547"/>
      <c r="BZ370" s="547"/>
      <c r="CA370" s="547"/>
      <c r="CB370" s="547"/>
      <c r="CC370" s="547"/>
      <c r="CD370" s="547"/>
      <c r="CE370" s="547"/>
      <c r="CF370" s="547"/>
      <c r="CG370" s="547"/>
      <c r="CH370" s="547"/>
      <c r="CI370" s="547"/>
      <c r="CJ370" s="549"/>
      <c r="CK370" s="547"/>
      <c r="CL370" s="547"/>
      <c r="CM370" s="547"/>
      <c r="CN370" s="547"/>
      <c r="CO370" s="547"/>
      <c r="CP370" s="19"/>
      <c r="CQ370" s="19"/>
      <c r="CR370" s="19"/>
      <c r="CS370" s="19"/>
      <c r="CT370" s="19"/>
      <c r="CU370" s="19"/>
      <c r="EI370" s="542"/>
      <c r="EJ370" s="542"/>
      <c r="EK370" s="542"/>
      <c r="EL370" s="542"/>
      <c r="EM370" s="542"/>
      <c r="EN370" s="542"/>
      <c r="EO370" s="542"/>
      <c r="EP370" s="542"/>
      <c r="EQ370" s="542"/>
      <c r="ER370" s="19"/>
      <c r="ES370" s="569">
        <v>1016</v>
      </c>
      <c r="ET370" t="s">
        <v>1791</v>
      </c>
      <c r="EU370" t="s">
        <v>787</v>
      </c>
      <c r="EV370" t="s">
        <v>3136</v>
      </c>
      <c r="EW370" t="s">
        <v>54</v>
      </c>
      <c r="EX370" s="600">
        <v>55104</v>
      </c>
      <c r="EY370">
        <v>1043643059</v>
      </c>
    </row>
    <row r="371" spans="1:155" x14ac:dyDescent="0.2">
      <c r="A371" s="93"/>
      <c r="J371" s="543"/>
      <c r="K371" s="543"/>
      <c r="L371" s="543"/>
      <c r="M371" s="543"/>
      <c r="N371" s="543"/>
      <c r="O371" s="543"/>
      <c r="P371" s="543"/>
      <c r="Q371" s="543"/>
      <c r="R371" s="543"/>
      <c r="S371" s="543"/>
      <c r="T371" s="543"/>
      <c r="U371" s="543"/>
      <c r="V371" s="543"/>
      <c r="W371" s="543"/>
      <c r="X371" s="543"/>
      <c r="Y371" s="543"/>
      <c r="Z371" s="543"/>
      <c r="AA371" s="543"/>
      <c r="AB371" s="543"/>
      <c r="AC371" s="543"/>
      <c r="AD371" s="543"/>
      <c r="AE371" s="543"/>
      <c r="AF371" s="543"/>
      <c r="AG371" s="543"/>
      <c r="AH371" s="543"/>
      <c r="AI371" s="543"/>
      <c r="AJ371" s="543"/>
      <c r="AK371" s="543"/>
      <c r="AL371" s="543"/>
      <c r="AM371" s="543"/>
      <c r="AN371" s="543"/>
      <c r="AO371" s="543"/>
      <c r="AP371" s="543"/>
      <c r="AQ371" s="543"/>
      <c r="AR371" s="543"/>
      <c r="AS371" s="543"/>
      <c r="AT371" s="543"/>
      <c r="AU371" s="543"/>
      <c r="AV371" s="543"/>
      <c r="AW371" s="543"/>
      <c r="AX371" s="543"/>
      <c r="AY371" s="543"/>
      <c r="AZ371" s="543"/>
      <c r="BA371" s="543"/>
      <c r="BB371" s="543"/>
      <c r="BC371" s="543"/>
      <c r="BD371" s="543"/>
      <c r="BE371" s="543"/>
      <c r="BF371" s="543"/>
      <c r="BG371" s="543"/>
      <c r="BH371" s="543"/>
      <c r="BI371" s="543"/>
      <c r="BJ371" s="543"/>
      <c r="BK371" s="543"/>
      <c r="BL371" s="543"/>
      <c r="BM371" s="543"/>
      <c r="BN371" s="543"/>
      <c r="BO371" s="543"/>
      <c r="BP371" s="543"/>
      <c r="BQ371" s="543"/>
      <c r="BR371" s="543"/>
      <c r="BS371" s="543"/>
      <c r="BT371" s="543"/>
      <c r="BU371" s="543"/>
      <c r="BV371" s="543"/>
      <c r="BW371" s="543"/>
      <c r="BX371" s="543"/>
      <c r="BY371" s="543"/>
      <c r="BZ371" s="543"/>
      <c r="CA371" s="543"/>
      <c r="CB371" s="543"/>
      <c r="CC371" s="543"/>
      <c r="CD371" s="544"/>
      <c r="CE371" s="543"/>
      <c r="CF371" s="543"/>
      <c r="CG371" s="543"/>
      <c r="CH371" s="543"/>
      <c r="CI371" s="544"/>
      <c r="CJ371" s="543"/>
      <c r="CK371" s="543"/>
      <c r="CL371" s="543"/>
      <c r="CM371" s="543"/>
      <c r="CN371" s="545"/>
      <c r="CO371" s="543"/>
      <c r="CP371" s="543"/>
      <c r="CQ371" s="543"/>
      <c r="CR371" s="543"/>
      <c r="CS371" s="543"/>
      <c r="CT371" s="543"/>
      <c r="CU371" s="545"/>
      <c r="CV371" s="543"/>
      <c r="CW371" s="543"/>
      <c r="CX371" s="543"/>
      <c r="CY371" s="543"/>
      <c r="CZ371" s="543"/>
      <c r="DA371" s="543"/>
      <c r="DB371" s="543"/>
      <c r="DC371" s="543"/>
      <c r="DD371" s="543"/>
      <c r="DE371" s="543"/>
      <c r="DF371" s="543"/>
      <c r="DG371" s="543"/>
      <c r="DH371" s="543"/>
      <c r="DI371" s="543"/>
      <c r="DJ371" s="543"/>
      <c r="DK371" s="543"/>
      <c r="DL371" s="543"/>
      <c r="DM371" s="543"/>
      <c r="DN371" s="543"/>
      <c r="DO371" s="546"/>
      <c r="DP371" s="543"/>
      <c r="DQ371" s="543"/>
      <c r="DR371" s="543"/>
      <c r="DS371" s="543"/>
      <c r="DT371" s="543"/>
      <c r="DU371" s="543"/>
      <c r="DY371" s="546"/>
      <c r="DZ371" s="19"/>
      <c r="EA371" s="19"/>
      <c r="EB371" s="19"/>
      <c r="EC371" s="19"/>
      <c r="ED371" s="19"/>
      <c r="EE371" s="19"/>
      <c r="EI371" s="542"/>
      <c r="EJ371" s="542"/>
      <c r="EK371" s="542"/>
      <c r="EL371" s="542"/>
      <c r="EM371" s="542"/>
      <c r="EN371" s="542"/>
      <c r="EO371" s="542"/>
      <c r="EP371" s="542"/>
      <c r="EQ371" s="542"/>
      <c r="ER371" s="19"/>
      <c r="ES371" s="569">
        <v>599</v>
      </c>
      <c r="ET371" t="s">
        <v>1008</v>
      </c>
      <c r="EU371" t="s">
        <v>1009</v>
      </c>
      <c r="EV371" t="s">
        <v>3137</v>
      </c>
      <c r="EW371" t="s">
        <v>54</v>
      </c>
      <c r="EX371" s="600">
        <v>56082</v>
      </c>
      <c r="EY371"/>
    </row>
    <row r="372" spans="1:155" x14ac:dyDescent="0.2">
      <c r="A372" s="93"/>
      <c r="J372" s="543"/>
      <c r="K372" s="543"/>
      <c r="L372" s="543"/>
      <c r="M372" s="543"/>
      <c r="N372" s="543"/>
      <c r="O372" s="543"/>
      <c r="P372" s="543"/>
      <c r="Q372" s="543"/>
      <c r="R372" s="543"/>
      <c r="S372" s="543"/>
      <c r="T372" s="543"/>
      <c r="U372" s="543"/>
      <c r="V372" s="543"/>
      <c r="W372" s="543"/>
      <c r="X372" s="543"/>
      <c r="Y372" s="543"/>
      <c r="Z372" s="543"/>
      <c r="AA372" s="543"/>
      <c r="AB372" s="543"/>
      <c r="AC372" s="543"/>
      <c r="AD372" s="543"/>
      <c r="AE372" s="543"/>
      <c r="AF372" s="543"/>
      <c r="AG372" s="543"/>
      <c r="AH372" s="543"/>
      <c r="AI372" s="543"/>
      <c r="AJ372" s="543"/>
      <c r="AK372" s="543"/>
      <c r="AL372" s="543"/>
      <c r="AM372" s="543"/>
      <c r="AN372" s="543"/>
      <c r="AO372" s="543"/>
      <c r="AP372" s="543"/>
      <c r="AQ372" s="543"/>
      <c r="AR372" s="543"/>
      <c r="AS372" s="543"/>
      <c r="AT372" s="543"/>
      <c r="AU372" s="543"/>
      <c r="AV372" s="543"/>
      <c r="AW372" s="543"/>
      <c r="AX372" s="543"/>
      <c r="AY372" s="543"/>
      <c r="AZ372" s="543"/>
      <c r="BA372" s="543"/>
      <c r="BB372" s="543"/>
      <c r="BC372" s="543"/>
      <c r="BD372" s="543"/>
      <c r="BE372" s="543"/>
      <c r="BF372" s="543"/>
      <c r="BG372" s="543"/>
      <c r="BH372" s="543"/>
      <c r="BI372" s="543"/>
      <c r="BJ372" s="543"/>
      <c r="BK372" s="543"/>
      <c r="BL372" s="543"/>
      <c r="BM372" s="543"/>
      <c r="BN372" s="543"/>
      <c r="BO372" s="543"/>
      <c r="BP372" s="543"/>
      <c r="BQ372" s="543"/>
      <c r="BR372" s="543"/>
      <c r="BS372" s="543"/>
      <c r="BT372" s="543"/>
      <c r="BU372" s="543"/>
      <c r="BV372" s="543"/>
      <c r="BW372" s="543"/>
      <c r="BX372" s="543"/>
      <c r="BY372" s="543"/>
      <c r="BZ372" s="543"/>
      <c r="CA372" s="543"/>
      <c r="CB372" s="543"/>
      <c r="CC372" s="543"/>
      <c r="CD372" s="544"/>
      <c r="CE372" s="543"/>
      <c r="CF372" s="543"/>
      <c r="CG372" s="543"/>
      <c r="CH372" s="543"/>
      <c r="CI372" s="544"/>
      <c r="CJ372" s="543"/>
      <c r="CK372" s="543"/>
      <c r="CL372" s="543"/>
      <c r="CM372" s="543"/>
      <c r="CN372" s="545"/>
      <c r="CO372" s="543"/>
      <c r="CP372" s="543"/>
      <c r="CQ372" s="543"/>
      <c r="CR372" s="543"/>
      <c r="CS372" s="543"/>
      <c r="CT372" s="543"/>
      <c r="CU372" s="545"/>
      <c r="CV372" s="543"/>
      <c r="CW372" s="543"/>
      <c r="CX372" s="543"/>
      <c r="CY372" s="543"/>
      <c r="CZ372" s="543"/>
      <c r="DA372" s="543"/>
      <c r="DB372" s="543"/>
      <c r="DC372" s="543"/>
      <c r="DD372" s="543"/>
      <c r="DE372" s="543"/>
      <c r="DF372" s="543"/>
      <c r="DG372" s="543"/>
      <c r="DH372" s="543"/>
      <c r="DI372" s="543"/>
      <c r="DJ372" s="543"/>
      <c r="DK372" s="543"/>
      <c r="DL372" s="543"/>
      <c r="DM372" s="543"/>
      <c r="DN372" s="543"/>
      <c r="DO372" s="546"/>
      <c r="DP372" s="543"/>
      <c r="DQ372" s="543"/>
      <c r="DR372" s="543"/>
      <c r="DS372" s="543"/>
      <c r="DT372" s="543"/>
      <c r="DU372" s="543"/>
      <c r="DY372" s="546"/>
      <c r="DZ372" s="19"/>
      <c r="EA372" s="19"/>
      <c r="EB372" s="19"/>
      <c r="EC372" s="19"/>
      <c r="ED372" s="19"/>
      <c r="EE372" s="19"/>
      <c r="EI372" s="542"/>
      <c r="EJ372" s="542"/>
      <c r="EK372" s="542"/>
      <c r="EL372" s="542"/>
      <c r="EM372" s="542"/>
      <c r="EN372" s="542"/>
      <c r="EO372" s="542"/>
      <c r="EP372" s="542"/>
      <c r="EQ372" s="542"/>
      <c r="ER372" s="19"/>
      <c r="ES372" s="569">
        <v>22</v>
      </c>
      <c r="ET372" t="s">
        <v>1932</v>
      </c>
      <c r="EU372" t="s">
        <v>1009</v>
      </c>
      <c r="EV372" t="s">
        <v>2146</v>
      </c>
      <c r="EW372" t="s">
        <v>54</v>
      </c>
      <c r="EX372" s="599">
        <v>56082</v>
      </c>
      <c r="EY372">
        <v>1407849367</v>
      </c>
    </row>
    <row r="373" spans="1:155" x14ac:dyDescent="0.2">
      <c r="A373" s="93"/>
      <c r="J373" s="543"/>
      <c r="K373" s="543"/>
      <c r="L373" s="543"/>
      <c r="M373" s="543"/>
      <c r="N373" s="543"/>
      <c r="O373" s="543"/>
      <c r="P373" s="543"/>
      <c r="Q373" s="543"/>
      <c r="R373" s="543"/>
      <c r="S373" s="543"/>
      <c r="T373" s="543"/>
      <c r="U373" s="543"/>
      <c r="V373" s="543"/>
      <c r="W373" s="543"/>
      <c r="X373" s="543"/>
      <c r="Y373" s="543"/>
      <c r="Z373" s="543"/>
      <c r="AA373" s="543"/>
      <c r="AB373" s="543"/>
      <c r="AC373" s="543"/>
      <c r="AD373" s="543"/>
      <c r="AE373" s="543"/>
      <c r="AF373" s="543"/>
      <c r="AG373" s="543"/>
      <c r="AH373" s="543"/>
      <c r="AI373" s="543"/>
      <c r="AJ373" s="543"/>
      <c r="AK373" s="543"/>
      <c r="AL373" s="543"/>
      <c r="AM373" s="543"/>
      <c r="AN373" s="543"/>
      <c r="AO373" s="543"/>
      <c r="AP373" s="543"/>
      <c r="AQ373" s="543"/>
      <c r="AR373" s="543"/>
      <c r="AS373" s="543"/>
      <c r="AT373" s="543"/>
      <c r="AU373" s="543"/>
      <c r="AV373" s="543"/>
      <c r="AW373" s="543"/>
      <c r="AX373" s="543"/>
      <c r="AY373" s="543"/>
      <c r="AZ373" s="543"/>
      <c r="BA373" s="543"/>
      <c r="BB373" s="543"/>
      <c r="BC373" s="543"/>
      <c r="BD373" s="543"/>
      <c r="BE373" s="543"/>
      <c r="BF373" s="543"/>
      <c r="BG373" s="543"/>
      <c r="BH373" s="543"/>
      <c r="BI373" s="543"/>
      <c r="BJ373" s="543"/>
      <c r="BK373" s="543"/>
      <c r="BL373" s="543"/>
      <c r="BM373" s="543"/>
      <c r="BN373" s="543"/>
      <c r="BO373" s="543"/>
      <c r="BP373" s="543"/>
      <c r="BQ373" s="543"/>
      <c r="BR373" s="543"/>
      <c r="BS373" s="543"/>
      <c r="BT373" s="543"/>
      <c r="BU373" s="543"/>
      <c r="BV373" s="543"/>
      <c r="BW373" s="543"/>
      <c r="BX373" s="543"/>
      <c r="BY373" s="543"/>
      <c r="BZ373" s="543"/>
      <c r="CA373" s="543"/>
      <c r="CB373" s="543"/>
      <c r="CC373" s="543"/>
      <c r="CD373" s="544"/>
      <c r="CE373" s="543"/>
      <c r="CF373" s="543"/>
      <c r="CG373" s="543"/>
      <c r="CH373" s="543"/>
      <c r="CI373" s="544"/>
      <c r="CJ373" s="543"/>
      <c r="CK373" s="543"/>
      <c r="CL373" s="543"/>
      <c r="CM373" s="543"/>
      <c r="CN373" s="545"/>
      <c r="CO373" s="543"/>
      <c r="CP373" s="545"/>
      <c r="CQ373" s="543"/>
      <c r="CR373" s="543"/>
      <c r="CS373" s="543"/>
      <c r="CT373" s="543"/>
      <c r="CU373" s="545"/>
      <c r="CV373" s="543"/>
      <c r="CW373" s="543"/>
      <c r="CX373" s="543"/>
      <c r="CY373" s="543"/>
      <c r="CZ373" s="543"/>
      <c r="DA373" s="543"/>
      <c r="DB373" s="543"/>
      <c r="DC373" s="543"/>
      <c r="DD373" s="543"/>
      <c r="DE373" s="543"/>
      <c r="DF373" s="543"/>
      <c r="DG373" s="543"/>
      <c r="DH373" s="543"/>
      <c r="DI373" s="543"/>
      <c r="DJ373" s="543"/>
      <c r="DK373" s="543"/>
      <c r="DL373" s="543"/>
      <c r="DM373" s="545"/>
      <c r="DN373" s="543"/>
      <c r="DO373" s="546"/>
      <c r="DP373" s="543"/>
      <c r="DQ373" s="543"/>
      <c r="DR373" s="543"/>
      <c r="DS373" s="543"/>
      <c r="DT373" s="543"/>
      <c r="DU373" s="543"/>
      <c r="DW373" s="552"/>
      <c r="DY373" s="546"/>
      <c r="DZ373" s="19"/>
      <c r="EA373" s="19"/>
      <c r="EB373" s="19"/>
      <c r="EC373" s="19"/>
      <c r="ED373" s="19"/>
      <c r="EE373" s="19"/>
      <c r="EI373" s="542"/>
      <c r="EJ373" s="542"/>
      <c r="EK373" s="542"/>
      <c r="EL373" s="542"/>
      <c r="EM373" s="542"/>
      <c r="EN373" s="542"/>
      <c r="EO373" s="542"/>
      <c r="EP373" s="542"/>
      <c r="EQ373" s="542"/>
      <c r="ER373" s="19"/>
      <c r="ES373" s="569">
        <v>1207</v>
      </c>
      <c r="ET373" t="s">
        <v>960</v>
      </c>
      <c r="EU373" t="s">
        <v>961</v>
      </c>
      <c r="EV373" t="s">
        <v>3138</v>
      </c>
      <c r="EW373" t="s">
        <v>54</v>
      </c>
      <c r="EX373" s="600">
        <v>56479</v>
      </c>
      <c r="EY373"/>
    </row>
    <row r="374" spans="1:155" x14ac:dyDescent="0.2">
      <c r="A374" s="93"/>
      <c r="J374" s="543"/>
      <c r="K374" s="543"/>
      <c r="L374" s="543"/>
      <c r="M374" s="543"/>
      <c r="N374" s="543"/>
      <c r="O374" s="543"/>
      <c r="P374" s="543"/>
      <c r="Q374" s="543"/>
      <c r="R374" s="543"/>
      <c r="S374" s="543"/>
      <c r="T374" s="543"/>
      <c r="U374" s="543"/>
      <c r="V374" s="543"/>
      <c r="W374" s="543"/>
      <c r="X374" s="543"/>
      <c r="Y374" s="543"/>
      <c r="Z374" s="543"/>
      <c r="AA374" s="543"/>
      <c r="AB374" s="543"/>
      <c r="AC374" s="543"/>
      <c r="AD374" s="543"/>
      <c r="AE374" s="543"/>
      <c r="AF374" s="543"/>
      <c r="AG374" s="543"/>
      <c r="AH374" s="543"/>
      <c r="AI374" s="543"/>
      <c r="AJ374" s="543"/>
      <c r="AK374" s="543"/>
      <c r="AL374" s="543"/>
      <c r="AM374" s="543"/>
      <c r="AN374" s="543"/>
      <c r="AO374" s="543"/>
      <c r="AP374" s="543"/>
      <c r="AQ374" s="543"/>
      <c r="AR374" s="543"/>
      <c r="AS374" s="543"/>
      <c r="AT374" s="543"/>
      <c r="AU374" s="543"/>
      <c r="AV374" s="543"/>
      <c r="AW374" s="543"/>
      <c r="AX374" s="543"/>
      <c r="AY374" s="543"/>
      <c r="AZ374" s="543"/>
      <c r="BA374" s="543"/>
      <c r="BB374" s="543"/>
      <c r="BC374" s="543"/>
      <c r="BD374" s="543"/>
      <c r="BE374" s="543"/>
      <c r="BF374" s="543"/>
      <c r="BG374" s="543"/>
      <c r="BH374" s="543"/>
      <c r="BI374" s="543"/>
      <c r="BJ374" s="543"/>
      <c r="BK374" s="543"/>
      <c r="BL374" s="543"/>
      <c r="BM374" s="543"/>
      <c r="BN374" s="543"/>
      <c r="BO374" s="543"/>
      <c r="BP374" s="543"/>
      <c r="BQ374" s="543"/>
      <c r="BR374" s="543"/>
      <c r="BS374" s="543"/>
      <c r="BT374" s="543"/>
      <c r="BU374" s="543"/>
      <c r="BV374" s="543"/>
      <c r="BW374" s="543"/>
      <c r="BX374" s="543"/>
      <c r="BY374" s="543"/>
      <c r="BZ374" s="543"/>
      <c r="CA374" s="543"/>
      <c r="CB374" s="543"/>
      <c r="CC374" s="543"/>
      <c r="CD374" s="544"/>
      <c r="CE374" s="543"/>
      <c r="CF374" s="543"/>
      <c r="CG374" s="543"/>
      <c r="CH374" s="543"/>
      <c r="CI374" s="544"/>
      <c r="CJ374" s="543"/>
      <c r="CK374" s="543"/>
      <c r="CL374" s="543"/>
      <c r="CM374" s="543"/>
      <c r="CN374" s="545"/>
      <c r="CO374" s="543"/>
      <c r="CP374" s="543"/>
      <c r="CQ374" s="543"/>
      <c r="CR374" s="543"/>
      <c r="CS374" s="543"/>
      <c r="CT374" s="543"/>
      <c r="CU374" s="545"/>
      <c r="CV374" s="543"/>
      <c r="CW374" s="545"/>
      <c r="CX374" s="543"/>
      <c r="CY374" s="543"/>
      <c r="CZ374" s="543"/>
      <c r="DA374" s="543"/>
      <c r="DB374" s="543"/>
      <c r="DC374" s="543"/>
      <c r="DD374" s="543"/>
      <c r="DE374" s="543"/>
      <c r="DF374" s="543"/>
      <c r="DG374" s="543"/>
      <c r="DH374" s="543"/>
      <c r="DI374" s="543"/>
      <c r="DJ374" s="543"/>
      <c r="DK374" s="543"/>
      <c r="DL374" s="543"/>
      <c r="DM374" s="543"/>
      <c r="DN374" s="543"/>
      <c r="DO374" s="546"/>
      <c r="DP374" s="543"/>
      <c r="DQ374" s="543"/>
      <c r="DR374" s="543"/>
      <c r="DS374" s="543"/>
      <c r="DT374" s="543"/>
      <c r="DU374" s="543"/>
      <c r="DY374" s="546"/>
      <c r="DZ374" s="19"/>
      <c r="EA374" s="19"/>
      <c r="EB374" s="19"/>
      <c r="EC374" s="19"/>
      <c r="ED374" s="19"/>
      <c r="EE374" s="19"/>
      <c r="EI374" s="542"/>
      <c r="EJ374" s="542"/>
      <c r="EK374" s="542"/>
      <c r="EL374" s="542"/>
      <c r="EM374" s="542"/>
      <c r="EN374" s="542"/>
      <c r="EO374" s="542"/>
      <c r="EP374" s="542"/>
      <c r="EQ374" s="542"/>
      <c r="ER374" s="19"/>
      <c r="ES374" s="569">
        <v>161</v>
      </c>
      <c r="ET374" t="s">
        <v>1933</v>
      </c>
      <c r="EU374" t="s">
        <v>961</v>
      </c>
      <c r="EV374" t="s">
        <v>962</v>
      </c>
      <c r="EW374" t="s">
        <v>54</v>
      </c>
      <c r="EX374" s="599">
        <v>56479</v>
      </c>
      <c r="EY374">
        <v>1295726362</v>
      </c>
    </row>
    <row r="375" spans="1:155" x14ac:dyDescent="0.2">
      <c r="A375" s="93"/>
      <c r="J375" s="543"/>
      <c r="K375" s="543"/>
      <c r="L375" s="543"/>
      <c r="M375" s="543"/>
      <c r="N375" s="543"/>
      <c r="O375" s="543"/>
      <c r="P375" s="543"/>
      <c r="Q375" s="543"/>
      <c r="R375" s="543"/>
      <c r="S375" s="543"/>
      <c r="T375" s="543"/>
      <c r="U375" s="543"/>
      <c r="V375" s="543"/>
      <c r="W375" s="543"/>
      <c r="X375" s="543"/>
      <c r="Y375" s="543"/>
      <c r="Z375" s="543"/>
      <c r="AA375" s="543"/>
      <c r="AB375" s="543"/>
      <c r="AC375" s="543"/>
      <c r="AD375" s="543"/>
      <c r="AE375" s="543"/>
      <c r="AF375" s="543"/>
      <c r="AG375" s="543"/>
      <c r="AH375" s="543"/>
      <c r="AI375" s="543"/>
      <c r="AJ375" s="543"/>
      <c r="AK375" s="543"/>
      <c r="AL375" s="543"/>
      <c r="AM375" s="543"/>
      <c r="AN375" s="543"/>
      <c r="AO375" s="543"/>
      <c r="AP375" s="543"/>
      <c r="AQ375" s="543"/>
      <c r="AR375" s="543"/>
      <c r="AS375" s="543"/>
      <c r="AT375" s="543"/>
      <c r="AU375" s="543"/>
      <c r="AV375" s="543"/>
      <c r="AW375" s="543"/>
      <c r="AX375" s="543"/>
      <c r="AY375" s="543"/>
      <c r="AZ375" s="543"/>
      <c r="BA375" s="543"/>
      <c r="BB375" s="543"/>
      <c r="BC375" s="543"/>
      <c r="BD375" s="543"/>
      <c r="BE375" s="543"/>
      <c r="BF375" s="543"/>
      <c r="BG375" s="543"/>
      <c r="BH375" s="543"/>
      <c r="BI375" s="543"/>
      <c r="BJ375" s="543"/>
      <c r="BK375" s="543"/>
      <c r="BL375" s="543"/>
      <c r="BM375" s="543"/>
      <c r="BN375" s="543"/>
      <c r="BO375" s="543"/>
      <c r="BP375" s="543"/>
      <c r="BQ375" s="543"/>
      <c r="BR375" s="543"/>
      <c r="BS375" s="543"/>
      <c r="BT375" s="543"/>
      <c r="BU375" s="543"/>
      <c r="BV375" s="543"/>
      <c r="BW375" s="543"/>
      <c r="BX375" s="543"/>
      <c r="BY375" s="543"/>
      <c r="BZ375" s="543"/>
      <c r="CA375" s="543"/>
      <c r="CB375" s="543"/>
      <c r="CC375" s="543"/>
      <c r="CD375" s="544"/>
      <c r="CE375" s="543"/>
      <c r="CF375" s="543"/>
      <c r="CG375" s="543"/>
      <c r="CH375" s="543"/>
      <c r="CI375" s="544"/>
      <c r="CJ375" s="543"/>
      <c r="CK375" s="543"/>
      <c r="CL375" s="543"/>
      <c r="CM375" s="543"/>
      <c r="CN375" s="545"/>
      <c r="CO375" s="543"/>
      <c r="CP375" s="543"/>
      <c r="CQ375" s="543"/>
      <c r="CR375" s="543"/>
      <c r="CS375" s="543"/>
      <c r="CT375" s="543"/>
      <c r="CU375" s="543"/>
      <c r="CV375" s="543"/>
      <c r="CW375" s="543"/>
      <c r="CX375" s="543"/>
      <c r="CY375" s="543"/>
      <c r="CZ375" s="543"/>
      <c r="DA375" s="543"/>
      <c r="DB375" s="543"/>
      <c r="DC375" s="543"/>
      <c r="DD375" s="543"/>
      <c r="DE375" s="543"/>
      <c r="DF375" s="543"/>
      <c r="DG375" s="543"/>
      <c r="DH375" s="543"/>
      <c r="DI375" s="543"/>
      <c r="DJ375" s="543"/>
      <c r="DK375" s="543"/>
      <c r="DL375" s="543"/>
      <c r="DM375" s="543"/>
      <c r="DN375" s="543"/>
      <c r="DO375" s="546"/>
      <c r="DP375" s="543"/>
      <c r="DQ375" s="543"/>
      <c r="DR375" s="543"/>
      <c r="DS375" s="543"/>
      <c r="DT375" s="543"/>
      <c r="DU375" s="543"/>
      <c r="DY375" s="546"/>
      <c r="DZ375" s="19"/>
      <c r="EA375" s="19"/>
      <c r="EB375" s="19"/>
      <c r="EC375" s="19"/>
      <c r="ED375" s="19"/>
      <c r="EE375" s="19"/>
      <c r="EI375" s="542"/>
      <c r="EJ375" s="542"/>
      <c r="EK375" s="542"/>
      <c r="EL375" s="542"/>
      <c r="EM375" s="542"/>
      <c r="EN375" s="542"/>
      <c r="EO375" s="542"/>
      <c r="EP375" s="542"/>
      <c r="EQ375" s="542"/>
      <c r="ER375" s="19"/>
      <c r="ES375" s="569">
        <v>74</v>
      </c>
      <c r="ET375" t="s">
        <v>1934</v>
      </c>
      <c r="EU375" t="s">
        <v>1358</v>
      </c>
      <c r="EV375" t="s">
        <v>2338</v>
      </c>
      <c r="EW375" t="s">
        <v>54</v>
      </c>
      <c r="EX375" s="599">
        <v>55082</v>
      </c>
      <c r="EY375">
        <v>1538138003</v>
      </c>
    </row>
    <row r="376" spans="1:155" x14ac:dyDescent="0.2">
      <c r="A376" s="93"/>
      <c r="J376" s="543"/>
      <c r="K376" s="543"/>
      <c r="L376" s="543"/>
      <c r="M376" s="543"/>
      <c r="N376" s="543"/>
      <c r="O376" s="543"/>
      <c r="P376" s="543"/>
      <c r="Q376" s="543"/>
      <c r="R376" s="543"/>
      <c r="S376" s="543"/>
      <c r="T376" s="543"/>
      <c r="U376" s="543"/>
      <c r="V376" s="543"/>
      <c r="W376" s="543"/>
      <c r="X376" s="543"/>
      <c r="Y376" s="543"/>
      <c r="Z376" s="543"/>
      <c r="AA376" s="543"/>
      <c r="AB376" s="543"/>
      <c r="AC376" s="543"/>
      <c r="AD376" s="543"/>
      <c r="AE376" s="543"/>
      <c r="AF376" s="543"/>
      <c r="AG376" s="543"/>
      <c r="AH376" s="543"/>
      <c r="AI376" s="543"/>
      <c r="AJ376" s="543"/>
      <c r="AK376" s="543"/>
      <c r="AL376" s="543"/>
      <c r="AM376" s="543"/>
      <c r="AN376" s="543"/>
      <c r="AO376" s="543"/>
      <c r="AP376" s="543"/>
      <c r="AQ376" s="543"/>
      <c r="AR376" s="543"/>
      <c r="AS376" s="543"/>
      <c r="AT376" s="543"/>
      <c r="AU376" s="543"/>
      <c r="AV376" s="543"/>
      <c r="AW376" s="543"/>
      <c r="AX376" s="543"/>
      <c r="AY376" s="543"/>
      <c r="AZ376" s="543"/>
      <c r="BA376" s="543"/>
      <c r="BB376" s="543"/>
      <c r="BC376" s="543"/>
      <c r="BD376" s="543"/>
      <c r="BE376" s="543"/>
      <c r="BF376" s="543"/>
      <c r="BG376" s="543"/>
      <c r="BH376" s="543"/>
      <c r="BI376" s="543"/>
      <c r="BJ376" s="543"/>
      <c r="BK376" s="543"/>
      <c r="BL376" s="543"/>
      <c r="BM376" s="543"/>
      <c r="BN376" s="543"/>
      <c r="BO376" s="556"/>
      <c r="BP376" s="543"/>
      <c r="BQ376" s="543"/>
      <c r="BR376" s="543"/>
      <c r="BS376" s="543"/>
      <c r="BT376" s="543"/>
      <c r="BU376" s="543"/>
      <c r="BV376" s="543"/>
      <c r="BW376" s="543"/>
      <c r="BX376" s="543"/>
      <c r="BY376" s="543"/>
      <c r="BZ376" s="543"/>
      <c r="CA376" s="543"/>
      <c r="CB376" s="543"/>
      <c r="CC376" s="543"/>
      <c r="CD376" s="544"/>
      <c r="CE376" s="543"/>
      <c r="CF376" s="543"/>
      <c r="CG376" s="543"/>
      <c r="CH376" s="543"/>
      <c r="CI376" s="544"/>
      <c r="CJ376" s="543"/>
      <c r="CK376" s="543"/>
      <c r="CL376" s="543"/>
      <c r="CM376" s="543"/>
      <c r="CN376" s="545"/>
      <c r="CO376" s="543"/>
      <c r="CP376" s="543"/>
      <c r="CQ376" s="543"/>
      <c r="CR376" s="543"/>
      <c r="CS376" s="543"/>
      <c r="CT376" s="543"/>
      <c r="CU376" s="545"/>
      <c r="CV376" s="543"/>
      <c r="CW376" s="545"/>
      <c r="CX376" s="543"/>
      <c r="CY376" s="543"/>
      <c r="CZ376" s="543"/>
      <c r="DA376" s="543"/>
      <c r="DB376" s="543"/>
      <c r="DC376" s="543"/>
      <c r="DD376" s="543"/>
      <c r="DE376" s="543"/>
      <c r="DF376" s="543"/>
      <c r="DG376" s="543"/>
      <c r="DH376" s="543"/>
      <c r="DI376" s="543"/>
      <c r="DJ376" s="543"/>
      <c r="DK376" s="543"/>
      <c r="DL376" s="543"/>
      <c r="DM376" s="543"/>
      <c r="DN376" s="543"/>
      <c r="DO376" s="546"/>
      <c r="DP376" s="543"/>
      <c r="DQ376" s="543"/>
      <c r="DR376" s="543"/>
      <c r="DS376" s="543"/>
      <c r="DT376" s="543"/>
      <c r="DU376" s="543"/>
      <c r="DW376" s="552"/>
      <c r="DY376" s="546"/>
      <c r="DZ376" s="19"/>
      <c r="EA376" s="19"/>
      <c r="EB376" s="19"/>
      <c r="EC376" s="19"/>
      <c r="ED376" s="19"/>
      <c r="EE376" s="19"/>
      <c r="EI376" s="542"/>
      <c r="EJ376" s="542"/>
      <c r="EK376" s="542"/>
      <c r="EL376" s="542"/>
      <c r="EM376" s="542"/>
      <c r="EN376" s="542"/>
      <c r="EO376" s="542"/>
      <c r="EP376" s="542"/>
      <c r="EQ376" s="542"/>
      <c r="ER376" s="19"/>
      <c r="ES376" s="569">
        <v>755</v>
      </c>
      <c r="ET376" t="s">
        <v>1469</v>
      </c>
      <c r="EU376" t="s">
        <v>1358</v>
      </c>
      <c r="EV376" t="s">
        <v>3139</v>
      </c>
      <c r="EW376" t="s">
        <v>54</v>
      </c>
      <c r="EX376" s="600">
        <v>55082</v>
      </c>
      <c r="EY376">
        <v>1164474250</v>
      </c>
    </row>
    <row r="377" spans="1:155" x14ac:dyDescent="0.2">
      <c r="A377" s="93"/>
      <c r="J377" s="543"/>
      <c r="K377" s="543"/>
      <c r="L377" s="543"/>
      <c r="M377" s="543"/>
      <c r="N377" s="543"/>
      <c r="O377" s="543"/>
      <c r="P377" s="543"/>
      <c r="Q377" s="543"/>
      <c r="R377" s="543"/>
      <c r="S377" s="543"/>
      <c r="T377" s="543"/>
      <c r="U377" s="543"/>
      <c r="V377" s="543"/>
      <c r="W377" s="543"/>
      <c r="X377" s="543"/>
      <c r="Y377" s="543"/>
      <c r="Z377" s="543"/>
      <c r="AA377" s="543"/>
      <c r="AB377" s="543"/>
      <c r="AC377" s="543"/>
      <c r="AD377" s="543"/>
      <c r="AE377" s="543"/>
      <c r="AF377" s="543"/>
      <c r="AG377" s="543"/>
      <c r="AH377" s="543"/>
      <c r="AI377" s="543"/>
      <c r="AJ377" s="543"/>
      <c r="AK377" s="543"/>
      <c r="AL377" s="543"/>
      <c r="AM377" s="543"/>
      <c r="AN377" s="543"/>
      <c r="AO377" s="543"/>
      <c r="AP377" s="543"/>
      <c r="AQ377" s="543"/>
      <c r="AR377" s="543"/>
      <c r="AS377" s="543"/>
      <c r="AT377" s="543"/>
      <c r="AU377" s="543"/>
      <c r="AV377" s="543"/>
      <c r="AW377" s="543"/>
      <c r="AX377" s="543"/>
      <c r="AY377" s="543"/>
      <c r="AZ377" s="543"/>
      <c r="BA377" s="543"/>
      <c r="BB377" s="543"/>
      <c r="BC377" s="543"/>
      <c r="BD377" s="543"/>
      <c r="BE377" s="543"/>
      <c r="BF377" s="543"/>
      <c r="BG377" s="543"/>
      <c r="BH377" s="543"/>
      <c r="BI377" s="543"/>
      <c r="BJ377" s="543"/>
      <c r="BK377" s="543"/>
      <c r="BL377" s="543"/>
      <c r="BM377" s="543"/>
      <c r="BN377" s="543"/>
      <c r="BO377" s="543"/>
      <c r="BP377" s="543"/>
      <c r="BQ377" s="543"/>
      <c r="BR377" s="543"/>
      <c r="BS377" s="543"/>
      <c r="BT377" s="543"/>
      <c r="BU377" s="543"/>
      <c r="BV377" s="543"/>
      <c r="BW377" s="543"/>
      <c r="BX377" s="543"/>
      <c r="BY377" s="543"/>
      <c r="BZ377" s="543"/>
      <c r="CA377" s="543"/>
      <c r="CB377" s="543"/>
      <c r="CC377" s="543"/>
      <c r="CD377" s="544"/>
      <c r="CE377" s="543"/>
      <c r="CF377" s="543"/>
      <c r="CG377" s="543"/>
      <c r="CH377" s="543"/>
      <c r="CI377" s="544"/>
      <c r="CJ377" s="543"/>
      <c r="CK377" s="543"/>
      <c r="CL377" s="543"/>
      <c r="CM377" s="543"/>
      <c r="CN377" s="545"/>
      <c r="CO377" s="543"/>
      <c r="CP377" s="543"/>
      <c r="CQ377" s="543"/>
      <c r="CR377" s="543"/>
      <c r="CS377" s="543"/>
      <c r="CT377" s="543"/>
      <c r="CU377" s="545"/>
      <c r="CV377" s="543"/>
      <c r="CW377" s="543"/>
      <c r="CX377" s="543"/>
      <c r="CY377" s="543"/>
      <c r="CZ377" s="543"/>
      <c r="DA377" s="543"/>
      <c r="DB377" s="543"/>
      <c r="DC377" s="543"/>
      <c r="DD377" s="543"/>
      <c r="DE377" s="543"/>
      <c r="DF377" s="543"/>
      <c r="DG377" s="543"/>
      <c r="DH377" s="543"/>
      <c r="DI377" s="543"/>
      <c r="DJ377" s="543"/>
      <c r="DK377" s="543"/>
      <c r="DL377" s="543"/>
      <c r="DM377" s="543"/>
      <c r="DN377" s="543"/>
      <c r="DO377" s="546"/>
      <c r="DP377" s="543"/>
      <c r="DQ377" s="543"/>
      <c r="DR377" s="543"/>
      <c r="DS377" s="543"/>
      <c r="DT377" s="543"/>
      <c r="DU377" s="543"/>
      <c r="DY377" s="546"/>
      <c r="DZ377" s="19"/>
      <c r="EA377" s="19"/>
      <c r="EB377" s="19"/>
      <c r="EC377" s="19"/>
      <c r="ED377" s="19"/>
      <c r="EE377" s="19"/>
      <c r="EI377" s="542"/>
      <c r="EJ377" s="542"/>
      <c r="EK377" s="542"/>
      <c r="EL377" s="542"/>
      <c r="EM377" s="542"/>
      <c r="EN377" s="542"/>
      <c r="EO377" s="542"/>
      <c r="EP377" s="542"/>
      <c r="EQ377" s="542"/>
      <c r="ER377" s="19"/>
      <c r="ES377" s="569">
        <v>260</v>
      </c>
      <c r="ET377" t="s">
        <v>2346</v>
      </c>
      <c r="EU377" t="s">
        <v>1616</v>
      </c>
      <c r="EV377" t="s">
        <v>2347</v>
      </c>
      <c r="EW377" t="s">
        <v>54</v>
      </c>
      <c r="EX377" s="599">
        <v>56701</v>
      </c>
      <c r="EY377" t="s">
        <v>3140</v>
      </c>
    </row>
    <row r="378" spans="1:155" x14ac:dyDescent="0.2">
      <c r="A378" s="93"/>
      <c r="J378" s="543"/>
      <c r="K378" s="543"/>
      <c r="L378" s="543"/>
      <c r="M378" s="543"/>
      <c r="N378" s="543"/>
      <c r="O378" s="543"/>
      <c r="P378" s="543"/>
      <c r="Q378" s="543"/>
      <c r="R378" s="543"/>
      <c r="S378" s="543"/>
      <c r="T378" s="543"/>
      <c r="U378" s="543"/>
      <c r="V378" s="543"/>
      <c r="W378" s="543"/>
      <c r="X378" s="543"/>
      <c r="Y378" s="543"/>
      <c r="Z378" s="543"/>
      <c r="AA378" s="543"/>
      <c r="AB378" s="543"/>
      <c r="AC378" s="543"/>
      <c r="AD378" s="543"/>
      <c r="AE378" s="543"/>
      <c r="AF378" s="543"/>
      <c r="AG378" s="543"/>
      <c r="AH378" s="543"/>
      <c r="AI378" s="543"/>
      <c r="AJ378" s="543"/>
      <c r="AK378" s="543"/>
      <c r="AL378" s="543"/>
      <c r="AM378" s="543"/>
      <c r="AN378" s="543"/>
      <c r="AO378" s="543"/>
      <c r="AP378" s="543"/>
      <c r="AQ378" s="543"/>
      <c r="AR378" s="543"/>
      <c r="AS378" s="543"/>
      <c r="AT378" s="543"/>
      <c r="AU378" s="543"/>
      <c r="AV378" s="543"/>
      <c r="AW378" s="543"/>
      <c r="AX378" s="543"/>
      <c r="AY378" s="543"/>
      <c r="AZ378" s="543"/>
      <c r="BA378" s="543"/>
      <c r="BB378" s="543"/>
      <c r="BC378" s="543"/>
      <c r="BD378" s="543"/>
      <c r="BE378" s="543"/>
      <c r="BF378" s="543"/>
      <c r="BG378" s="543"/>
      <c r="BH378" s="543"/>
      <c r="BI378" s="543"/>
      <c r="BJ378" s="543"/>
      <c r="BK378" s="543"/>
      <c r="BL378" s="543"/>
      <c r="BM378" s="543"/>
      <c r="BN378" s="543"/>
      <c r="BO378" s="543"/>
      <c r="BP378" s="543"/>
      <c r="BQ378" s="543"/>
      <c r="BR378" s="543"/>
      <c r="BS378" s="543"/>
      <c r="BT378" s="543"/>
      <c r="BU378" s="543"/>
      <c r="BV378" s="543"/>
      <c r="BW378" s="543"/>
      <c r="BX378" s="543"/>
      <c r="BY378" s="543"/>
      <c r="BZ378" s="543"/>
      <c r="CA378" s="543"/>
      <c r="CB378" s="543"/>
      <c r="CC378" s="543"/>
      <c r="CD378" s="544"/>
      <c r="CE378" s="543"/>
      <c r="CF378" s="543"/>
      <c r="CG378" s="543"/>
      <c r="CH378" s="543"/>
      <c r="CI378" s="544"/>
      <c r="CJ378" s="543"/>
      <c r="CK378" s="543"/>
      <c r="CL378" s="543"/>
      <c r="CM378" s="543"/>
      <c r="CN378" s="545"/>
      <c r="CO378" s="543"/>
      <c r="CP378" s="545"/>
      <c r="CQ378" s="543"/>
      <c r="CR378" s="543"/>
      <c r="CS378" s="543"/>
      <c r="CT378" s="543"/>
      <c r="CU378" s="545"/>
      <c r="CV378" s="543"/>
      <c r="CW378" s="543"/>
      <c r="CX378" s="543"/>
      <c r="CY378" s="543"/>
      <c r="CZ378" s="543"/>
      <c r="DA378" s="543"/>
      <c r="DB378" s="543"/>
      <c r="DC378" s="543"/>
      <c r="DD378" s="543"/>
      <c r="DE378" s="543"/>
      <c r="DF378" s="543"/>
      <c r="DG378" s="543"/>
      <c r="DH378" s="543"/>
      <c r="DI378" s="543"/>
      <c r="DJ378" s="543"/>
      <c r="DK378" s="543"/>
      <c r="DL378" s="543"/>
      <c r="DM378" s="543"/>
      <c r="DN378" s="543"/>
      <c r="DO378" s="546"/>
      <c r="DP378" s="543"/>
      <c r="DQ378" s="543"/>
      <c r="DR378" s="543"/>
      <c r="DS378" s="543"/>
      <c r="DT378" s="543"/>
      <c r="DU378" s="543"/>
      <c r="DY378" s="546"/>
      <c r="DZ378" s="19"/>
      <c r="EA378" s="19"/>
      <c r="EB378" s="19"/>
      <c r="EC378" s="19"/>
      <c r="ED378" s="19"/>
      <c r="EE378" s="19"/>
      <c r="EI378" s="542"/>
      <c r="EJ378" s="542"/>
      <c r="EK378" s="542"/>
      <c r="EL378" s="542"/>
      <c r="EM378" s="542"/>
      <c r="EN378" s="542"/>
      <c r="EO378" s="542"/>
      <c r="EP378" s="542"/>
      <c r="EQ378" s="542"/>
      <c r="ER378" s="19"/>
      <c r="ES378" s="569">
        <v>106</v>
      </c>
      <c r="ET378" t="s">
        <v>1935</v>
      </c>
      <c r="EU378" t="s">
        <v>1616</v>
      </c>
      <c r="EV378" t="s">
        <v>1617</v>
      </c>
      <c r="EW378" t="s">
        <v>54</v>
      </c>
      <c r="EX378" s="599">
        <v>56701</v>
      </c>
      <c r="EY378">
        <v>1043218753</v>
      </c>
    </row>
    <row r="379" spans="1:155" x14ac:dyDescent="0.2">
      <c r="A379" s="93"/>
      <c r="J379" s="543"/>
      <c r="K379" s="543"/>
      <c r="L379" s="543"/>
      <c r="M379" s="543"/>
      <c r="N379" s="543"/>
      <c r="O379" s="543"/>
      <c r="P379" s="543"/>
      <c r="Q379" s="543"/>
      <c r="R379" s="543"/>
      <c r="S379" s="543"/>
      <c r="T379" s="543"/>
      <c r="U379" s="543"/>
      <c r="V379" s="543"/>
      <c r="W379" s="543"/>
      <c r="X379" s="543"/>
      <c r="Y379" s="543"/>
      <c r="Z379" s="543"/>
      <c r="AA379" s="543"/>
      <c r="AB379" s="543"/>
      <c r="AC379" s="543"/>
      <c r="AD379" s="543"/>
      <c r="AE379" s="543"/>
      <c r="AF379" s="543"/>
      <c r="AG379" s="543"/>
      <c r="AH379" s="543"/>
      <c r="AI379" s="543"/>
      <c r="AJ379" s="543"/>
      <c r="AK379" s="543"/>
      <c r="AL379" s="543"/>
      <c r="AM379" s="543"/>
      <c r="AN379" s="543"/>
      <c r="AO379" s="543"/>
      <c r="AP379" s="543"/>
      <c r="AQ379" s="543"/>
      <c r="AR379" s="543"/>
      <c r="AS379" s="543"/>
      <c r="AT379" s="543"/>
      <c r="AU379" s="543"/>
      <c r="AV379" s="543"/>
      <c r="AW379" s="543"/>
      <c r="AX379" s="543"/>
      <c r="AY379" s="543"/>
      <c r="AZ379" s="543"/>
      <c r="BA379" s="543"/>
      <c r="BB379" s="543"/>
      <c r="BC379" s="543"/>
      <c r="BD379" s="543"/>
      <c r="BE379" s="543"/>
      <c r="BF379" s="543"/>
      <c r="BG379" s="543"/>
      <c r="BH379" s="543"/>
      <c r="BI379" s="543"/>
      <c r="BJ379" s="543"/>
      <c r="BK379" s="543"/>
      <c r="BL379" s="543"/>
      <c r="BM379" s="543"/>
      <c r="BN379" s="543"/>
      <c r="BO379" s="543"/>
      <c r="BP379" s="543"/>
      <c r="BQ379" s="543"/>
      <c r="BR379" s="543"/>
      <c r="BS379" s="543"/>
      <c r="BT379" s="543"/>
      <c r="BU379" s="543"/>
      <c r="BV379" s="543"/>
      <c r="BW379" s="543"/>
      <c r="BX379" s="543"/>
      <c r="BY379" s="543"/>
      <c r="BZ379" s="543"/>
      <c r="CA379" s="543"/>
      <c r="CB379" s="543"/>
      <c r="CC379" s="543"/>
      <c r="CD379" s="544"/>
      <c r="CE379" s="543"/>
      <c r="CF379" s="543"/>
      <c r="CG379" s="543"/>
      <c r="CH379" s="543"/>
      <c r="CI379" s="544"/>
      <c r="CJ379" s="543"/>
      <c r="CK379" s="543"/>
      <c r="CL379" s="543"/>
      <c r="CM379" s="543"/>
      <c r="CN379" s="545"/>
      <c r="CO379" s="543"/>
      <c r="CP379" s="543"/>
      <c r="CQ379" s="543"/>
      <c r="CR379" s="543"/>
      <c r="CS379" s="543"/>
      <c r="CT379" s="543"/>
      <c r="CU379" s="545"/>
      <c r="CV379" s="543"/>
      <c r="CW379" s="545"/>
      <c r="CX379" s="543"/>
      <c r="CY379" s="543"/>
      <c r="CZ379" s="543"/>
      <c r="DA379" s="543"/>
      <c r="DB379" s="543"/>
      <c r="DC379" s="543"/>
      <c r="DD379" s="543"/>
      <c r="DE379" s="543"/>
      <c r="DF379" s="543"/>
      <c r="DG379" s="543"/>
      <c r="DH379" s="543"/>
      <c r="DI379" s="543"/>
      <c r="DJ379" s="543"/>
      <c r="DK379" s="543"/>
      <c r="DL379" s="543"/>
      <c r="DM379" s="543"/>
      <c r="DN379" s="543"/>
      <c r="DO379" s="546"/>
      <c r="DP379" s="543"/>
      <c r="DQ379" s="543"/>
      <c r="DR379" s="543"/>
      <c r="DS379" s="543"/>
      <c r="DT379" s="543"/>
      <c r="DU379" s="543"/>
      <c r="DW379" s="552"/>
      <c r="DY379" s="546"/>
      <c r="DZ379" s="19"/>
      <c r="EA379" s="19"/>
      <c r="EB379" s="19"/>
      <c r="EC379" s="19"/>
      <c r="ED379" s="19"/>
      <c r="EE379" s="19"/>
      <c r="EI379" s="542"/>
      <c r="EJ379" s="542"/>
      <c r="EK379" s="542"/>
      <c r="EL379" s="542"/>
      <c r="EM379" s="542"/>
      <c r="EN379" s="542"/>
      <c r="EO379" s="542"/>
      <c r="EP379" s="542"/>
      <c r="EQ379" s="542"/>
      <c r="ER379" s="19"/>
      <c r="ES379" s="569">
        <v>763</v>
      </c>
      <c r="ET379" t="s">
        <v>1615</v>
      </c>
      <c r="EU379" t="s">
        <v>1616</v>
      </c>
      <c r="EV379" t="s">
        <v>3141</v>
      </c>
      <c r="EW379" t="s">
        <v>54</v>
      </c>
      <c r="EX379" s="600">
        <v>56701</v>
      </c>
      <c r="EY379">
        <v>1679528194</v>
      </c>
    </row>
    <row r="380" spans="1:155" x14ac:dyDescent="0.2">
      <c r="A380" s="93"/>
      <c r="J380" s="543"/>
      <c r="K380" s="543"/>
      <c r="L380" s="543"/>
      <c r="M380" s="543"/>
      <c r="N380" s="543"/>
      <c r="O380" s="543"/>
      <c r="P380" s="543"/>
      <c r="Q380" s="543"/>
      <c r="R380" s="543"/>
      <c r="S380" s="543"/>
      <c r="T380" s="543"/>
      <c r="U380" s="543"/>
      <c r="V380" s="543"/>
      <c r="W380" s="543"/>
      <c r="X380" s="543"/>
      <c r="Y380" s="543"/>
      <c r="Z380" s="543"/>
      <c r="AA380" s="543"/>
      <c r="AB380" s="543"/>
      <c r="AC380" s="543"/>
      <c r="AD380" s="543"/>
      <c r="AE380" s="543"/>
      <c r="AF380" s="543"/>
      <c r="AG380" s="543"/>
      <c r="AH380" s="543"/>
      <c r="AI380" s="543"/>
      <c r="AJ380" s="543"/>
      <c r="AK380" s="543"/>
      <c r="AL380" s="543"/>
      <c r="AM380" s="543"/>
      <c r="AN380" s="543"/>
      <c r="AO380" s="543"/>
      <c r="AP380" s="543"/>
      <c r="AQ380" s="543"/>
      <c r="AR380" s="543"/>
      <c r="AS380" s="543"/>
      <c r="AT380" s="543"/>
      <c r="AU380" s="543"/>
      <c r="AV380" s="543"/>
      <c r="AW380" s="543"/>
      <c r="AX380" s="543"/>
      <c r="AY380" s="543"/>
      <c r="AZ380" s="543"/>
      <c r="BA380" s="543"/>
      <c r="BB380" s="543"/>
      <c r="BC380" s="543"/>
      <c r="BD380" s="543"/>
      <c r="BE380" s="543"/>
      <c r="BF380" s="543"/>
      <c r="BG380" s="543"/>
      <c r="BH380" s="543"/>
      <c r="BI380" s="543"/>
      <c r="BJ380" s="543"/>
      <c r="BK380" s="543"/>
      <c r="BL380" s="543"/>
      <c r="BM380" s="543"/>
      <c r="BN380" s="543"/>
      <c r="BO380" s="543"/>
      <c r="BP380" s="543"/>
      <c r="BQ380" s="543"/>
      <c r="BR380" s="543"/>
      <c r="BS380" s="543"/>
      <c r="BT380" s="543"/>
      <c r="BU380" s="543"/>
      <c r="BV380" s="543"/>
      <c r="BW380" s="543"/>
      <c r="BX380" s="543"/>
      <c r="BY380" s="543"/>
      <c r="BZ380" s="543"/>
      <c r="CA380" s="543"/>
      <c r="CB380" s="543"/>
      <c r="CC380" s="543"/>
      <c r="CD380" s="544"/>
      <c r="CE380" s="543"/>
      <c r="CF380" s="543"/>
      <c r="CG380" s="543"/>
      <c r="CH380" s="543"/>
      <c r="CI380" s="544"/>
      <c r="CJ380" s="543"/>
      <c r="CK380" s="543"/>
      <c r="CL380" s="543"/>
      <c r="CM380" s="543"/>
      <c r="CN380" s="545"/>
      <c r="CO380" s="543"/>
      <c r="CP380" s="543"/>
      <c r="CQ380" s="543"/>
      <c r="CR380" s="543"/>
      <c r="CS380" s="543"/>
      <c r="CT380" s="543"/>
      <c r="CU380" s="545"/>
      <c r="CV380" s="543"/>
      <c r="CW380" s="543"/>
      <c r="CX380" s="543"/>
      <c r="CY380" s="543"/>
      <c r="CZ380" s="543"/>
      <c r="DA380" s="543"/>
      <c r="DB380" s="543"/>
      <c r="DC380" s="543"/>
      <c r="DD380" s="543"/>
      <c r="DE380" s="543"/>
      <c r="DF380" s="543"/>
      <c r="DG380" s="543"/>
      <c r="DH380" s="543"/>
      <c r="DI380" s="543"/>
      <c r="DJ380" s="543"/>
      <c r="DK380" s="543"/>
      <c r="DL380" s="543"/>
      <c r="DM380" s="543"/>
      <c r="DN380" s="543"/>
      <c r="DO380" s="546"/>
      <c r="DP380" s="543"/>
      <c r="DQ380" s="543"/>
      <c r="DR380" s="543"/>
      <c r="DS380" s="543"/>
      <c r="DT380" s="543"/>
      <c r="DU380" s="543"/>
      <c r="DY380" s="546"/>
      <c r="DZ380" s="19"/>
      <c r="EA380" s="19"/>
      <c r="EB380" s="19"/>
      <c r="EC380" s="19"/>
      <c r="ED380" s="19"/>
      <c r="EE380" s="19"/>
      <c r="EI380" s="542"/>
      <c r="EJ380" s="542"/>
      <c r="EK380" s="542"/>
      <c r="EL380" s="542"/>
      <c r="EM380" s="542"/>
      <c r="EN380" s="542"/>
      <c r="EO380" s="542"/>
      <c r="EP380" s="542"/>
      <c r="EQ380" s="542"/>
      <c r="ER380" s="19"/>
      <c r="ES380" s="569">
        <v>156</v>
      </c>
      <c r="ET380" t="s">
        <v>1936</v>
      </c>
      <c r="EU380" t="s">
        <v>1937</v>
      </c>
      <c r="EV380" t="s">
        <v>2348</v>
      </c>
      <c r="EW380" t="s">
        <v>54</v>
      </c>
      <c r="EX380" s="599">
        <v>56175</v>
      </c>
      <c r="EY380">
        <v>1003851171</v>
      </c>
    </row>
    <row r="381" spans="1:155" x14ac:dyDescent="0.2">
      <c r="A381" s="93"/>
      <c r="J381" s="543"/>
      <c r="K381" s="543"/>
      <c r="L381" s="543"/>
      <c r="M381" s="543"/>
      <c r="N381" s="543"/>
      <c r="O381" s="543"/>
      <c r="P381" s="543"/>
      <c r="Q381" s="543"/>
      <c r="R381" s="543"/>
      <c r="S381" s="543"/>
      <c r="T381" s="543"/>
      <c r="U381" s="543"/>
      <c r="V381" s="543"/>
      <c r="W381" s="543"/>
      <c r="X381" s="543"/>
      <c r="Y381" s="543"/>
      <c r="Z381" s="543"/>
      <c r="AA381" s="543"/>
      <c r="AB381" s="543"/>
      <c r="AC381" s="543"/>
      <c r="AD381" s="543"/>
      <c r="AE381" s="543"/>
      <c r="AF381" s="543"/>
      <c r="AG381" s="543"/>
      <c r="AH381" s="543"/>
      <c r="AI381" s="543"/>
      <c r="AJ381" s="543"/>
      <c r="AK381" s="543"/>
      <c r="AL381" s="543"/>
      <c r="AM381" s="543"/>
      <c r="AN381" s="543"/>
      <c r="AO381" s="543"/>
      <c r="AP381" s="543"/>
      <c r="AQ381" s="543"/>
      <c r="AR381" s="543"/>
      <c r="AS381" s="543"/>
      <c r="AT381" s="543"/>
      <c r="AU381" s="543"/>
      <c r="AV381" s="543"/>
      <c r="AW381" s="543"/>
      <c r="AX381" s="543"/>
      <c r="AY381" s="543"/>
      <c r="AZ381" s="543"/>
      <c r="BA381" s="543"/>
      <c r="BB381" s="543"/>
      <c r="BC381" s="543"/>
      <c r="BD381" s="543"/>
      <c r="BE381" s="543"/>
      <c r="BF381" s="543"/>
      <c r="BG381" s="543"/>
      <c r="BH381" s="543"/>
      <c r="BI381" s="543"/>
      <c r="BJ381" s="543"/>
      <c r="BK381" s="543"/>
      <c r="BL381" s="543"/>
      <c r="BM381" s="543"/>
      <c r="BN381" s="543"/>
      <c r="BO381" s="543"/>
      <c r="BP381" s="543"/>
      <c r="BQ381" s="543"/>
      <c r="BR381" s="543"/>
      <c r="BS381" s="543"/>
      <c r="BT381" s="543"/>
      <c r="BU381" s="543"/>
      <c r="BV381" s="543"/>
      <c r="BW381" s="543"/>
      <c r="BX381" s="543"/>
      <c r="BY381" s="543"/>
      <c r="BZ381" s="543"/>
      <c r="CA381" s="543"/>
      <c r="CB381" s="543"/>
      <c r="CC381" s="543"/>
      <c r="CD381" s="544"/>
      <c r="CE381" s="543"/>
      <c r="CF381" s="543"/>
      <c r="CG381" s="543"/>
      <c r="CH381" s="543"/>
      <c r="CI381" s="544"/>
      <c r="CJ381" s="543"/>
      <c r="CK381" s="543"/>
      <c r="CL381" s="543"/>
      <c r="CM381" s="543"/>
      <c r="CN381" s="545"/>
      <c r="CO381" s="543"/>
      <c r="CP381" s="543"/>
      <c r="CQ381" s="543"/>
      <c r="CR381" s="543"/>
      <c r="CS381" s="543"/>
      <c r="CT381" s="543"/>
      <c r="CU381" s="543"/>
      <c r="CV381" s="543"/>
      <c r="CW381" s="543"/>
      <c r="CX381" s="543"/>
      <c r="CY381" s="543"/>
      <c r="CZ381" s="543"/>
      <c r="DA381" s="543"/>
      <c r="DB381" s="543"/>
      <c r="DC381" s="543"/>
      <c r="DD381" s="543"/>
      <c r="DE381" s="543"/>
      <c r="DF381" s="543"/>
      <c r="DG381" s="543"/>
      <c r="DH381" s="543"/>
      <c r="DI381" s="543"/>
      <c r="DJ381" s="543"/>
      <c r="DK381" s="543"/>
      <c r="DL381" s="543"/>
      <c r="DM381" s="543"/>
      <c r="DN381" s="543"/>
      <c r="DO381" s="546"/>
      <c r="DP381" s="543"/>
      <c r="DQ381" s="543"/>
      <c r="DR381" s="543"/>
      <c r="DS381" s="543"/>
      <c r="DT381" s="543"/>
      <c r="DU381" s="543"/>
      <c r="DY381" s="546"/>
      <c r="DZ381" s="19"/>
      <c r="EA381" s="19"/>
      <c r="EB381" s="19"/>
      <c r="EC381" s="19"/>
      <c r="ED381" s="19"/>
      <c r="EE381" s="19"/>
      <c r="EI381" s="542"/>
      <c r="EJ381" s="542"/>
      <c r="EK381" s="542"/>
      <c r="EL381" s="542"/>
      <c r="EM381" s="542"/>
      <c r="EN381" s="542"/>
      <c r="EO381" s="542"/>
      <c r="EP381" s="542"/>
      <c r="EQ381" s="542"/>
      <c r="ER381" s="19"/>
      <c r="ES381" s="569">
        <v>72</v>
      </c>
      <c r="ET381" t="s">
        <v>1938</v>
      </c>
      <c r="EU381" t="s">
        <v>1939</v>
      </c>
      <c r="EV381" t="s">
        <v>2349</v>
      </c>
      <c r="EW381" t="s">
        <v>54</v>
      </c>
      <c r="EX381" s="599">
        <v>55616</v>
      </c>
      <c r="EY381">
        <v>1023067642</v>
      </c>
    </row>
    <row r="382" spans="1:155" x14ac:dyDescent="0.2">
      <c r="A382" s="93"/>
      <c r="J382" s="543"/>
      <c r="K382" s="543"/>
      <c r="L382" s="543"/>
      <c r="M382" s="543"/>
      <c r="N382" s="543"/>
      <c r="O382" s="543"/>
      <c r="P382" s="543"/>
      <c r="Q382" s="543"/>
      <c r="R382" s="543"/>
      <c r="S382" s="543"/>
      <c r="T382" s="543"/>
      <c r="U382" s="543"/>
      <c r="V382" s="543"/>
      <c r="W382" s="543"/>
      <c r="X382" s="543"/>
      <c r="Y382" s="543"/>
      <c r="Z382" s="543"/>
      <c r="AA382" s="543"/>
      <c r="AB382" s="543"/>
      <c r="AC382" s="543"/>
      <c r="AD382" s="543"/>
      <c r="AE382" s="543"/>
      <c r="AF382" s="543"/>
      <c r="AG382" s="543"/>
      <c r="AH382" s="543"/>
      <c r="AI382" s="543"/>
      <c r="AJ382" s="543"/>
      <c r="AK382" s="543"/>
      <c r="AL382" s="543"/>
      <c r="AM382" s="543"/>
      <c r="AN382" s="543"/>
      <c r="AO382" s="543"/>
      <c r="AP382" s="543"/>
      <c r="AQ382" s="543"/>
      <c r="AR382" s="543"/>
      <c r="AS382" s="543"/>
      <c r="AT382" s="543"/>
      <c r="AU382" s="543"/>
      <c r="AV382" s="543"/>
      <c r="AW382" s="543"/>
      <c r="AX382" s="543"/>
      <c r="AY382" s="543"/>
      <c r="AZ382" s="543"/>
      <c r="BA382" s="543"/>
      <c r="BB382" s="543"/>
      <c r="BC382" s="543"/>
      <c r="BD382" s="543"/>
      <c r="BE382" s="543"/>
      <c r="BF382" s="543"/>
      <c r="BG382" s="543"/>
      <c r="BH382" s="543"/>
      <c r="BI382" s="543"/>
      <c r="BJ382" s="543"/>
      <c r="BK382" s="543"/>
      <c r="BL382" s="543"/>
      <c r="BM382" s="543"/>
      <c r="BN382" s="543"/>
      <c r="BO382" s="543"/>
      <c r="BP382" s="543"/>
      <c r="BQ382" s="543"/>
      <c r="BR382" s="543"/>
      <c r="BS382" s="543"/>
      <c r="BT382" s="543"/>
      <c r="BU382" s="543"/>
      <c r="BV382" s="543"/>
      <c r="BW382" s="543"/>
      <c r="BX382" s="543"/>
      <c r="BY382" s="543"/>
      <c r="BZ382" s="543"/>
      <c r="CA382" s="543"/>
      <c r="CB382" s="543"/>
      <c r="CC382" s="543"/>
      <c r="CD382" s="544"/>
      <c r="CE382" s="543"/>
      <c r="CF382" s="543"/>
      <c r="CG382" s="543"/>
      <c r="CH382" s="543"/>
      <c r="CI382" s="544"/>
      <c r="CJ382" s="543"/>
      <c r="CK382" s="543"/>
      <c r="CL382" s="543"/>
      <c r="CM382" s="543"/>
      <c r="CN382" s="545"/>
      <c r="CO382" s="543"/>
      <c r="CP382" s="543"/>
      <c r="CQ382" s="543"/>
      <c r="CR382" s="543"/>
      <c r="CS382" s="543"/>
      <c r="CT382" s="543"/>
      <c r="CU382" s="545"/>
      <c r="CV382" s="543"/>
      <c r="CW382" s="543"/>
      <c r="CX382" s="543"/>
      <c r="CY382" s="543"/>
      <c r="CZ382" s="543"/>
      <c r="DA382" s="543"/>
      <c r="DB382" s="543"/>
      <c r="DC382" s="543"/>
      <c r="DD382" s="543"/>
      <c r="DE382" s="543"/>
      <c r="DF382" s="543"/>
      <c r="DG382" s="543"/>
      <c r="DH382" s="543"/>
      <c r="DI382" s="543"/>
      <c r="DJ382" s="543"/>
      <c r="DK382" s="543"/>
      <c r="DL382" s="543"/>
      <c r="DM382" s="543"/>
      <c r="DN382" s="543"/>
      <c r="DO382" s="546"/>
      <c r="DP382" s="543"/>
      <c r="DQ382" s="543"/>
      <c r="DR382" s="543"/>
      <c r="DS382" s="543"/>
      <c r="DT382" s="543"/>
      <c r="DU382" s="543"/>
      <c r="DW382" s="552"/>
      <c r="DY382" s="546"/>
      <c r="DZ382" s="19"/>
      <c r="EA382" s="19"/>
      <c r="EB382" s="19"/>
      <c r="EC382" s="19"/>
      <c r="ED382" s="19"/>
      <c r="EE382" s="19"/>
      <c r="EI382" s="542"/>
      <c r="EJ382" s="542"/>
      <c r="EK382" s="542"/>
      <c r="EL382" s="542"/>
      <c r="EM382" s="542"/>
      <c r="EN382" s="542"/>
      <c r="EO382" s="542"/>
      <c r="EP382" s="542"/>
      <c r="EQ382" s="542"/>
      <c r="ER382" s="19"/>
      <c r="ES382" s="569">
        <v>1</v>
      </c>
      <c r="ET382" t="s">
        <v>2350</v>
      </c>
      <c r="EU382" t="s">
        <v>1940</v>
      </c>
      <c r="EV382" t="s">
        <v>2351</v>
      </c>
      <c r="EW382" t="s">
        <v>54</v>
      </c>
      <c r="EX382" s="599">
        <v>56178</v>
      </c>
      <c r="EY382">
        <v>1801840517</v>
      </c>
    </row>
    <row r="383" spans="1:155" x14ac:dyDescent="0.2">
      <c r="A383" s="93"/>
      <c r="J383" s="543"/>
      <c r="K383" s="543"/>
      <c r="L383" s="543"/>
      <c r="M383" s="543"/>
      <c r="N383" s="543"/>
      <c r="O383" s="543"/>
      <c r="P383" s="543"/>
      <c r="Q383" s="543"/>
      <c r="R383" s="543"/>
      <c r="S383" s="543"/>
      <c r="T383" s="543"/>
      <c r="U383" s="543"/>
      <c r="V383" s="543"/>
      <c r="W383" s="543"/>
      <c r="X383" s="543"/>
      <c r="Y383" s="543"/>
      <c r="Z383" s="543"/>
      <c r="AA383" s="543"/>
      <c r="AB383" s="543"/>
      <c r="AC383" s="543"/>
      <c r="AD383" s="543"/>
      <c r="AE383" s="543"/>
      <c r="AF383" s="543"/>
      <c r="AG383" s="543"/>
      <c r="AH383" s="543"/>
      <c r="AI383" s="543"/>
      <c r="AJ383" s="543"/>
      <c r="AK383" s="543"/>
      <c r="AL383" s="556"/>
      <c r="AM383" s="543"/>
      <c r="AN383" s="543"/>
      <c r="AO383" s="543"/>
      <c r="AP383" s="543"/>
      <c r="AQ383" s="543"/>
      <c r="AR383" s="543"/>
      <c r="AS383" s="543"/>
      <c r="AT383" s="543"/>
      <c r="AU383" s="543"/>
      <c r="AV383" s="543"/>
      <c r="AW383" s="543"/>
      <c r="AX383" s="543"/>
      <c r="AY383" s="543"/>
      <c r="AZ383" s="543"/>
      <c r="BA383" s="543"/>
      <c r="BB383" s="543"/>
      <c r="BC383" s="543"/>
      <c r="BD383" s="543"/>
      <c r="BE383" s="543"/>
      <c r="BF383" s="543"/>
      <c r="BG383" s="543"/>
      <c r="BH383" s="543"/>
      <c r="BI383" s="543"/>
      <c r="BJ383" s="543"/>
      <c r="BK383" s="543"/>
      <c r="BL383" s="543"/>
      <c r="BM383" s="543"/>
      <c r="BN383" s="543"/>
      <c r="BO383" s="543"/>
      <c r="BP383" s="543"/>
      <c r="BQ383" s="543"/>
      <c r="BR383" s="543"/>
      <c r="BS383" s="543"/>
      <c r="BT383" s="543"/>
      <c r="BU383" s="543"/>
      <c r="BV383" s="543"/>
      <c r="BW383" s="543"/>
      <c r="BX383" s="543"/>
      <c r="BY383" s="543"/>
      <c r="BZ383" s="543"/>
      <c r="CA383" s="543"/>
      <c r="CB383" s="543"/>
      <c r="CC383" s="543"/>
      <c r="CD383" s="544"/>
      <c r="CE383" s="543"/>
      <c r="CF383" s="543"/>
      <c r="CG383" s="543"/>
      <c r="CH383" s="543"/>
      <c r="CI383" s="544"/>
      <c r="CJ383" s="543"/>
      <c r="CK383" s="543"/>
      <c r="CL383" s="543"/>
      <c r="CM383" s="543"/>
      <c r="CN383" s="545"/>
      <c r="CO383" s="543"/>
      <c r="CP383" s="543"/>
      <c r="CQ383" s="543"/>
      <c r="CR383" s="543"/>
      <c r="CS383" s="543"/>
      <c r="CT383" s="543"/>
      <c r="CU383" s="545"/>
      <c r="CV383" s="543"/>
      <c r="CW383" s="543"/>
      <c r="CX383" s="543"/>
      <c r="CY383" s="543"/>
      <c r="CZ383" s="543"/>
      <c r="DA383" s="543"/>
      <c r="DB383" s="543"/>
      <c r="DC383" s="543"/>
      <c r="DD383" s="543"/>
      <c r="DE383" s="543"/>
      <c r="DF383" s="543"/>
      <c r="DG383" s="543"/>
      <c r="DH383" s="543"/>
      <c r="DI383" s="543"/>
      <c r="DJ383" s="543"/>
      <c r="DK383" s="543"/>
      <c r="DL383" s="543"/>
      <c r="DM383" s="543"/>
      <c r="DN383" s="543"/>
      <c r="DO383" s="546"/>
      <c r="DP383" s="543"/>
      <c r="DQ383" s="543"/>
      <c r="DR383" s="543"/>
      <c r="DS383" s="543"/>
      <c r="DT383" s="543"/>
      <c r="DU383" s="543"/>
      <c r="DY383" s="546"/>
      <c r="DZ383" s="19"/>
      <c r="EA383" s="19"/>
      <c r="EB383" s="19"/>
      <c r="EC383" s="19"/>
      <c r="ED383" s="19"/>
      <c r="EE383" s="19"/>
      <c r="EI383" s="542"/>
      <c r="EJ383" s="542"/>
      <c r="EK383" s="542"/>
      <c r="EL383" s="542"/>
      <c r="EM383" s="542"/>
      <c r="EN383" s="542"/>
      <c r="EO383" s="542"/>
      <c r="EP383" s="542"/>
      <c r="EQ383" s="542"/>
      <c r="ER383" s="19"/>
      <c r="ES383" s="569">
        <v>1153</v>
      </c>
      <c r="ET383" t="s">
        <v>756</v>
      </c>
      <c r="EU383" t="s">
        <v>757</v>
      </c>
      <c r="EV383" t="s">
        <v>3142</v>
      </c>
      <c r="EW383" t="s">
        <v>54</v>
      </c>
      <c r="EX383" s="600">
        <v>55110</v>
      </c>
      <c r="EY383">
        <v>1861798654</v>
      </c>
    </row>
    <row r="384" spans="1:155" x14ac:dyDescent="0.2">
      <c r="A384" s="93"/>
      <c r="J384" s="543"/>
      <c r="K384" s="543"/>
      <c r="L384" s="543"/>
      <c r="M384" s="543"/>
      <c r="N384" s="543"/>
      <c r="O384" s="543"/>
      <c r="P384" s="543"/>
      <c r="Q384" s="543"/>
      <c r="R384" s="543"/>
      <c r="S384" s="543"/>
      <c r="T384" s="543"/>
      <c r="U384" s="543"/>
      <c r="V384" s="543"/>
      <c r="W384" s="543"/>
      <c r="X384" s="543"/>
      <c r="Y384" s="543"/>
      <c r="Z384" s="543"/>
      <c r="AA384" s="543"/>
      <c r="AB384" s="543"/>
      <c r="AC384" s="543"/>
      <c r="AD384" s="543"/>
      <c r="AE384" s="543"/>
      <c r="AF384" s="543"/>
      <c r="AG384" s="543"/>
      <c r="AH384" s="543"/>
      <c r="AI384" s="543"/>
      <c r="AJ384" s="543"/>
      <c r="AK384" s="543"/>
      <c r="AL384" s="543"/>
      <c r="AM384" s="543"/>
      <c r="AN384" s="543"/>
      <c r="AO384" s="543"/>
      <c r="AP384" s="543"/>
      <c r="AQ384" s="543"/>
      <c r="AR384" s="543"/>
      <c r="AS384" s="543"/>
      <c r="AT384" s="543"/>
      <c r="AU384" s="543"/>
      <c r="AV384" s="543"/>
      <c r="AW384" s="543"/>
      <c r="AX384" s="543"/>
      <c r="AY384" s="543"/>
      <c r="AZ384" s="543"/>
      <c r="BA384" s="543"/>
      <c r="BB384" s="543"/>
      <c r="BC384" s="543"/>
      <c r="BD384" s="543"/>
      <c r="BE384" s="543"/>
      <c r="BF384" s="543"/>
      <c r="BG384" s="543"/>
      <c r="BH384" s="543"/>
      <c r="BI384" s="543"/>
      <c r="BJ384" s="543"/>
      <c r="BK384" s="543"/>
      <c r="BL384" s="543"/>
      <c r="BM384" s="543"/>
      <c r="BN384" s="543"/>
      <c r="BO384" s="543"/>
      <c r="BP384" s="543"/>
      <c r="BQ384" s="543"/>
      <c r="BR384" s="543"/>
      <c r="BS384" s="543"/>
      <c r="BT384" s="543"/>
      <c r="BU384" s="543"/>
      <c r="BV384" s="543"/>
      <c r="BW384" s="543"/>
      <c r="BX384" s="543"/>
      <c r="BY384" s="543"/>
      <c r="BZ384" s="543"/>
      <c r="CA384" s="543"/>
      <c r="CB384" s="543"/>
      <c r="CC384" s="543"/>
      <c r="CD384" s="544"/>
      <c r="CE384" s="543"/>
      <c r="CF384" s="543"/>
      <c r="CG384" s="543"/>
      <c r="CH384" s="543"/>
      <c r="CI384" s="544"/>
      <c r="CJ384" s="543"/>
      <c r="CK384" s="543"/>
      <c r="CL384" s="543"/>
      <c r="CM384" s="543"/>
      <c r="CN384" s="545"/>
      <c r="CO384" s="543"/>
      <c r="CP384" s="545"/>
      <c r="CQ384" s="543"/>
      <c r="CR384" s="543"/>
      <c r="CS384" s="543"/>
      <c r="CT384" s="543"/>
      <c r="CU384" s="543"/>
      <c r="CV384" s="543"/>
      <c r="CW384" s="543"/>
      <c r="CX384" s="543"/>
      <c r="CY384" s="543"/>
      <c r="CZ384" s="543"/>
      <c r="DA384" s="543"/>
      <c r="DB384" s="543"/>
      <c r="DC384" s="543"/>
      <c r="DD384" s="543"/>
      <c r="DE384" s="543"/>
      <c r="DF384" s="543"/>
      <c r="DG384" s="543"/>
      <c r="DH384" s="543"/>
      <c r="DI384" s="543"/>
      <c r="DJ384" s="543"/>
      <c r="DK384" s="543"/>
      <c r="DL384" s="543"/>
      <c r="DM384" s="543"/>
      <c r="DN384" s="543"/>
      <c r="DO384" s="546"/>
      <c r="DP384" s="543"/>
      <c r="DQ384" s="543"/>
      <c r="DR384" s="543"/>
      <c r="DS384" s="543"/>
      <c r="DT384" s="543"/>
      <c r="DU384" s="543"/>
      <c r="DY384" s="546"/>
      <c r="DZ384" s="19"/>
      <c r="EA384" s="19"/>
      <c r="EB384" s="19"/>
      <c r="EC384" s="19"/>
      <c r="ED384" s="19"/>
      <c r="EE384" s="19"/>
      <c r="EI384" s="542"/>
      <c r="EJ384" s="542"/>
      <c r="EK384" s="542"/>
      <c r="EL384" s="542"/>
      <c r="EM384" s="542"/>
      <c r="EN384" s="542"/>
      <c r="EO384" s="542"/>
      <c r="EP384" s="542"/>
      <c r="EQ384" s="542"/>
      <c r="ER384" s="19"/>
      <c r="ES384" s="569">
        <v>1385</v>
      </c>
      <c r="ET384" t="s">
        <v>2803</v>
      </c>
      <c r="EU384" t="s">
        <v>757</v>
      </c>
      <c r="EV384" t="s">
        <v>3143</v>
      </c>
      <c r="EW384" t="s">
        <v>54</v>
      </c>
      <c r="EX384" s="600">
        <v>55127</v>
      </c>
      <c r="EY384">
        <v>1821195959</v>
      </c>
    </row>
    <row r="385" spans="1:155" x14ac:dyDescent="0.2">
      <c r="A385" s="93"/>
      <c r="J385" s="543"/>
      <c r="K385" s="543"/>
      <c r="L385" s="543"/>
      <c r="M385" s="543"/>
      <c r="N385" s="543"/>
      <c r="O385" s="543"/>
      <c r="P385" s="543"/>
      <c r="Q385" s="543"/>
      <c r="R385" s="543"/>
      <c r="S385" s="543"/>
      <c r="T385" s="543"/>
      <c r="U385" s="543"/>
      <c r="V385" s="543"/>
      <c r="W385" s="543"/>
      <c r="X385" s="543"/>
      <c r="Y385" s="543"/>
      <c r="Z385" s="543"/>
      <c r="AA385" s="543"/>
      <c r="AB385" s="543"/>
      <c r="AC385" s="543"/>
      <c r="AD385" s="543"/>
      <c r="AE385" s="543"/>
      <c r="AF385" s="543"/>
      <c r="AG385" s="543"/>
      <c r="AH385" s="543"/>
      <c r="AI385" s="543"/>
      <c r="AJ385" s="543"/>
      <c r="AK385" s="543"/>
      <c r="AL385" s="543"/>
      <c r="AM385" s="543"/>
      <c r="AN385" s="543"/>
      <c r="AO385" s="543"/>
      <c r="AP385" s="543"/>
      <c r="AQ385" s="543"/>
      <c r="AR385" s="543"/>
      <c r="AS385" s="543"/>
      <c r="AT385" s="543"/>
      <c r="AU385" s="543"/>
      <c r="AV385" s="543"/>
      <c r="AW385" s="543"/>
      <c r="AX385" s="543"/>
      <c r="AY385" s="543"/>
      <c r="AZ385" s="543"/>
      <c r="BA385" s="543"/>
      <c r="BB385" s="543"/>
      <c r="BC385" s="543"/>
      <c r="BD385" s="543"/>
      <c r="BE385" s="543"/>
      <c r="BF385" s="543"/>
      <c r="BG385" s="543"/>
      <c r="BH385" s="543"/>
      <c r="BI385" s="543"/>
      <c r="BJ385" s="543"/>
      <c r="BK385" s="543"/>
      <c r="BL385" s="543"/>
      <c r="BM385" s="543"/>
      <c r="BN385" s="543"/>
      <c r="BO385" s="543"/>
      <c r="BP385" s="543"/>
      <c r="BQ385" s="543"/>
      <c r="BR385" s="543"/>
      <c r="BS385" s="543"/>
      <c r="BT385" s="543"/>
      <c r="BU385" s="543"/>
      <c r="BV385" s="543"/>
      <c r="BW385" s="543"/>
      <c r="BX385" s="543"/>
      <c r="BY385" s="543"/>
      <c r="BZ385" s="543"/>
      <c r="CA385" s="543"/>
      <c r="CB385" s="543"/>
      <c r="CC385" s="543"/>
      <c r="CD385" s="544"/>
      <c r="CE385" s="543"/>
      <c r="CF385" s="543"/>
      <c r="CG385" s="543"/>
      <c r="CH385" s="543"/>
      <c r="CI385" s="544"/>
      <c r="CJ385" s="543"/>
      <c r="CK385" s="543"/>
      <c r="CL385" s="543"/>
      <c r="CM385" s="543"/>
      <c r="CN385" s="545"/>
      <c r="CO385" s="543"/>
      <c r="CP385" s="543"/>
      <c r="CQ385" s="543"/>
      <c r="CR385" s="543"/>
      <c r="CS385" s="543"/>
      <c r="CT385" s="543"/>
      <c r="CU385" s="545"/>
      <c r="CV385" s="543"/>
      <c r="CW385" s="543"/>
      <c r="CX385" s="543"/>
      <c r="CY385" s="543"/>
      <c r="CZ385" s="543"/>
      <c r="DA385" s="543"/>
      <c r="DB385" s="543"/>
      <c r="DC385" s="543"/>
      <c r="DD385" s="543"/>
      <c r="DE385" s="543"/>
      <c r="DF385" s="543"/>
      <c r="DG385" s="543"/>
      <c r="DH385" s="543"/>
      <c r="DI385" s="543"/>
      <c r="DJ385" s="543"/>
      <c r="DK385" s="543"/>
      <c r="DL385" s="543"/>
      <c r="DM385" s="545"/>
      <c r="DN385" s="543"/>
      <c r="DO385" s="546"/>
      <c r="DP385" s="543"/>
      <c r="DQ385" s="543"/>
      <c r="DR385" s="543"/>
      <c r="DS385" s="543"/>
      <c r="DT385" s="543"/>
      <c r="DU385" s="543"/>
      <c r="DW385" s="552"/>
      <c r="DY385" s="546"/>
      <c r="DZ385" s="19"/>
      <c r="EA385" s="19"/>
      <c r="EB385" s="19"/>
      <c r="EC385" s="19"/>
      <c r="ED385" s="19"/>
      <c r="EE385" s="19"/>
      <c r="EI385" s="542"/>
      <c r="EJ385" s="542"/>
      <c r="EK385" s="542"/>
      <c r="EL385" s="542"/>
      <c r="EM385" s="542"/>
      <c r="EN385" s="542"/>
      <c r="EO385" s="542"/>
      <c r="EP385" s="542"/>
      <c r="EQ385" s="542"/>
      <c r="ER385" s="19"/>
      <c r="ES385" s="569">
        <v>1020</v>
      </c>
      <c r="ET385" t="s">
        <v>1779</v>
      </c>
      <c r="EU385" t="s">
        <v>757</v>
      </c>
      <c r="EV385" t="s">
        <v>3144</v>
      </c>
      <c r="EW385" t="s">
        <v>54</v>
      </c>
      <c r="EX385" s="600">
        <v>55110</v>
      </c>
      <c r="EY385">
        <v>1134468465</v>
      </c>
    </row>
    <row r="386" spans="1:155" x14ac:dyDescent="0.2">
      <c r="A386" s="93"/>
      <c r="J386" s="543"/>
      <c r="K386" s="543"/>
      <c r="L386" s="543"/>
      <c r="M386" s="543"/>
      <c r="N386" s="543"/>
      <c r="O386" s="543"/>
      <c r="P386" s="543"/>
      <c r="Q386" s="543"/>
      <c r="R386" s="543"/>
      <c r="S386" s="543"/>
      <c r="T386" s="543"/>
      <c r="U386" s="543"/>
      <c r="V386" s="543"/>
      <c r="W386" s="543"/>
      <c r="X386" s="543"/>
      <c r="Y386" s="543"/>
      <c r="Z386" s="543"/>
      <c r="AA386" s="543"/>
      <c r="AB386" s="543"/>
      <c r="AC386" s="543"/>
      <c r="AD386" s="543"/>
      <c r="AE386" s="543"/>
      <c r="AF386" s="543"/>
      <c r="AG386" s="543"/>
      <c r="AH386" s="543"/>
      <c r="AI386" s="543"/>
      <c r="AJ386" s="543"/>
      <c r="AK386" s="543"/>
      <c r="AL386" s="543"/>
      <c r="AM386" s="543"/>
      <c r="AN386" s="543"/>
      <c r="AO386" s="543"/>
      <c r="AP386" s="543"/>
      <c r="AQ386" s="543"/>
      <c r="AR386" s="543"/>
      <c r="AS386" s="543"/>
      <c r="AT386" s="543"/>
      <c r="AU386" s="543"/>
      <c r="AV386" s="543"/>
      <c r="AW386" s="543"/>
      <c r="AX386" s="543"/>
      <c r="AY386" s="543"/>
      <c r="AZ386" s="543"/>
      <c r="BA386" s="543"/>
      <c r="BB386" s="543"/>
      <c r="BC386" s="543"/>
      <c r="BD386" s="543"/>
      <c r="BE386" s="543"/>
      <c r="BF386" s="543"/>
      <c r="BG386" s="543"/>
      <c r="BH386" s="543"/>
      <c r="BI386" s="543"/>
      <c r="BJ386" s="543"/>
      <c r="BK386" s="543"/>
      <c r="BL386" s="543"/>
      <c r="BM386" s="543"/>
      <c r="BN386" s="543"/>
      <c r="BO386" s="543"/>
      <c r="BP386" s="543"/>
      <c r="BQ386" s="543"/>
      <c r="BR386" s="543"/>
      <c r="BS386" s="543"/>
      <c r="BT386" s="543"/>
      <c r="BU386" s="543"/>
      <c r="BV386" s="543"/>
      <c r="BW386" s="543"/>
      <c r="BX386" s="543"/>
      <c r="BY386" s="543"/>
      <c r="BZ386" s="543"/>
      <c r="CA386" s="543"/>
      <c r="CB386" s="543"/>
      <c r="CC386" s="543"/>
      <c r="CD386" s="544"/>
      <c r="CE386" s="543"/>
      <c r="CF386" s="543"/>
      <c r="CG386" s="543"/>
      <c r="CH386" s="543"/>
      <c r="CI386" s="544"/>
      <c r="CJ386" s="543"/>
      <c r="CK386" s="543"/>
      <c r="CL386" s="543"/>
      <c r="CM386" s="543"/>
      <c r="CN386" s="545"/>
      <c r="CO386" s="543"/>
      <c r="CP386" s="543"/>
      <c r="CQ386" s="543"/>
      <c r="CR386" s="543"/>
      <c r="CS386" s="543"/>
      <c r="CT386" s="543"/>
      <c r="CU386" s="545"/>
      <c r="CV386" s="543"/>
      <c r="CW386" s="543"/>
      <c r="CX386" s="543"/>
      <c r="CY386" s="543"/>
      <c r="CZ386" s="543"/>
      <c r="DA386" s="543"/>
      <c r="DB386" s="543"/>
      <c r="DC386" s="543"/>
      <c r="DD386" s="543"/>
      <c r="DE386" s="543"/>
      <c r="DF386" s="543"/>
      <c r="DG386" s="543"/>
      <c r="DH386" s="543"/>
      <c r="DI386" s="543"/>
      <c r="DJ386" s="543"/>
      <c r="DK386" s="543"/>
      <c r="DL386" s="543"/>
      <c r="DM386" s="543"/>
      <c r="DN386" s="543"/>
      <c r="DO386" s="546"/>
      <c r="DP386" s="543"/>
      <c r="DQ386" s="543"/>
      <c r="DR386" s="543"/>
      <c r="DS386" s="543"/>
      <c r="DT386" s="543"/>
      <c r="DU386" s="543"/>
      <c r="DW386" s="552"/>
      <c r="DY386" s="546"/>
      <c r="DZ386" s="19"/>
      <c r="EA386" s="19"/>
      <c r="EB386" s="19"/>
      <c r="EC386" s="19"/>
      <c r="ED386" s="19"/>
      <c r="EE386" s="19"/>
      <c r="EI386" s="542"/>
      <c r="EJ386" s="542"/>
      <c r="EK386" s="542"/>
      <c r="EL386" s="542"/>
      <c r="EM386" s="542"/>
      <c r="EN386" s="542"/>
      <c r="EO386" s="542"/>
      <c r="EP386" s="542"/>
      <c r="EQ386" s="542"/>
      <c r="ER386" s="19"/>
      <c r="ES386" s="569">
        <v>1058</v>
      </c>
      <c r="ET386" t="s">
        <v>1789</v>
      </c>
      <c r="EU386" t="s">
        <v>757</v>
      </c>
      <c r="EV386" t="s">
        <v>3145</v>
      </c>
      <c r="EW386" t="s">
        <v>54</v>
      </c>
      <c r="EX386" s="600">
        <v>55127</v>
      </c>
      <c r="EY386">
        <v>1306899463</v>
      </c>
    </row>
    <row r="387" spans="1:155" x14ac:dyDescent="0.2">
      <c r="A387" s="93"/>
      <c r="J387" s="543"/>
      <c r="K387" s="543"/>
      <c r="L387" s="543"/>
      <c r="M387" s="543"/>
      <c r="N387" s="543"/>
      <c r="O387" s="543"/>
      <c r="P387" s="543"/>
      <c r="Q387" s="543"/>
      <c r="R387" s="543"/>
      <c r="S387" s="543"/>
      <c r="T387" s="543"/>
      <c r="U387" s="543"/>
      <c r="V387" s="543"/>
      <c r="W387" s="543"/>
      <c r="X387" s="543"/>
      <c r="Y387" s="543"/>
      <c r="Z387" s="543"/>
      <c r="AA387" s="543"/>
      <c r="AB387" s="543"/>
      <c r="AC387" s="543"/>
      <c r="AD387" s="543"/>
      <c r="AE387" s="543"/>
      <c r="AF387" s="543"/>
      <c r="AG387" s="543"/>
      <c r="AH387" s="543"/>
      <c r="AI387" s="543"/>
      <c r="AJ387" s="543"/>
      <c r="AK387" s="543"/>
      <c r="AL387" s="543"/>
      <c r="AM387" s="543"/>
      <c r="AN387" s="543"/>
      <c r="AO387" s="543"/>
      <c r="AP387" s="543"/>
      <c r="AQ387" s="543"/>
      <c r="AR387" s="543"/>
      <c r="AS387" s="543"/>
      <c r="AT387" s="543"/>
      <c r="AU387" s="543"/>
      <c r="AV387" s="543"/>
      <c r="AW387" s="543"/>
      <c r="AX387" s="543"/>
      <c r="AY387" s="543"/>
      <c r="AZ387" s="543"/>
      <c r="BA387" s="543"/>
      <c r="BB387" s="543"/>
      <c r="BC387" s="543"/>
      <c r="BD387" s="543"/>
      <c r="BE387" s="543"/>
      <c r="BF387" s="543"/>
      <c r="BG387" s="543"/>
      <c r="BH387" s="543"/>
      <c r="BI387" s="543"/>
      <c r="BJ387" s="543"/>
      <c r="BK387" s="543"/>
      <c r="BL387" s="543"/>
      <c r="BM387" s="543"/>
      <c r="BN387" s="543"/>
      <c r="BO387" s="543"/>
      <c r="BP387" s="543"/>
      <c r="BQ387" s="543"/>
      <c r="BR387" s="543"/>
      <c r="BS387" s="543"/>
      <c r="BT387" s="543"/>
      <c r="BU387" s="543"/>
      <c r="BV387" s="543"/>
      <c r="BW387" s="543"/>
      <c r="BX387" s="543"/>
      <c r="BY387" s="543"/>
      <c r="BZ387" s="543"/>
      <c r="CA387" s="543"/>
      <c r="CB387" s="543"/>
      <c r="CC387" s="543"/>
      <c r="CD387" s="544"/>
      <c r="CE387" s="543"/>
      <c r="CF387" s="543"/>
      <c r="CG387" s="543"/>
      <c r="CH387" s="543"/>
      <c r="CI387" s="544"/>
      <c r="CJ387" s="543"/>
      <c r="CK387" s="543"/>
      <c r="CL387" s="543"/>
      <c r="CM387" s="543"/>
      <c r="CN387" s="545"/>
      <c r="CO387" s="543"/>
      <c r="CP387" s="543"/>
      <c r="CQ387" s="543"/>
      <c r="CR387" s="543"/>
      <c r="CS387" s="543"/>
      <c r="CT387" s="543"/>
      <c r="CU387" s="545"/>
      <c r="CV387" s="543"/>
      <c r="CW387" s="545"/>
      <c r="CX387" s="543"/>
      <c r="CY387" s="543"/>
      <c r="CZ387" s="543"/>
      <c r="DA387" s="543"/>
      <c r="DB387" s="545"/>
      <c r="DC387" s="543"/>
      <c r="DD387" s="543"/>
      <c r="DE387" s="543"/>
      <c r="DF387" s="543"/>
      <c r="DG387" s="543"/>
      <c r="DH387" s="543"/>
      <c r="DI387" s="543"/>
      <c r="DJ387" s="543"/>
      <c r="DK387" s="543"/>
      <c r="DL387" s="543"/>
      <c r="DM387" s="543"/>
      <c r="DN387" s="543"/>
      <c r="DO387" s="546"/>
      <c r="DP387" s="543"/>
      <c r="DQ387" s="543"/>
      <c r="DR387" s="543"/>
      <c r="DS387" s="543"/>
      <c r="DT387" s="543"/>
      <c r="DU387" s="543"/>
      <c r="DY387" s="546"/>
      <c r="DZ387" s="19"/>
      <c r="EA387" s="19"/>
      <c r="EB387" s="19"/>
      <c r="EC387" s="19"/>
      <c r="ED387" s="19"/>
      <c r="EE387" s="19"/>
      <c r="EI387" s="542"/>
      <c r="EJ387" s="542"/>
      <c r="EK387" s="542"/>
      <c r="EL387" s="542"/>
      <c r="EM387" s="542"/>
      <c r="EN387" s="542"/>
      <c r="EO387" s="542"/>
      <c r="EP387" s="542"/>
      <c r="EQ387" s="542"/>
      <c r="ER387" s="554"/>
      <c r="ES387" s="569">
        <v>167</v>
      </c>
      <c r="ET387" t="s">
        <v>1941</v>
      </c>
      <c r="EU387" t="s">
        <v>1666</v>
      </c>
      <c r="EV387" t="s">
        <v>2352</v>
      </c>
      <c r="EW387" t="s">
        <v>54</v>
      </c>
      <c r="EX387" s="599">
        <v>55792</v>
      </c>
      <c r="EY387">
        <v>1083617120</v>
      </c>
    </row>
    <row r="388" spans="1:155" x14ac:dyDescent="0.2">
      <c r="A388" s="546"/>
      <c r="B388" s="554"/>
      <c r="C388" s="554"/>
      <c r="D388" s="543"/>
      <c r="E388" s="543"/>
      <c r="F388" s="543"/>
      <c r="G388" s="543"/>
      <c r="H388" s="543"/>
      <c r="I388" s="543"/>
      <c r="J388" s="543"/>
      <c r="K388" s="543"/>
      <c r="L388" s="543"/>
      <c r="M388" s="543"/>
      <c r="N388" s="543"/>
      <c r="O388" s="543"/>
      <c r="P388" s="543"/>
      <c r="Q388" s="543"/>
      <c r="R388" s="543"/>
      <c r="S388" s="543"/>
      <c r="T388" s="543"/>
      <c r="U388" s="543"/>
      <c r="V388" s="543"/>
      <c r="W388" s="543"/>
      <c r="X388" s="543"/>
      <c r="Y388" s="543"/>
      <c r="Z388" s="543"/>
      <c r="AA388" s="543"/>
      <c r="AB388" s="543"/>
      <c r="AC388" s="543"/>
      <c r="AD388" s="543"/>
      <c r="AE388" s="543"/>
      <c r="AF388" s="543"/>
      <c r="AG388" s="543"/>
      <c r="AH388" s="543"/>
      <c r="AI388" s="543"/>
      <c r="AJ388" s="543"/>
      <c r="AK388" s="543"/>
      <c r="AL388" s="543"/>
      <c r="AM388" s="543"/>
      <c r="AN388" s="543"/>
      <c r="AO388" s="543"/>
      <c r="AP388" s="543"/>
      <c r="AQ388" s="543"/>
      <c r="AR388" s="543"/>
      <c r="AS388" s="543"/>
      <c r="AT388" s="543"/>
      <c r="AU388" s="543"/>
      <c r="AV388" s="543"/>
      <c r="AW388" s="543"/>
      <c r="AX388" s="543"/>
      <c r="AY388" s="543"/>
      <c r="AZ388" s="543"/>
      <c r="BA388" s="543"/>
      <c r="BB388" s="543"/>
      <c r="BC388" s="543"/>
      <c r="BD388" s="543"/>
      <c r="BE388" s="543"/>
      <c r="BF388" s="543"/>
      <c r="BG388" s="543"/>
      <c r="BH388" s="543"/>
      <c r="BI388" s="543"/>
      <c r="BJ388" s="543"/>
      <c r="BK388" s="543"/>
      <c r="BL388" s="543"/>
      <c r="BM388" s="543"/>
      <c r="BN388" s="543"/>
      <c r="BO388" s="543"/>
      <c r="BP388" s="543"/>
      <c r="BQ388" s="543"/>
      <c r="BR388" s="543"/>
      <c r="BS388" s="543"/>
      <c r="BT388" s="543"/>
      <c r="BU388" s="543"/>
      <c r="BV388" s="543"/>
      <c r="BW388" s="543"/>
      <c r="BX388" s="543"/>
      <c r="BY388" s="543"/>
      <c r="BZ388" s="543"/>
      <c r="CA388" s="543"/>
      <c r="CB388" s="543"/>
      <c r="CC388" s="543"/>
      <c r="CD388" s="544"/>
      <c r="CE388" s="543"/>
      <c r="CF388" s="543"/>
      <c r="CG388" s="543"/>
      <c r="CH388" s="543"/>
      <c r="CI388" s="544"/>
      <c r="CJ388" s="543"/>
      <c r="CK388" s="543"/>
      <c r="CL388" s="543"/>
      <c r="CM388" s="543"/>
      <c r="CN388" s="545"/>
      <c r="CO388" s="543"/>
      <c r="CP388" s="543"/>
      <c r="CQ388" s="543"/>
      <c r="CR388" s="543"/>
      <c r="CS388" s="543"/>
      <c r="CT388" s="543"/>
      <c r="CU388" s="545"/>
      <c r="CV388" s="543"/>
      <c r="CW388" s="543"/>
      <c r="CX388" s="543"/>
      <c r="CY388" s="543"/>
      <c r="CZ388" s="543"/>
      <c r="DA388" s="543"/>
      <c r="DB388" s="545"/>
      <c r="DC388" s="543"/>
      <c r="DD388" s="543"/>
      <c r="DE388" s="543"/>
      <c r="DF388" s="543"/>
      <c r="DG388" s="543"/>
      <c r="DH388" s="543"/>
      <c r="DI388" s="543"/>
      <c r="DJ388" s="543"/>
      <c r="DK388" s="543"/>
      <c r="DL388" s="543"/>
      <c r="DM388" s="543"/>
      <c r="DN388" s="543"/>
      <c r="DO388" s="546"/>
      <c r="DP388" s="543"/>
      <c r="DQ388" s="543"/>
      <c r="DR388" s="543"/>
      <c r="DS388" s="543"/>
      <c r="DT388" s="543"/>
      <c r="DU388" s="543"/>
      <c r="DY388" s="546"/>
      <c r="DZ388" s="19"/>
      <c r="EA388" s="19"/>
      <c r="EB388" s="19"/>
      <c r="EC388" s="19"/>
      <c r="ED388" s="19"/>
      <c r="EE388" s="19"/>
      <c r="EI388" s="542"/>
      <c r="EJ388" s="542"/>
      <c r="EK388" s="542"/>
      <c r="EL388" s="542"/>
      <c r="EM388" s="542"/>
      <c r="EN388" s="542"/>
      <c r="EO388" s="542"/>
      <c r="EP388" s="542"/>
      <c r="EQ388" s="542"/>
      <c r="ER388" s="19"/>
      <c r="ES388" s="569">
        <v>1059</v>
      </c>
      <c r="ET388" t="s">
        <v>1665</v>
      </c>
      <c r="EU388" t="s">
        <v>1666</v>
      </c>
      <c r="EV388" t="s">
        <v>3146</v>
      </c>
      <c r="EW388" t="s">
        <v>54</v>
      </c>
      <c r="EX388" s="600">
        <v>55792</v>
      </c>
      <c r="EY388">
        <v>1063464154</v>
      </c>
    </row>
    <row r="389" spans="1:155" x14ac:dyDescent="0.2">
      <c r="A389" s="546"/>
      <c r="B389" s="19"/>
      <c r="C389" s="19"/>
      <c r="D389" s="543"/>
      <c r="E389" s="543"/>
      <c r="F389" s="543"/>
      <c r="G389" s="543"/>
      <c r="H389" s="543"/>
      <c r="I389" s="543"/>
      <c r="J389" s="543"/>
      <c r="K389" s="543"/>
      <c r="L389" s="543"/>
      <c r="M389" s="543"/>
      <c r="N389" s="543"/>
      <c r="O389" s="543"/>
      <c r="P389" s="543"/>
      <c r="Q389" s="543"/>
      <c r="R389" s="543"/>
      <c r="S389" s="543"/>
      <c r="T389" s="543"/>
      <c r="U389" s="543"/>
      <c r="V389" s="543"/>
      <c r="W389" s="543"/>
      <c r="X389" s="543"/>
      <c r="Y389" s="543"/>
      <c r="Z389" s="543"/>
      <c r="AA389" s="543"/>
      <c r="AB389" s="543"/>
      <c r="AC389" s="543"/>
      <c r="AD389" s="543"/>
      <c r="AE389" s="543"/>
      <c r="AF389" s="543"/>
      <c r="AG389" s="543"/>
      <c r="AH389" s="543"/>
      <c r="AI389" s="543"/>
      <c r="AJ389" s="543"/>
      <c r="AK389" s="543"/>
      <c r="AL389" s="543"/>
      <c r="AM389" s="543"/>
      <c r="AN389" s="543"/>
      <c r="AO389" s="543"/>
      <c r="AP389" s="543"/>
      <c r="AQ389" s="543"/>
      <c r="AR389" s="543"/>
      <c r="AS389" s="543"/>
      <c r="AT389" s="543"/>
      <c r="AU389" s="543"/>
      <c r="AV389" s="543"/>
      <c r="AW389" s="543"/>
      <c r="AX389" s="543"/>
      <c r="AY389" s="543"/>
      <c r="AZ389" s="543"/>
      <c r="BA389" s="543"/>
      <c r="BB389" s="543"/>
      <c r="BC389" s="543"/>
      <c r="BD389" s="543"/>
      <c r="BE389" s="543"/>
      <c r="BF389" s="543"/>
      <c r="BG389" s="543"/>
      <c r="BH389" s="543"/>
      <c r="BI389" s="543"/>
      <c r="BJ389" s="543"/>
      <c r="BK389" s="543"/>
      <c r="BL389" s="543"/>
      <c r="BM389" s="543"/>
      <c r="BN389" s="543"/>
      <c r="BO389" s="543"/>
      <c r="BP389" s="543"/>
      <c r="BQ389" s="543"/>
      <c r="BR389" s="543"/>
      <c r="BS389" s="543"/>
      <c r="BT389" s="543"/>
      <c r="BU389" s="543"/>
      <c r="BV389" s="543"/>
      <c r="BW389" s="543"/>
      <c r="BX389" s="543"/>
      <c r="BY389" s="543"/>
      <c r="BZ389" s="543"/>
      <c r="CA389" s="543"/>
      <c r="CB389" s="543"/>
      <c r="CC389" s="543"/>
      <c r="CD389" s="544"/>
      <c r="CE389" s="543"/>
      <c r="CF389" s="543"/>
      <c r="CG389" s="543"/>
      <c r="CH389" s="543"/>
      <c r="CI389" s="544"/>
      <c r="CJ389" s="543"/>
      <c r="CK389" s="543"/>
      <c r="CL389" s="543"/>
      <c r="CM389" s="543"/>
      <c r="CN389" s="545"/>
      <c r="CO389" s="543"/>
      <c r="CP389" s="545"/>
      <c r="CQ389" s="543"/>
      <c r="CR389" s="543"/>
      <c r="CS389" s="543"/>
      <c r="CT389" s="543"/>
      <c r="CU389" s="543"/>
      <c r="CV389" s="543"/>
      <c r="CW389" s="543"/>
      <c r="CX389" s="543"/>
      <c r="CY389" s="543"/>
      <c r="CZ389" s="543"/>
      <c r="DA389" s="543"/>
      <c r="DB389" s="543"/>
      <c r="DC389" s="543"/>
      <c r="DD389" s="543"/>
      <c r="DE389" s="543"/>
      <c r="DF389" s="543"/>
      <c r="DG389" s="543"/>
      <c r="DH389" s="543"/>
      <c r="DI389" s="543"/>
      <c r="DJ389" s="543"/>
      <c r="DK389" s="543"/>
      <c r="DL389" s="543"/>
      <c r="DM389" s="543"/>
      <c r="DN389" s="543"/>
      <c r="DO389" s="546"/>
      <c r="DP389" s="543"/>
      <c r="DQ389" s="543"/>
      <c r="DR389" s="543"/>
      <c r="DS389" s="543"/>
      <c r="DT389" s="543"/>
      <c r="DU389" s="543"/>
      <c r="DY389" s="546"/>
      <c r="DZ389" s="19"/>
      <c r="EA389" s="19"/>
      <c r="EB389" s="19"/>
      <c r="EC389" s="19"/>
      <c r="ED389" s="19"/>
      <c r="EE389" s="19"/>
      <c r="EI389" s="542"/>
      <c r="EJ389" s="542"/>
      <c r="EK389" s="542"/>
      <c r="EL389" s="542"/>
      <c r="EM389" s="542"/>
      <c r="EN389" s="542"/>
      <c r="EO389" s="542"/>
      <c r="EP389" s="542"/>
      <c r="EQ389" s="542"/>
      <c r="ER389" s="19"/>
      <c r="ES389" s="569">
        <v>133</v>
      </c>
      <c r="ET389" t="s">
        <v>1942</v>
      </c>
      <c r="EU389" t="s">
        <v>1943</v>
      </c>
      <c r="EV389" t="s">
        <v>2353</v>
      </c>
      <c r="EW389" t="s">
        <v>54</v>
      </c>
      <c r="EX389" s="599">
        <v>55981</v>
      </c>
      <c r="EY389">
        <v>1659355600</v>
      </c>
    </row>
    <row r="390" spans="1:155" x14ac:dyDescent="0.2">
      <c r="A390" s="546"/>
      <c r="B390" s="543"/>
      <c r="C390" s="543"/>
      <c r="D390" s="543"/>
      <c r="E390" s="543"/>
      <c r="F390" s="543"/>
      <c r="G390" s="543"/>
      <c r="H390" s="543"/>
      <c r="I390" s="543"/>
      <c r="J390" s="543"/>
      <c r="K390" s="543"/>
      <c r="L390" s="543"/>
      <c r="M390" s="543"/>
      <c r="N390" s="543"/>
      <c r="O390" s="543"/>
      <c r="P390" s="543"/>
      <c r="Q390" s="543"/>
      <c r="R390" s="543"/>
      <c r="S390" s="543"/>
      <c r="T390" s="543"/>
      <c r="U390" s="543"/>
      <c r="V390" s="543"/>
      <c r="W390" s="543"/>
      <c r="X390" s="543"/>
      <c r="Y390" s="543"/>
      <c r="Z390" s="543"/>
      <c r="AA390" s="543"/>
      <c r="AB390" s="543"/>
      <c r="AC390" s="543"/>
      <c r="AD390" s="543"/>
      <c r="AE390" s="543"/>
      <c r="AF390" s="543"/>
      <c r="AG390" s="543"/>
      <c r="AH390" s="543"/>
      <c r="AI390" s="543"/>
      <c r="AJ390" s="543"/>
      <c r="AK390" s="543"/>
      <c r="AL390" s="543"/>
      <c r="AM390" s="543"/>
      <c r="AN390" s="543"/>
      <c r="AO390" s="543"/>
      <c r="AP390" s="543"/>
      <c r="AQ390" s="543"/>
      <c r="AR390" s="543"/>
      <c r="AS390" s="543"/>
      <c r="AT390" s="543"/>
      <c r="AU390" s="543"/>
      <c r="AV390" s="543"/>
      <c r="AW390" s="543"/>
      <c r="AX390" s="543"/>
      <c r="AY390" s="543"/>
      <c r="AZ390" s="543"/>
      <c r="BA390" s="543"/>
      <c r="BB390" s="543"/>
      <c r="BC390" s="543"/>
      <c r="BD390" s="543"/>
      <c r="BE390" s="543"/>
      <c r="BF390" s="543"/>
      <c r="BG390" s="543"/>
      <c r="BH390" s="543"/>
      <c r="BI390" s="543"/>
      <c r="BJ390" s="543"/>
      <c r="BK390" s="543"/>
      <c r="BL390" s="543"/>
      <c r="BM390" s="543"/>
      <c r="BN390" s="543"/>
      <c r="BO390" s="543"/>
      <c r="BP390" s="543"/>
      <c r="BQ390" s="543"/>
      <c r="BR390" s="543"/>
      <c r="BS390" s="543"/>
      <c r="BT390" s="543"/>
      <c r="BU390" s="543"/>
      <c r="BV390" s="543"/>
      <c r="BW390" s="543"/>
      <c r="BX390" s="543"/>
      <c r="BY390" s="543"/>
      <c r="BZ390" s="543"/>
      <c r="CA390" s="543"/>
      <c r="CB390" s="543"/>
      <c r="CC390" s="543"/>
      <c r="CD390" s="544"/>
      <c r="CE390" s="543"/>
      <c r="CF390" s="543"/>
      <c r="CG390" s="543"/>
      <c r="CH390" s="543"/>
      <c r="CI390" s="544"/>
      <c r="CJ390" s="543"/>
      <c r="CK390" s="543"/>
      <c r="CL390" s="543"/>
      <c r="CM390" s="543"/>
      <c r="CN390" s="545"/>
      <c r="CO390" s="543"/>
      <c r="CP390" s="543"/>
      <c r="CQ390" s="543"/>
      <c r="CR390" s="543"/>
      <c r="CS390" s="543"/>
      <c r="CT390" s="543"/>
      <c r="CU390" s="543"/>
      <c r="CV390" s="543"/>
      <c r="CW390" s="543"/>
      <c r="CX390" s="543"/>
      <c r="CY390" s="543"/>
      <c r="CZ390" s="543"/>
      <c r="DA390" s="543"/>
      <c r="DB390" s="543"/>
      <c r="DC390" s="543"/>
      <c r="DD390" s="543"/>
      <c r="DE390" s="543"/>
      <c r="DF390" s="543"/>
      <c r="DG390" s="543"/>
      <c r="DH390" s="543"/>
      <c r="DI390" s="543"/>
      <c r="DJ390" s="543"/>
      <c r="DK390" s="543"/>
      <c r="DL390" s="543"/>
      <c r="DM390" s="543"/>
      <c r="DN390" s="543"/>
      <c r="DO390" s="546"/>
      <c r="DP390" s="543"/>
      <c r="DQ390" s="543"/>
      <c r="DR390" s="543"/>
      <c r="DS390" s="543"/>
      <c r="DT390" s="543"/>
      <c r="DU390" s="543"/>
      <c r="DY390" s="546"/>
      <c r="DZ390" s="19"/>
      <c r="EA390" s="19"/>
      <c r="EB390" s="19"/>
      <c r="EC390" s="19"/>
      <c r="ED390" s="19"/>
      <c r="EE390" s="19"/>
      <c r="EI390" s="542"/>
      <c r="EJ390" s="542"/>
      <c r="EK390" s="542"/>
      <c r="EL390" s="542"/>
      <c r="EM390" s="542"/>
      <c r="EN390" s="542"/>
      <c r="EO390" s="542"/>
      <c r="EP390" s="542"/>
      <c r="EQ390" s="542"/>
      <c r="ER390" s="19"/>
      <c r="ES390" s="569">
        <v>589</v>
      </c>
      <c r="ET390" t="s">
        <v>1258</v>
      </c>
      <c r="EU390" t="s">
        <v>1259</v>
      </c>
      <c r="EV390" t="s">
        <v>3147</v>
      </c>
      <c r="EW390" t="s">
        <v>54</v>
      </c>
      <c r="EX390" s="600">
        <v>55387</v>
      </c>
      <c r="EY390">
        <v>1669599981</v>
      </c>
    </row>
    <row r="391" spans="1:155" x14ac:dyDescent="0.2">
      <c r="A391" s="546"/>
      <c r="B391" s="543"/>
      <c r="C391" s="543"/>
      <c r="D391" s="543"/>
      <c r="E391" s="543"/>
      <c r="F391" s="543"/>
      <c r="G391" s="543"/>
      <c r="H391" s="543"/>
      <c r="I391" s="543"/>
      <c r="J391" s="543"/>
      <c r="K391" s="543"/>
      <c r="L391" s="543"/>
      <c r="M391" s="543"/>
      <c r="N391" s="543"/>
      <c r="O391" s="543"/>
      <c r="P391" s="543"/>
      <c r="Q391" s="543"/>
      <c r="R391" s="543"/>
      <c r="S391" s="543"/>
      <c r="T391" s="543"/>
      <c r="U391" s="543"/>
      <c r="V391" s="543"/>
      <c r="W391" s="543"/>
      <c r="X391" s="543"/>
      <c r="Y391" s="543"/>
      <c r="Z391" s="543"/>
      <c r="AA391" s="543"/>
      <c r="AB391" s="543"/>
      <c r="AC391" s="543"/>
      <c r="AD391" s="543"/>
      <c r="AE391" s="543"/>
      <c r="AF391" s="543"/>
      <c r="AG391" s="543"/>
      <c r="AH391" s="543"/>
      <c r="AI391" s="543"/>
      <c r="AJ391" s="543"/>
      <c r="AK391" s="543"/>
      <c r="AL391" s="543"/>
      <c r="AM391" s="543"/>
      <c r="AN391" s="543"/>
      <c r="AO391" s="543"/>
      <c r="AP391" s="543"/>
      <c r="AQ391" s="543"/>
      <c r="AR391" s="543"/>
      <c r="AS391" s="543"/>
      <c r="AT391" s="543"/>
      <c r="AU391" s="543"/>
      <c r="AV391" s="543"/>
      <c r="AW391" s="543"/>
      <c r="AX391" s="543"/>
      <c r="AY391" s="543"/>
      <c r="AZ391" s="543"/>
      <c r="BA391" s="543"/>
      <c r="BB391" s="543"/>
      <c r="BC391" s="543"/>
      <c r="BD391" s="543"/>
      <c r="BE391" s="543"/>
      <c r="BF391" s="543"/>
      <c r="BG391" s="543"/>
      <c r="BH391" s="543"/>
      <c r="BI391" s="543"/>
      <c r="BJ391" s="543"/>
      <c r="BK391" s="543"/>
      <c r="BL391" s="543"/>
      <c r="BM391" s="543"/>
      <c r="BN391" s="543"/>
      <c r="BO391" s="543"/>
      <c r="BP391" s="543"/>
      <c r="BQ391" s="543"/>
      <c r="BR391" s="543"/>
      <c r="BS391" s="543"/>
      <c r="BT391" s="543"/>
      <c r="BU391" s="543"/>
      <c r="BV391" s="543"/>
      <c r="BW391" s="543"/>
      <c r="BX391" s="543"/>
      <c r="BY391" s="543"/>
      <c r="BZ391" s="543"/>
      <c r="CA391" s="543"/>
      <c r="CB391" s="543"/>
      <c r="CC391" s="543"/>
      <c r="CD391" s="544"/>
      <c r="CE391" s="543"/>
      <c r="CF391" s="543"/>
      <c r="CG391" s="543"/>
      <c r="CH391" s="543"/>
      <c r="CI391" s="544"/>
      <c r="CJ391" s="543"/>
      <c r="CK391" s="543"/>
      <c r="CL391" s="543"/>
      <c r="CM391" s="543"/>
      <c r="CN391" s="545"/>
      <c r="CO391" s="543"/>
      <c r="CP391" s="543"/>
      <c r="CQ391" s="543"/>
      <c r="CR391" s="543"/>
      <c r="CS391" s="543"/>
      <c r="CT391" s="543"/>
      <c r="CU391" s="545"/>
      <c r="CV391" s="543"/>
      <c r="CW391" s="545"/>
      <c r="CX391" s="543"/>
      <c r="CY391" s="543"/>
      <c r="CZ391" s="543"/>
      <c r="DA391" s="543"/>
      <c r="DB391" s="543"/>
      <c r="DC391" s="543"/>
      <c r="DD391" s="543"/>
      <c r="DE391" s="543"/>
      <c r="DF391" s="543"/>
      <c r="DG391" s="543"/>
      <c r="DH391" s="543"/>
      <c r="DI391" s="543"/>
      <c r="DJ391" s="543"/>
      <c r="DK391" s="543"/>
      <c r="DL391" s="543"/>
      <c r="DM391" s="543"/>
      <c r="DN391" s="543"/>
      <c r="DO391" s="546"/>
      <c r="DP391" s="543"/>
      <c r="DQ391" s="543"/>
      <c r="DR391" s="543"/>
      <c r="DS391" s="543"/>
      <c r="DT391" s="543"/>
      <c r="DU391" s="543"/>
      <c r="DY391" s="546"/>
      <c r="DZ391" s="19"/>
      <c r="EA391" s="19"/>
      <c r="EB391" s="19"/>
      <c r="EC391" s="19"/>
      <c r="ED391" s="19"/>
      <c r="EE391" s="19"/>
      <c r="EI391" s="542"/>
      <c r="EJ391" s="542"/>
      <c r="EK391" s="542"/>
      <c r="EL391" s="542"/>
      <c r="EM391" s="542"/>
      <c r="EN391" s="542"/>
      <c r="EO391" s="542"/>
      <c r="EP391" s="542"/>
      <c r="EQ391" s="542"/>
      <c r="ER391" s="19"/>
      <c r="ES391" s="569">
        <v>168</v>
      </c>
      <c r="ET391" t="s">
        <v>1944</v>
      </c>
      <c r="EU391" t="s">
        <v>1259</v>
      </c>
      <c r="EV391" t="s">
        <v>2354</v>
      </c>
      <c r="EW391" t="s">
        <v>54</v>
      </c>
      <c r="EX391" s="599">
        <v>55387</v>
      </c>
      <c r="EY391">
        <v>1275608457</v>
      </c>
    </row>
    <row r="392" spans="1:155" x14ac:dyDescent="0.2">
      <c r="A392" s="546"/>
      <c r="B392" s="19"/>
      <c r="C392" s="19"/>
      <c r="D392" s="543"/>
      <c r="E392" s="543"/>
      <c r="F392" s="543"/>
      <c r="G392" s="543"/>
      <c r="H392" s="543"/>
      <c r="I392" s="543"/>
      <c r="J392" s="543"/>
      <c r="K392" s="543"/>
      <c r="L392" s="543"/>
      <c r="M392" s="543"/>
      <c r="N392" s="543"/>
      <c r="O392" s="543"/>
      <c r="P392" s="543"/>
      <c r="Q392" s="543"/>
      <c r="R392" s="543"/>
      <c r="S392" s="543"/>
      <c r="T392" s="543"/>
      <c r="U392" s="543"/>
      <c r="V392" s="543"/>
      <c r="W392" s="543"/>
      <c r="X392" s="543"/>
      <c r="Y392" s="543"/>
      <c r="Z392" s="543"/>
      <c r="AA392" s="543"/>
      <c r="AB392" s="543"/>
      <c r="AC392" s="543"/>
      <c r="AD392" s="543"/>
      <c r="AE392" s="543"/>
      <c r="AF392" s="543"/>
      <c r="AG392" s="543"/>
      <c r="AH392" s="543"/>
      <c r="AI392" s="543"/>
      <c r="AJ392" s="543"/>
      <c r="AK392" s="543"/>
      <c r="AL392" s="543"/>
      <c r="AM392" s="543"/>
      <c r="AN392" s="543"/>
      <c r="AO392" s="543"/>
      <c r="AP392" s="543"/>
      <c r="AQ392" s="543"/>
      <c r="AR392" s="543"/>
      <c r="AS392" s="543"/>
      <c r="AT392" s="543"/>
      <c r="AU392" s="543"/>
      <c r="AV392" s="543"/>
      <c r="AW392" s="543"/>
      <c r="AX392" s="543"/>
      <c r="AY392" s="543"/>
      <c r="AZ392" s="543"/>
      <c r="BA392" s="543"/>
      <c r="BB392" s="543"/>
      <c r="BC392" s="543"/>
      <c r="BD392" s="543"/>
      <c r="BE392" s="543"/>
      <c r="BF392" s="543"/>
      <c r="BG392" s="543"/>
      <c r="BH392" s="543"/>
      <c r="BI392" s="543"/>
      <c r="BJ392" s="543"/>
      <c r="BK392" s="543"/>
      <c r="BL392" s="543"/>
      <c r="BM392" s="543"/>
      <c r="BN392" s="543"/>
      <c r="BO392" s="543"/>
      <c r="BP392" s="543"/>
      <c r="BQ392" s="543"/>
      <c r="BR392" s="543"/>
      <c r="BS392" s="543"/>
      <c r="BT392" s="543"/>
      <c r="BU392" s="543"/>
      <c r="BV392" s="543"/>
      <c r="BW392" s="543"/>
      <c r="BX392" s="543"/>
      <c r="BY392" s="543"/>
      <c r="BZ392" s="543"/>
      <c r="CA392" s="543"/>
      <c r="CB392" s="543"/>
      <c r="CC392" s="543"/>
      <c r="CD392" s="544"/>
      <c r="CE392" s="543"/>
      <c r="CF392" s="543"/>
      <c r="CG392" s="543"/>
      <c r="CH392" s="543"/>
      <c r="CI392" s="544"/>
      <c r="CJ392" s="543"/>
      <c r="CK392" s="543"/>
      <c r="CL392" s="543"/>
      <c r="CM392" s="543"/>
      <c r="CN392" s="545"/>
      <c r="CO392" s="543"/>
      <c r="CP392" s="543"/>
      <c r="CQ392" s="543"/>
      <c r="CR392" s="543"/>
      <c r="CS392" s="543"/>
      <c r="CT392" s="543"/>
      <c r="CU392" s="543"/>
      <c r="CV392" s="543"/>
      <c r="CW392" s="543"/>
      <c r="CX392" s="543"/>
      <c r="CY392" s="543"/>
      <c r="CZ392" s="543"/>
      <c r="DA392" s="543"/>
      <c r="DB392" s="543"/>
      <c r="DC392" s="543"/>
      <c r="DD392" s="543"/>
      <c r="DE392" s="543"/>
      <c r="DF392" s="543"/>
      <c r="DG392" s="543"/>
      <c r="DH392" s="543"/>
      <c r="DI392" s="543"/>
      <c r="DJ392" s="543"/>
      <c r="DK392" s="543"/>
      <c r="DL392" s="543"/>
      <c r="DM392" s="543"/>
      <c r="DN392" s="543"/>
      <c r="DO392" s="546"/>
      <c r="DP392" s="543"/>
      <c r="DQ392" s="543"/>
      <c r="DR392" s="543"/>
      <c r="DS392" s="543"/>
      <c r="DT392" s="543"/>
      <c r="DU392" s="543"/>
      <c r="DY392" s="546"/>
      <c r="DZ392" s="19"/>
      <c r="EA392" s="19"/>
      <c r="EB392" s="19"/>
      <c r="EC392" s="19"/>
      <c r="ED392" s="19"/>
      <c r="EE392" s="19"/>
      <c r="EI392" s="542"/>
      <c r="EJ392" s="542"/>
      <c r="EK392" s="542"/>
      <c r="EL392" s="542"/>
      <c r="EM392" s="542"/>
      <c r="EN392" s="542"/>
      <c r="EO392" s="542"/>
      <c r="EP392" s="542"/>
      <c r="EQ392" s="542"/>
      <c r="ER392" s="19"/>
      <c r="ES392" s="569">
        <v>721</v>
      </c>
      <c r="ET392" t="s">
        <v>1469</v>
      </c>
      <c r="EU392" t="s">
        <v>1259</v>
      </c>
      <c r="EV392" t="s">
        <v>3148</v>
      </c>
      <c r="EW392" t="s">
        <v>54</v>
      </c>
      <c r="EX392" s="600">
        <v>55387</v>
      </c>
      <c r="EY392">
        <v>1164474250</v>
      </c>
    </row>
    <row r="393" spans="1:155" x14ac:dyDescent="0.2">
      <c r="A393" s="546"/>
      <c r="B393" s="19"/>
      <c r="C393" s="19"/>
      <c r="D393" s="543"/>
      <c r="E393" s="543"/>
      <c r="F393" s="543"/>
      <c r="G393" s="543"/>
      <c r="H393" s="543"/>
      <c r="I393" s="543"/>
      <c r="J393" s="543"/>
      <c r="K393" s="543"/>
      <c r="L393" s="543"/>
      <c r="M393" s="543"/>
      <c r="N393" s="543"/>
      <c r="O393" s="543"/>
      <c r="P393" s="543"/>
      <c r="Q393" s="543"/>
      <c r="R393" s="543"/>
      <c r="S393" s="543"/>
      <c r="T393" s="543"/>
      <c r="U393" s="543"/>
      <c r="V393" s="543"/>
      <c r="W393" s="543"/>
      <c r="X393" s="543"/>
      <c r="Y393" s="543"/>
      <c r="Z393" s="543"/>
      <c r="AA393" s="543"/>
      <c r="AB393" s="543"/>
      <c r="AC393" s="543"/>
      <c r="AD393" s="543"/>
      <c r="AE393" s="543"/>
      <c r="AF393" s="543"/>
      <c r="AG393" s="543"/>
      <c r="AH393" s="543"/>
      <c r="AI393" s="543"/>
      <c r="AJ393" s="543"/>
      <c r="AK393" s="543"/>
      <c r="AL393" s="543"/>
      <c r="AM393" s="543"/>
      <c r="AN393" s="543"/>
      <c r="AO393" s="543"/>
      <c r="AP393" s="543"/>
      <c r="AQ393" s="543"/>
      <c r="AR393" s="543"/>
      <c r="AS393" s="543"/>
      <c r="AT393" s="543"/>
      <c r="AU393" s="543"/>
      <c r="AV393" s="543"/>
      <c r="AW393" s="543"/>
      <c r="AX393" s="543"/>
      <c r="AY393" s="543"/>
      <c r="AZ393" s="543"/>
      <c r="BA393" s="543"/>
      <c r="BB393" s="543"/>
      <c r="BC393" s="543"/>
      <c r="BD393" s="543"/>
      <c r="BE393" s="543"/>
      <c r="BF393" s="543"/>
      <c r="BG393" s="543"/>
      <c r="BH393" s="543"/>
      <c r="BI393" s="543"/>
      <c r="BJ393" s="543"/>
      <c r="BK393" s="543"/>
      <c r="BL393" s="543"/>
      <c r="BM393" s="543"/>
      <c r="BN393" s="543"/>
      <c r="BO393" s="543"/>
      <c r="BP393" s="543"/>
      <c r="BQ393" s="543"/>
      <c r="BR393" s="543"/>
      <c r="BS393" s="543"/>
      <c r="BT393" s="543"/>
      <c r="BU393" s="543"/>
      <c r="BV393" s="543"/>
      <c r="BW393" s="543"/>
      <c r="BX393" s="543"/>
      <c r="BY393" s="543"/>
      <c r="BZ393" s="543"/>
      <c r="CA393" s="543"/>
      <c r="CB393" s="543"/>
      <c r="CC393" s="543"/>
      <c r="CD393" s="544"/>
      <c r="CE393" s="543"/>
      <c r="CF393" s="543"/>
      <c r="CG393" s="543"/>
      <c r="CH393" s="543"/>
      <c r="CI393" s="544"/>
      <c r="CJ393" s="543"/>
      <c r="CK393" s="543"/>
      <c r="CL393" s="543"/>
      <c r="CM393" s="543"/>
      <c r="CN393" s="545"/>
      <c r="CO393" s="543"/>
      <c r="CP393" s="545"/>
      <c r="CQ393" s="543"/>
      <c r="CR393" s="543"/>
      <c r="CS393" s="543"/>
      <c r="CT393" s="543"/>
      <c r="CU393" s="545"/>
      <c r="CV393" s="543"/>
      <c r="CW393" s="543"/>
      <c r="CX393" s="543"/>
      <c r="CY393" s="543"/>
      <c r="CZ393" s="543"/>
      <c r="DA393" s="543"/>
      <c r="DB393" s="543"/>
      <c r="DC393" s="543"/>
      <c r="DD393" s="543"/>
      <c r="DE393" s="543"/>
      <c r="DF393" s="543"/>
      <c r="DG393" s="543"/>
      <c r="DH393" s="543"/>
      <c r="DI393" s="543"/>
      <c r="DJ393" s="543"/>
      <c r="DK393" s="543"/>
      <c r="DL393" s="543"/>
      <c r="DM393" s="543"/>
      <c r="DN393" s="543"/>
      <c r="DO393" s="546"/>
      <c r="DP393" s="543"/>
      <c r="DQ393" s="543"/>
      <c r="DR393" s="543"/>
      <c r="DS393" s="543"/>
      <c r="DT393" s="543"/>
      <c r="DU393" s="543"/>
      <c r="DY393" s="546"/>
      <c r="DZ393" s="19"/>
      <c r="EA393" s="19"/>
      <c r="EB393" s="19"/>
      <c r="EC393" s="19"/>
      <c r="ED393" s="19"/>
      <c r="EE393" s="19"/>
      <c r="EI393" s="542"/>
      <c r="EJ393" s="542"/>
      <c r="EK393" s="542"/>
      <c r="EL393" s="542"/>
      <c r="EM393" s="542"/>
      <c r="EN393" s="542"/>
      <c r="EO393" s="542"/>
      <c r="EP393" s="542"/>
      <c r="EQ393" s="542"/>
      <c r="ER393" s="19"/>
      <c r="ES393" s="569">
        <v>860</v>
      </c>
      <c r="ET393" t="s">
        <v>1040</v>
      </c>
      <c r="EU393" t="s">
        <v>963</v>
      </c>
      <c r="EV393" t="s">
        <v>3149</v>
      </c>
      <c r="EW393" t="s">
        <v>54</v>
      </c>
      <c r="EX393" s="600">
        <v>56482</v>
      </c>
      <c r="EY393"/>
    </row>
    <row r="394" spans="1:155" x14ac:dyDescent="0.2">
      <c r="A394" s="546"/>
      <c r="B394" s="19"/>
      <c r="C394" s="19"/>
      <c r="D394" s="543"/>
      <c r="E394" s="543"/>
      <c r="F394" s="543"/>
      <c r="G394" s="543"/>
      <c r="H394" s="543"/>
      <c r="I394" s="543"/>
      <c r="J394" s="543"/>
      <c r="K394" s="543"/>
      <c r="L394" s="543"/>
      <c r="M394" s="543"/>
      <c r="N394" s="543"/>
      <c r="O394" s="543"/>
      <c r="P394" s="543"/>
      <c r="Q394" s="543"/>
      <c r="R394" s="543"/>
      <c r="S394" s="543"/>
      <c r="T394" s="543"/>
      <c r="U394" s="543"/>
      <c r="V394" s="543"/>
      <c r="W394" s="543"/>
      <c r="X394" s="543"/>
      <c r="Y394" s="543"/>
      <c r="Z394" s="543"/>
      <c r="AA394" s="543"/>
      <c r="AB394" s="543"/>
      <c r="AC394" s="543"/>
      <c r="AD394" s="543"/>
      <c r="AE394" s="543"/>
      <c r="AF394" s="543"/>
      <c r="AG394" s="543"/>
      <c r="AH394" s="543"/>
      <c r="AI394" s="543"/>
      <c r="AJ394" s="543"/>
      <c r="AK394" s="543"/>
      <c r="AL394" s="543"/>
      <c r="AM394" s="543"/>
      <c r="AN394" s="543"/>
      <c r="AO394" s="543"/>
      <c r="AP394" s="543"/>
      <c r="AQ394" s="543"/>
      <c r="AR394" s="543"/>
      <c r="AS394" s="543"/>
      <c r="AT394" s="543"/>
      <c r="AU394" s="543"/>
      <c r="AV394" s="543"/>
      <c r="AW394" s="543"/>
      <c r="AX394" s="543"/>
      <c r="AY394" s="543"/>
      <c r="AZ394" s="543"/>
      <c r="BA394" s="543"/>
      <c r="BB394" s="543"/>
      <c r="BC394" s="543"/>
      <c r="BD394" s="543"/>
      <c r="BE394" s="543"/>
      <c r="BF394" s="543"/>
      <c r="BG394" s="543"/>
      <c r="BH394" s="543"/>
      <c r="BI394" s="543"/>
      <c r="BJ394" s="543"/>
      <c r="BK394" s="543"/>
      <c r="BL394" s="543"/>
      <c r="BM394" s="543"/>
      <c r="BN394" s="543"/>
      <c r="BO394" s="543"/>
      <c r="BP394" s="543"/>
      <c r="BQ394" s="543"/>
      <c r="BR394" s="543"/>
      <c r="BS394" s="543"/>
      <c r="BT394" s="543"/>
      <c r="BU394" s="543"/>
      <c r="BV394" s="543"/>
      <c r="BW394" s="543"/>
      <c r="BX394" s="543"/>
      <c r="BY394" s="543"/>
      <c r="BZ394" s="543"/>
      <c r="CA394" s="543"/>
      <c r="CB394" s="543"/>
      <c r="CC394" s="543"/>
      <c r="CD394" s="544"/>
      <c r="CE394" s="543"/>
      <c r="CF394" s="543"/>
      <c r="CG394" s="543"/>
      <c r="CH394" s="543"/>
      <c r="CI394" s="544"/>
      <c r="CJ394" s="543"/>
      <c r="CK394" s="543"/>
      <c r="CL394" s="543"/>
      <c r="CM394" s="543"/>
      <c r="CN394" s="545"/>
      <c r="CO394" s="543"/>
      <c r="CP394" s="545"/>
      <c r="CQ394" s="543"/>
      <c r="CR394" s="543"/>
      <c r="CS394" s="543"/>
      <c r="CT394" s="543"/>
      <c r="CU394" s="543"/>
      <c r="CV394" s="543"/>
      <c r="CW394" s="545"/>
      <c r="CX394" s="543"/>
      <c r="CY394" s="543"/>
      <c r="CZ394" s="543"/>
      <c r="DA394" s="543"/>
      <c r="DB394" s="543"/>
      <c r="DC394" s="543"/>
      <c r="DD394" s="543"/>
      <c r="DE394" s="543"/>
      <c r="DF394" s="543"/>
      <c r="DG394" s="543"/>
      <c r="DH394" s="543"/>
      <c r="DI394" s="543"/>
      <c r="DJ394" s="543"/>
      <c r="DK394" s="543"/>
      <c r="DL394" s="543"/>
      <c r="DM394" s="543"/>
      <c r="DN394" s="543"/>
      <c r="DO394" s="546"/>
      <c r="DP394" s="543"/>
      <c r="DQ394" s="543"/>
      <c r="DR394" s="543"/>
      <c r="DS394" s="543"/>
      <c r="DT394" s="543"/>
      <c r="DU394" s="543"/>
      <c r="DY394" s="546"/>
      <c r="DZ394" s="19"/>
      <c r="EA394" s="19"/>
      <c r="EB394" s="19"/>
      <c r="EC394" s="19"/>
      <c r="ED394" s="19"/>
      <c r="EE394" s="19"/>
      <c r="EI394" s="542"/>
      <c r="EJ394" s="542"/>
      <c r="EK394" s="542"/>
      <c r="EL394" s="542"/>
      <c r="EM394" s="542"/>
      <c r="EN394" s="542"/>
      <c r="EO394" s="542"/>
      <c r="EP394" s="542"/>
      <c r="EQ394" s="542"/>
      <c r="ER394" s="19"/>
      <c r="ES394" s="569">
        <v>157</v>
      </c>
      <c r="ET394" t="s">
        <v>1945</v>
      </c>
      <c r="EU394" t="s">
        <v>963</v>
      </c>
      <c r="EV394" t="s">
        <v>2355</v>
      </c>
      <c r="EW394" t="s">
        <v>54</v>
      </c>
      <c r="EX394" s="599">
        <v>56482</v>
      </c>
      <c r="EY394">
        <v>1477545333</v>
      </c>
    </row>
    <row r="395" spans="1:155" x14ac:dyDescent="0.2">
      <c r="A395" s="546"/>
      <c r="B395" s="19"/>
      <c r="C395" s="19"/>
      <c r="D395" s="543"/>
      <c r="E395" s="543"/>
      <c r="F395" s="543"/>
      <c r="G395" s="543"/>
      <c r="H395" s="543"/>
      <c r="I395" s="543"/>
      <c r="J395" s="543"/>
      <c r="K395" s="543"/>
      <c r="L395" s="543"/>
      <c r="M395" s="543"/>
      <c r="N395" s="543"/>
      <c r="O395" s="543"/>
      <c r="P395" s="543"/>
      <c r="Q395" s="543"/>
      <c r="R395" s="543"/>
      <c r="S395" s="543"/>
      <c r="T395" s="543"/>
      <c r="U395" s="543"/>
      <c r="V395" s="543"/>
      <c r="W395" s="543"/>
      <c r="X395" s="543"/>
      <c r="Y395" s="543"/>
      <c r="Z395" s="543"/>
      <c r="AA395" s="543"/>
      <c r="AB395" s="543"/>
      <c r="AC395" s="543"/>
      <c r="AD395" s="543"/>
      <c r="AE395" s="543"/>
      <c r="AF395" s="543"/>
      <c r="AG395" s="543"/>
      <c r="AH395" s="543"/>
      <c r="AI395" s="543"/>
      <c r="AJ395" s="543"/>
      <c r="AK395" s="543"/>
      <c r="AL395" s="543"/>
      <c r="AM395" s="543"/>
      <c r="AN395" s="543"/>
      <c r="AO395" s="543"/>
      <c r="AP395" s="543"/>
      <c r="AQ395" s="543"/>
      <c r="AR395" s="543"/>
      <c r="AS395" s="543"/>
      <c r="AT395" s="543"/>
      <c r="AU395" s="543"/>
      <c r="AV395" s="543"/>
      <c r="AW395" s="543"/>
      <c r="AX395" s="543"/>
      <c r="AY395" s="543"/>
      <c r="AZ395" s="543"/>
      <c r="BA395" s="543"/>
      <c r="BB395" s="543"/>
      <c r="BC395" s="543"/>
      <c r="BD395" s="543"/>
      <c r="BE395" s="543"/>
      <c r="BF395" s="543"/>
      <c r="BG395" s="543"/>
      <c r="BH395" s="543"/>
      <c r="BI395" s="543"/>
      <c r="BJ395" s="543"/>
      <c r="BK395" s="543"/>
      <c r="BL395" s="543"/>
      <c r="BM395" s="543"/>
      <c r="BN395" s="543"/>
      <c r="BO395" s="543"/>
      <c r="BP395" s="543"/>
      <c r="BQ395" s="543"/>
      <c r="BR395" s="543"/>
      <c r="BS395" s="543"/>
      <c r="BT395" s="543"/>
      <c r="BU395" s="543"/>
      <c r="BV395" s="543"/>
      <c r="BW395" s="543"/>
      <c r="BX395" s="543"/>
      <c r="BY395" s="543"/>
      <c r="BZ395" s="543"/>
      <c r="CA395" s="543"/>
      <c r="CB395" s="543"/>
      <c r="CC395" s="543"/>
      <c r="CD395" s="544"/>
      <c r="CE395" s="543"/>
      <c r="CF395" s="543"/>
      <c r="CG395" s="543"/>
      <c r="CH395" s="543"/>
      <c r="CI395" s="544"/>
      <c r="CJ395" s="543"/>
      <c r="CK395" s="543"/>
      <c r="CL395" s="543"/>
      <c r="CM395" s="543"/>
      <c r="CN395" s="545"/>
      <c r="CO395" s="543"/>
      <c r="CP395" s="545"/>
      <c r="CQ395" s="543"/>
      <c r="CR395" s="543"/>
      <c r="CS395" s="543"/>
      <c r="CT395" s="543"/>
      <c r="CU395" s="543"/>
      <c r="CV395" s="543"/>
      <c r="CW395" s="543"/>
      <c r="CX395" s="543"/>
      <c r="CY395" s="543"/>
      <c r="CZ395" s="543"/>
      <c r="DA395" s="543"/>
      <c r="DB395" s="543"/>
      <c r="DC395" s="543"/>
      <c r="DD395" s="543"/>
      <c r="DE395" s="543"/>
      <c r="DF395" s="543"/>
      <c r="DG395" s="543"/>
      <c r="DH395" s="543"/>
      <c r="DI395" s="543"/>
      <c r="DJ395" s="543"/>
      <c r="DK395" s="543"/>
      <c r="DL395" s="543"/>
      <c r="DM395" s="543"/>
      <c r="DN395" s="543"/>
      <c r="DO395" s="546"/>
      <c r="DP395" s="543"/>
      <c r="DQ395" s="543"/>
      <c r="DR395" s="543"/>
      <c r="DS395" s="543"/>
      <c r="DT395" s="543"/>
      <c r="DU395" s="543"/>
      <c r="DY395" s="546"/>
      <c r="DZ395" s="19"/>
      <c r="EA395" s="19"/>
      <c r="EB395" s="19"/>
      <c r="EC395" s="19"/>
      <c r="ED395" s="19"/>
      <c r="EE395" s="19"/>
      <c r="EI395" s="542"/>
      <c r="EJ395" s="542"/>
      <c r="EK395" s="542"/>
      <c r="EL395" s="542"/>
      <c r="EM395" s="542"/>
      <c r="EN395" s="542"/>
      <c r="EO395" s="542"/>
      <c r="EP395" s="542"/>
      <c r="EQ395" s="542"/>
      <c r="ER395" s="19"/>
      <c r="ES395" s="569">
        <v>1142</v>
      </c>
      <c r="ET395" t="s">
        <v>2199</v>
      </c>
      <c r="EU395" t="s">
        <v>2470</v>
      </c>
      <c r="EV395" t="s">
        <v>3150</v>
      </c>
      <c r="EW395" t="s">
        <v>2200</v>
      </c>
      <c r="EX395" s="600">
        <v>27587</v>
      </c>
      <c r="EY395"/>
    </row>
    <row r="396" spans="1:155" x14ac:dyDescent="0.2">
      <c r="A396" s="546"/>
      <c r="B396" s="19"/>
      <c r="C396" s="19"/>
      <c r="D396" s="543"/>
      <c r="E396" s="543"/>
      <c r="F396" s="543"/>
      <c r="G396" s="543"/>
      <c r="H396" s="543"/>
      <c r="I396" s="543"/>
      <c r="J396" s="543"/>
      <c r="K396" s="543"/>
      <c r="L396" s="543"/>
      <c r="M396" s="543"/>
      <c r="N396" s="543"/>
      <c r="O396" s="543"/>
      <c r="P396" s="543"/>
      <c r="Q396" s="543"/>
      <c r="R396" s="543"/>
      <c r="S396" s="543"/>
      <c r="T396" s="543"/>
      <c r="U396" s="543"/>
      <c r="V396" s="543"/>
      <c r="W396" s="543"/>
      <c r="X396" s="543"/>
      <c r="Y396" s="543"/>
      <c r="Z396" s="543"/>
      <c r="AA396" s="543"/>
      <c r="AB396" s="543"/>
      <c r="AC396" s="543"/>
      <c r="AD396" s="543"/>
      <c r="AE396" s="543"/>
      <c r="AF396" s="543"/>
      <c r="AG396" s="543"/>
      <c r="AH396" s="543"/>
      <c r="AI396" s="543"/>
      <c r="AJ396" s="543"/>
      <c r="AK396" s="543"/>
      <c r="AL396" s="543"/>
      <c r="AM396" s="543"/>
      <c r="AN396" s="543"/>
      <c r="AO396" s="543"/>
      <c r="AP396" s="543"/>
      <c r="AQ396" s="543"/>
      <c r="AR396" s="543"/>
      <c r="AS396" s="543"/>
      <c r="AT396" s="543"/>
      <c r="AU396" s="543"/>
      <c r="AV396" s="543"/>
      <c r="AW396" s="543"/>
      <c r="AX396" s="543"/>
      <c r="AY396" s="543"/>
      <c r="AZ396" s="543"/>
      <c r="BA396" s="543"/>
      <c r="BB396" s="543"/>
      <c r="BC396" s="543"/>
      <c r="BD396" s="543"/>
      <c r="BE396" s="543"/>
      <c r="BF396" s="543"/>
      <c r="BG396" s="543"/>
      <c r="BH396" s="543"/>
      <c r="BI396" s="543"/>
      <c r="BJ396" s="543"/>
      <c r="BK396" s="543"/>
      <c r="BL396" s="543"/>
      <c r="BM396" s="543"/>
      <c r="BN396" s="543"/>
      <c r="BO396" s="543"/>
      <c r="BP396" s="543"/>
      <c r="BQ396" s="543"/>
      <c r="BR396" s="543"/>
      <c r="BS396" s="543"/>
      <c r="BT396" s="543"/>
      <c r="BU396" s="543"/>
      <c r="BV396" s="543"/>
      <c r="BW396" s="543"/>
      <c r="BX396" s="543"/>
      <c r="BY396" s="543"/>
      <c r="BZ396" s="543"/>
      <c r="CA396" s="543"/>
      <c r="CB396" s="543"/>
      <c r="CC396" s="543"/>
      <c r="CD396" s="544"/>
      <c r="CE396" s="543"/>
      <c r="CF396" s="543"/>
      <c r="CG396" s="543"/>
      <c r="CH396" s="543"/>
      <c r="CI396" s="544"/>
      <c r="CJ396" s="543"/>
      <c r="CK396" s="543"/>
      <c r="CL396" s="543"/>
      <c r="CM396" s="543"/>
      <c r="CN396" s="545"/>
      <c r="CO396" s="543"/>
      <c r="CP396" s="545"/>
      <c r="CQ396" s="543"/>
      <c r="CR396" s="543"/>
      <c r="CS396" s="543"/>
      <c r="CT396" s="543"/>
      <c r="CU396" s="543"/>
      <c r="CV396" s="543"/>
      <c r="CW396" s="543"/>
      <c r="CX396" s="543"/>
      <c r="CY396" s="543"/>
      <c r="CZ396" s="543"/>
      <c r="DA396" s="543"/>
      <c r="DB396" s="543"/>
      <c r="DC396" s="543"/>
      <c r="DD396" s="543"/>
      <c r="DE396" s="543"/>
      <c r="DF396" s="543"/>
      <c r="DG396" s="543"/>
      <c r="DH396" s="543"/>
      <c r="DI396" s="543"/>
      <c r="DJ396" s="543"/>
      <c r="DK396" s="543"/>
      <c r="DL396" s="543"/>
      <c r="DM396" s="543"/>
      <c r="DN396" s="543"/>
      <c r="DO396" s="546"/>
      <c r="DP396" s="543"/>
      <c r="DQ396" s="543"/>
      <c r="DR396" s="543"/>
      <c r="DS396" s="543"/>
      <c r="DT396" s="543"/>
      <c r="DU396" s="543"/>
      <c r="DY396" s="546"/>
      <c r="DZ396" s="19"/>
      <c r="EA396" s="19"/>
      <c r="EB396" s="19"/>
      <c r="EC396" s="19"/>
      <c r="ED396" s="19"/>
      <c r="EE396" s="19"/>
      <c r="EI396" s="542"/>
      <c r="EJ396" s="542"/>
      <c r="EK396" s="542"/>
      <c r="EL396" s="542"/>
      <c r="EM396" s="542"/>
      <c r="EN396" s="542"/>
      <c r="EO396" s="542"/>
      <c r="EP396" s="542"/>
      <c r="EQ396" s="542"/>
      <c r="ER396" s="19"/>
      <c r="ES396" s="569">
        <v>169</v>
      </c>
      <c r="ET396" t="s">
        <v>1946</v>
      </c>
      <c r="EU396" t="s">
        <v>1947</v>
      </c>
      <c r="EV396" t="s">
        <v>2356</v>
      </c>
      <c r="EW396" t="s">
        <v>54</v>
      </c>
      <c r="EX396" s="599">
        <v>56762</v>
      </c>
      <c r="EY396">
        <v>1073516357</v>
      </c>
    </row>
    <row r="397" spans="1:155" x14ac:dyDescent="0.2">
      <c r="A397" s="546"/>
      <c r="B397" s="543"/>
      <c r="C397" s="543"/>
      <c r="D397" s="543"/>
      <c r="E397" s="543"/>
      <c r="F397" s="543"/>
      <c r="G397" s="543"/>
      <c r="H397" s="543"/>
      <c r="I397" s="543"/>
      <c r="J397" s="543"/>
      <c r="K397" s="543"/>
      <c r="L397" s="543"/>
      <c r="M397" s="543"/>
      <c r="N397" s="543"/>
      <c r="O397" s="543"/>
      <c r="P397" s="543"/>
      <c r="Q397" s="543"/>
      <c r="R397" s="543"/>
      <c r="S397" s="543"/>
      <c r="T397" s="543"/>
      <c r="U397" s="543"/>
      <c r="V397" s="543"/>
      <c r="W397" s="543"/>
      <c r="X397" s="543"/>
      <c r="Y397" s="543"/>
      <c r="Z397" s="543"/>
      <c r="AA397" s="543"/>
      <c r="AB397" s="543"/>
      <c r="AC397" s="543"/>
      <c r="AD397" s="543"/>
      <c r="AE397" s="543"/>
      <c r="AF397" s="543"/>
      <c r="AG397" s="543"/>
      <c r="AH397" s="543"/>
      <c r="AI397" s="543"/>
      <c r="AJ397" s="543"/>
      <c r="AK397" s="543"/>
      <c r="AL397" s="543"/>
      <c r="AM397" s="543"/>
      <c r="AN397" s="543"/>
      <c r="AO397" s="543"/>
      <c r="AP397" s="543"/>
      <c r="AQ397" s="543"/>
      <c r="AR397" s="543"/>
      <c r="AS397" s="543"/>
      <c r="AT397" s="543"/>
      <c r="AU397" s="543"/>
      <c r="AV397" s="543"/>
      <c r="AW397" s="543"/>
      <c r="AX397" s="543"/>
      <c r="AY397" s="543"/>
      <c r="AZ397" s="543"/>
      <c r="BA397" s="543"/>
      <c r="BB397" s="543"/>
      <c r="BC397" s="543"/>
      <c r="BD397" s="543"/>
      <c r="BE397" s="543"/>
      <c r="BF397" s="543"/>
      <c r="BG397" s="543"/>
      <c r="BH397" s="543"/>
      <c r="BI397" s="543"/>
      <c r="BJ397" s="543"/>
      <c r="BK397" s="543"/>
      <c r="BL397" s="543"/>
      <c r="BM397" s="543"/>
      <c r="BN397" s="543"/>
      <c r="BO397" s="543"/>
      <c r="BP397" s="543"/>
      <c r="BQ397" s="543"/>
      <c r="BR397" s="543"/>
      <c r="BS397" s="543"/>
      <c r="BT397" s="543"/>
      <c r="BU397" s="543"/>
      <c r="BV397" s="543"/>
      <c r="BW397" s="543"/>
      <c r="BX397" s="543"/>
      <c r="BY397" s="543"/>
      <c r="BZ397" s="543"/>
      <c r="CA397" s="543"/>
      <c r="CB397" s="543"/>
      <c r="CC397" s="543"/>
      <c r="CD397" s="544"/>
      <c r="CE397" s="543"/>
      <c r="CF397" s="543"/>
      <c r="CG397" s="543"/>
      <c r="CH397" s="543"/>
      <c r="CI397" s="544"/>
      <c r="CJ397" s="543"/>
      <c r="CK397" s="543"/>
      <c r="CL397" s="543"/>
      <c r="CM397" s="543"/>
      <c r="CN397" s="545"/>
      <c r="CO397" s="543"/>
      <c r="CP397" s="545"/>
      <c r="CQ397" s="543"/>
      <c r="CR397" s="543"/>
      <c r="CS397" s="543"/>
      <c r="CT397" s="543"/>
      <c r="CU397" s="545"/>
      <c r="CV397" s="543"/>
      <c r="CW397" s="543"/>
      <c r="CX397" s="543"/>
      <c r="CY397" s="543"/>
      <c r="CZ397" s="543"/>
      <c r="DA397" s="543"/>
      <c r="DB397" s="543"/>
      <c r="DC397" s="543"/>
      <c r="DD397" s="543"/>
      <c r="DE397" s="543"/>
      <c r="DF397" s="543"/>
      <c r="DG397" s="543"/>
      <c r="DH397" s="543"/>
      <c r="DI397" s="543"/>
      <c r="DJ397" s="543"/>
      <c r="DK397" s="543"/>
      <c r="DL397" s="543"/>
      <c r="DM397" s="543"/>
      <c r="DN397" s="543"/>
      <c r="DO397" s="546"/>
      <c r="DP397" s="543"/>
      <c r="DQ397" s="543"/>
      <c r="DR397" s="543"/>
      <c r="DS397" s="543"/>
      <c r="DT397" s="543"/>
      <c r="DU397" s="543"/>
      <c r="DY397" s="546"/>
      <c r="DZ397" s="19"/>
      <c r="EA397" s="19"/>
      <c r="EB397" s="19"/>
      <c r="EC397" s="19"/>
      <c r="ED397" s="19"/>
      <c r="EE397" s="19"/>
      <c r="EI397" s="542"/>
      <c r="EJ397" s="542"/>
      <c r="EK397" s="542"/>
      <c r="EL397" s="542"/>
      <c r="EM397" s="542"/>
      <c r="EN397" s="542"/>
      <c r="EO397" s="542"/>
      <c r="EP397" s="542"/>
      <c r="EQ397" s="542"/>
      <c r="ER397" s="19"/>
      <c r="ES397" s="569">
        <v>170</v>
      </c>
      <c r="ET397" t="s">
        <v>1948</v>
      </c>
      <c r="EU397" t="s">
        <v>1949</v>
      </c>
      <c r="EV397" t="s">
        <v>2357</v>
      </c>
      <c r="EW397" t="s">
        <v>54</v>
      </c>
      <c r="EX397" s="599">
        <v>56093</v>
      </c>
      <c r="EY397">
        <v>1740256668</v>
      </c>
    </row>
    <row r="398" spans="1:155" x14ac:dyDescent="0.2">
      <c r="A398" s="546"/>
      <c r="B398" s="19"/>
      <c r="C398" s="19"/>
      <c r="D398" s="543"/>
      <c r="E398" s="543"/>
      <c r="F398" s="543"/>
      <c r="G398" s="543"/>
      <c r="H398" s="543"/>
      <c r="I398" s="543"/>
      <c r="J398" s="543"/>
      <c r="K398" s="543"/>
      <c r="L398" s="543"/>
      <c r="M398" s="543"/>
      <c r="N398" s="543"/>
      <c r="O398" s="543"/>
      <c r="P398" s="543"/>
      <c r="Q398" s="543"/>
      <c r="R398" s="543"/>
      <c r="S398" s="543"/>
      <c r="T398" s="543"/>
      <c r="U398" s="543"/>
      <c r="V398" s="543"/>
      <c r="W398" s="543"/>
      <c r="X398" s="543"/>
      <c r="Y398" s="543"/>
      <c r="Z398" s="543"/>
      <c r="AA398" s="543"/>
      <c r="AB398" s="543"/>
      <c r="AC398" s="543"/>
      <c r="AD398" s="543"/>
      <c r="AE398" s="543"/>
      <c r="AF398" s="543"/>
      <c r="AG398" s="543"/>
      <c r="AH398" s="543"/>
      <c r="AI398" s="543"/>
      <c r="AJ398" s="543"/>
      <c r="AK398" s="543"/>
      <c r="AL398" s="543"/>
      <c r="AM398" s="543"/>
      <c r="AN398" s="543"/>
      <c r="AO398" s="543"/>
      <c r="AP398" s="543"/>
      <c r="AQ398" s="543"/>
      <c r="AR398" s="543"/>
      <c r="AS398" s="543"/>
      <c r="AT398" s="543"/>
      <c r="AU398" s="543"/>
      <c r="AV398" s="543"/>
      <c r="AW398" s="543"/>
      <c r="AX398" s="543"/>
      <c r="AY398" s="543"/>
      <c r="AZ398" s="543"/>
      <c r="BA398" s="543"/>
      <c r="BB398" s="543"/>
      <c r="BC398" s="543"/>
      <c r="BD398" s="543"/>
      <c r="BE398" s="543"/>
      <c r="BF398" s="543"/>
      <c r="BG398" s="543"/>
      <c r="BH398" s="543"/>
      <c r="BI398" s="543"/>
      <c r="BJ398" s="543"/>
      <c r="BK398" s="543"/>
      <c r="BL398" s="543"/>
      <c r="BM398" s="543"/>
      <c r="BN398" s="543"/>
      <c r="BO398" s="543"/>
      <c r="BP398" s="543"/>
      <c r="BQ398" s="543"/>
      <c r="BR398" s="543"/>
      <c r="BS398" s="543"/>
      <c r="BT398" s="543"/>
      <c r="BU398" s="543"/>
      <c r="BV398" s="543"/>
      <c r="BW398" s="543"/>
      <c r="BX398" s="543"/>
      <c r="BY398" s="543"/>
      <c r="BZ398" s="543"/>
      <c r="CA398" s="543"/>
      <c r="CB398" s="543"/>
      <c r="CC398" s="543"/>
      <c r="CD398" s="544"/>
      <c r="CE398" s="543"/>
      <c r="CF398" s="543"/>
      <c r="CG398" s="543"/>
      <c r="CH398" s="543"/>
      <c r="CI398" s="544"/>
      <c r="CJ398" s="543"/>
      <c r="CK398" s="543"/>
      <c r="CL398" s="543"/>
      <c r="CM398" s="543"/>
      <c r="CN398" s="545"/>
      <c r="CO398" s="543"/>
      <c r="CP398" s="543"/>
      <c r="CQ398" s="543"/>
      <c r="CR398" s="543"/>
      <c r="CS398" s="543"/>
      <c r="CT398" s="543"/>
      <c r="CU398" s="545"/>
      <c r="CV398" s="543"/>
      <c r="CW398" s="543"/>
      <c r="CX398" s="543"/>
      <c r="CY398" s="543"/>
      <c r="CZ398" s="543"/>
      <c r="DA398" s="543"/>
      <c r="DB398" s="543"/>
      <c r="DC398" s="543"/>
      <c r="DD398" s="543"/>
      <c r="DE398" s="543"/>
      <c r="DF398" s="543"/>
      <c r="DG398" s="543"/>
      <c r="DH398" s="543"/>
      <c r="DI398" s="543"/>
      <c r="DJ398" s="543"/>
      <c r="DK398" s="543"/>
      <c r="DL398" s="543"/>
      <c r="DM398" s="545"/>
      <c r="DN398" s="543"/>
      <c r="DO398" s="546"/>
      <c r="DP398" s="543"/>
      <c r="DQ398" s="543"/>
      <c r="DR398" s="543"/>
      <c r="DS398" s="543"/>
      <c r="DT398" s="543"/>
      <c r="DU398" s="543"/>
      <c r="DW398" s="552"/>
      <c r="DY398" s="546"/>
      <c r="DZ398" s="19"/>
      <c r="EA398" s="19"/>
      <c r="EB398" s="19"/>
      <c r="EC398" s="19"/>
      <c r="ED398" s="19"/>
      <c r="EE398" s="19"/>
      <c r="EI398" s="542"/>
      <c r="EJ398" s="542"/>
      <c r="EK398" s="542"/>
      <c r="EL398" s="542"/>
      <c r="EM398" s="542"/>
      <c r="EN398" s="542"/>
      <c r="EO398" s="542"/>
      <c r="EP398" s="542"/>
      <c r="EQ398" s="542"/>
      <c r="ER398" s="19"/>
      <c r="ES398" s="569">
        <v>592</v>
      </c>
      <c r="ET398" t="s">
        <v>1529</v>
      </c>
      <c r="EU398" t="s">
        <v>1530</v>
      </c>
      <c r="EV398" t="s">
        <v>3151</v>
      </c>
      <c r="EW398" t="s">
        <v>54</v>
      </c>
      <c r="EX398" s="600">
        <v>55391</v>
      </c>
      <c r="EY398">
        <v>1780621904</v>
      </c>
    </row>
    <row r="399" spans="1:155" x14ac:dyDescent="0.2">
      <c r="A399" s="546"/>
      <c r="B399" s="543"/>
      <c r="C399" s="543"/>
      <c r="D399" s="543"/>
      <c r="E399" s="543"/>
      <c r="F399" s="543"/>
      <c r="G399" s="543"/>
      <c r="H399" s="543"/>
      <c r="I399" s="543"/>
      <c r="J399" s="543"/>
      <c r="K399" s="543"/>
      <c r="L399" s="543"/>
      <c r="M399" s="543"/>
      <c r="N399" s="543"/>
      <c r="O399" s="543"/>
      <c r="P399" s="543"/>
      <c r="Q399" s="543"/>
      <c r="R399" s="543"/>
      <c r="S399" s="543"/>
      <c r="T399" s="543"/>
      <c r="U399" s="543"/>
      <c r="V399" s="543"/>
      <c r="W399" s="543"/>
      <c r="X399" s="543"/>
      <c r="Y399" s="543"/>
      <c r="Z399" s="543"/>
      <c r="AA399" s="543"/>
      <c r="AB399" s="543"/>
      <c r="AC399" s="543"/>
      <c r="AD399" s="543"/>
      <c r="AE399" s="543"/>
      <c r="AF399" s="543"/>
      <c r="AG399" s="543"/>
      <c r="AH399" s="543"/>
      <c r="AI399" s="543"/>
      <c r="AJ399" s="543"/>
      <c r="AK399" s="543"/>
      <c r="AL399" s="543"/>
      <c r="AM399" s="543"/>
      <c r="AN399" s="543"/>
      <c r="AO399" s="543"/>
      <c r="AP399" s="543"/>
      <c r="AQ399" s="543"/>
      <c r="AR399" s="543"/>
      <c r="AS399" s="543"/>
      <c r="AT399" s="543"/>
      <c r="AU399" s="543"/>
      <c r="AV399" s="543"/>
      <c r="AW399" s="543"/>
      <c r="AX399" s="543"/>
      <c r="AY399" s="543"/>
      <c r="AZ399" s="543"/>
      <c r="BA399" s="543"/>
      <c r="BB399" s="543"/>
      <c r="BC399" s="543"/>
      <c r="BD399" s="543"/>
      <c r="BE399" s="543"/>
      <c r="BF399" s="543"/>
      <c r="BG399" s="543"/>
      <c r="BH399" s="543"/>
      <c r="BI399" s="543"/>
      <c r="BJ399" s="543"/>
      <c r="BK399" s="543"/>
      <c r="BL399" s="543"/>
      <c r="BM399" s="543"/>
      <c r="BN399" s="543"/>
      <c r="BO399" s="543"/>
      <c r="BP399" s="543"/>
      <c r="BQ399" s="543"/>
      <c r="BR399" s="543"/>
      <c r="BS399" s="543"/>
      <c r="BT399" s="543"/>
      <c r="BU399" s="543"/>
      <c r="BV399" s="543"/>
      <c r="BW399" s="543"/>
      <c r="BX399" s="543"/>
      <c r="BY399" s="543"/>
      <c r="BZ399" s="543"/>
      <c r="CA399" s="543"/>
      <c r="CB399" s="543"/>
      <c r="CC399" s="543"/>
      <c r="CD399" s="544"/>
      <c r="CE399" s="543"/>
      <c r="CF399" s="543"/>
      <c r="CG399" s="543"/>
      <c r="CH399" s="543"/>
      <c r="CI399" s="544"/>
      <c r="CJ399" s="543"/>
      <c r="CK399" s="543"/>
      <c r="CL399" s="543"/>
      <c r="CM399" s="543"/>
      <c r="CN399" s="545"/>
      <c r="CO399" s="543"/>
      <c r="CP399" s="545"/>
      <c r="CQ399" s="543"/>
      <c r="CR399" s="543"/>
      <c r="CS399" s="543"/>
      <c r="CT399" s="543"/>
      <c r="CU399" s="543"/>
      <c r="CV399" s="543"/>
      <c r="CW399" s="543"/>
      <c r="CX399" s="543"/>
      <c r="CY399" s="543"/>
      <c r="CZ399" s="543"/>
      <c r="DA399" s="543"/>
      <c r="DB399" s="543"/>
      <c r="DC399" s="543"/>
      <c r="DD399" s="543"/>
      <c r="DE399" s="543"/>
      <c r="DF399" s="543"/>
      <c r="DG399" s="543"/>
      <c r="DH399" s="543"/>
      <c r="DI399" s="543"/>
      <c r="DJ399" s="543"/>
      <c r="DK399" s="543"/>
      <c r="DL399" s="543"/>
      <c r="DM399" s="543"/>
      <c r="DN399" s="543"/>
      <c r="DO399" s="546"/>
      <c r="DP399" s="543"/>
      <c r="DQ399" s="543"/>
      <c r="DR399" s="543"/>
      <c r="DS399" s="543"/>
      <c r="DT399" s="543"/>
      <c r="DU399" s="543"/>
      <c r="DY399" s="546"/>
      <c r="DZ399" s="19"/>
      <c r="EA399" s="19"/>
      <c r="EB399" s="19"/>
      <c r="EC399" s="19"/>
      <c r="ED399" s="19"/>
      <c r="EE399" s="19"/>
      <c r="EI399" s="542"/>
      <c r="EJ399" s="542"/>
      <c r="EK399" s="542"/>
      <c r="EL399" s="542"/>
      <c r="EM399" s="542"/>
      <c r="EN399" s="542"/>
      <c r="EO399" s="542"/>
      <c r="EP399" s="542"/>
      <c r="EQ399" s="542"/>
      <c r="ER399" s="19"/>
      <c r="ES399" s="569">
        <v>35</v>
      </c>
      <c r="ET399" t="s">
        <v>1950</v>
      </c>
      <c r="EU399" t="s">
        <v>1951</v>
      </c>
      <c r="EV399" t="s">
        <v>2358</v>
      </c>
      <c r="EW399" t="s">
        <v>54</v>
      </c>
      <c r="EX399" s="599">
        <v>56183</v>
      </c>
      <c r="EY399">
        <v>1942253547</v>
      </c>
    </row>
    <row r="400" spans="1:155" x14ac:dyDescent="0.2">
      <c r="A400" s="546"/>
      <c r="B400" s="543"/>
      <c r="C400" s="543"/>
      <c r="D400" s="543"/>
      <c r="E400" s="543"/>
      <c r="F400" s="543"/>
      <c r="G400" s="543"/>
      <c r="H400" s="543"/>
      <c r="I400" s="543"/>
      <c r="J400" s="543"/>
      <c r="K400" s="543"/>
      <c r="L400" s="543"/>
      <c r="M400" s="543"/>
      <c r="N400" s="543"/>
      <c r="O400" s="543"/>
      <c r="P400" s="543"/>
      <c r="Q400" s="543"/>
      <c r="R400" s="543"/>
      <c r="S400" s="543"/>
      <c r="T400" s="543"/>
      <c r="U400" s="543"/>
      <c r="V400" s="543"/>
      <c r="W400" s="543"/>
      <c r="X400" s="543"/>
      <c r="Y400" s="543"/>
      <c r="Z400" s="543"/>
      <c r="AA400" s="543"/>
      <c r="AB400" s="543"/>
      <c r="AC400" s="543"/>
      <c r="AD400" s="543"/>
      <c r="AE400" s="543"/>
      <c r="AF400" s="543"/>
      <c r="AG400" s="543"/>
      <c r="AH400" s="543"/>
      <c r="AI400" s="543"/>
      <c r="AJ400" s="543"/>
      <c r="AK400" s="543"/>
      <c r="AL400" s="543"/>
      <c r="AM400" s="543"/>
      <c r="AN400" s="543"/>
      <c r="AO400" s="543"/>
      <c r="AP400" s="543"/>
      <c r="AQ400" s="543"/>
      <c r="AR400" s="543"/>
      <c r="AS400" s="543"/>
      <c r="AT400" s="543"/>
      <c r="AU400" s="543"/>
      <c r="AV400" s="543"/>
      <c r="AW400" s="543"/>
      <c r="AX400" s="543"/>
      <c r="AY400" s="543"/>
      <c r="AZ400" s="543"/>
      <c r="BA400" s="543"/>
      <c r="BB400" s="543"/>
      <c r="BC400" s="543"/>
      <c r="BD400" s="543"/>
      <c r="BE400" s="543"/>
      <c r="BF400" s="543"/>
      <c r="BG400" s="543"/>
      <c r="BH400" s="543"/>
      <c r="BI400" s="543"/>
      <c r="BJ400" s="543"/>
      <c r="BK400" s="543"/>
      <c r="BL400" s="543"/>
      <c r="BM400" s="543"/>
      <c r="BN400" s="543"/>
      <c r="BO400" s="543"/>
      <c r="BP400" s="543"/>
      <c r="BQ400" s="543"/>
      <c r="BR400" s="543"/>
      <c r="BS400" s="543"/>
      <c r="BT400" s="543"/>
      <c r="BU400" s="543"/>
      <c r="BV400" s="543"/>
      <c r="BW400" s="543"/>
      <c r="BX400" s="543"/>
      <c r="BY400" s="543"/>
      <c r="BZ400" s="543"/>
      <c r="CA400" s="543"/>
      <c r="CB400" s="543"/>
      <c r="CC400" s="543"/>
      <c r="CD400" s="544"/>
      <c r="CE400" s="543"/>
      <c r="CF400" s="543"/>
      <c r="CG400" s="543"/>
      <c r="CH400" s="543"/>
      <c r="CI400" s="544"/>
      <c r="CJ400" s="543"/>
      <c r="CK400" s="543"/>
      <c r="CL400" s="543"/>
      <c r="CM400" s="543"/>
      <c r="CN400" s="545"/>
      <c r="CO400" s="543"/>
      <c r="CP400" s="545"/>
      <c r="CQ400" s="543"/>
      <c r="CR400" s="545"/>
      <c r="CS400" s="543"/>
      <c r="CT400" s="543"/>
      <c r="CU400" s="543"/>
      <c r="CV400" s="543"/>
      <c r="CW400" s="543"/>
      <c r="CX400" s="543"/>
      <c r="CY400" s="543"/>
      <c r="CZ400" s="543"/>
      <c r="DA400" s="543"/>
      <c r="DB400" s="543"/>
      <c r="DC400" s="543"/>
      <c r="DD400" s="543"/>
      <c r="DE400" s="543"/>
      <c r="DF400" s="543"/>
      <c r="DG400" s="543"/>
      <c r="DH400" s="543"/>
      <c r="DI400" s="543"/>
      <c r="DJ400" s="543"/>
      <c r="DK400" s="543"/>
      <c r="DL400" s="543"/>
      <c r="DM400" s="543"/>
      <c r="DN400" s="543"/>
      <c r="DO400" s="546"/>
      <c r="DP400" s="543"/>
      <c r="DQ400" s="543"/>
      <c r="DR400" s="543"/>
      <c r="DS400" s="543"/>
      <c r="DT400" s="543"/>
      <c r="DU400" s="543"/>
      <c r="DY400" s="546"/>
      <c r="DZ400" s="19"/>
      <c r="EA400" s="19"/>
      <c r="EB400" s="19"/>
      <c r="EC400" s="19"/>
      <c r="ED400" s="19"/>
      <c r="EE400" s="19"/>
      <c r="EI400" s="542"/>
      <c r="EJ400" s="542"/>
      <c r="EK400" s="542"/>
      <c r="EL400" s="542"/>
      <c r="EM400" s="542"/>
      <c r="EN400" s="542"/>
      <c r="EO400" s="542"/>
      <c r="EP400" s="542"/>
      <c r="EQ400" s="542"/>
      <c r="ER400" s="19"/>
      <c r="ES400" s="569">
        <v>939</v>
      </c>
      <c r="ET400" t="s">
        <v>1017</v>
      </c>
      <c r="EU400" t="s">
        <v>1018</v>
      </c>
      <c r="EV400" t="s">
        <v>3152</v>
      </c>
      <c r="EW400" t="s">
        <v>54</v>
      </c>
      <c r="EX400" s="600">
        <v>56296</v>
      </c>
      <c r="EY400"/>
    </row>
    <row r="401" spans="1:155" x14ac:dyDescent="0.2">
      <c r="A401" s="546"/>
      <c r="B401" s="19"/>
      <c r="C401" s="19"/>
      <c r="D401" s="543"/>
      <c r="E401" s="543"/>
      <c r="F401" s="543"/>
      <c r="G401" s="543"/>
      <c r="H401" s="543"/>
      <c r="I401" s="543"/>
      <c r="J401" s="543"/>
      <c r="K401" s="543"/>
      <c r="L401" s="543"/>
      <c r="M401" s="543"/>
      <c r="N401" s="543"/>
      <c r="O401" s="543"/>
      <c r="P401" s="543"/>
      <c r="Q401" s="543"/>
      <c r="R401" s="543"/>
      <c r="S401" s="543"/>
      <c r="T401" s="543"/>
      <c r="U401" s="543"/>
      <c r="V401" s="543"/>
      <c r="W401" s="543"/>
      <c r="X401" s="543"/>
      <c r="Y401" s="543"/>
      <c r="Z401" s="543"/>
      <c r="AA401" s="543"/>
      <c r="AB401" s="543"/>
      <c r="AC401" s="543"/>
      <c r="AD401" s="543"/>
      <c r="AE401" s="543"/>
      <c r="AF401" s="543"/>
      <c r="AG401" s="543"/>
      <c r="AH401" s="543"/>
      <c r="AI401" s="543"/>
      <c r="AJ401" s="543"/>
      <c r="AK401" s="543"/>
      <c r="AL401" s="543"/>
      <c r="AM401" s="543"/>
      <c r="AN401" s="543"/>
      <c r="AO401" s="543"/>
      <c r="AP401" s="543"/>
      <c r="AQ401" s="543"/>
      <c r="AR401" s="543"/>
      <c r="AS401" s="543"/>
      <c r="AT401" s="543"/>
      <c r="AU401" s="543"/>
      <c r="AV401" s="543"/>
      <c r="AW401" s="543"/>
      <c r="AX401" s="543"/>
      <c r="AY401" s="543"/>
      <c r="AZ401" s="543"/>
      <c r="BA401" s="543"/>
      <c r="BB401" s="543"/>
      <c r="BC401" s="543"/>
      <c r="BD401" s="543"/>
      <c r="BE401" s="543"/>
      <c r="BF401" s="543"/>
      <c r="BG401" s="543"/>
      <c r="BH401" s="543"/>
      <c r="BI401" s="543"/>
      <c r="BJ401" s="543"/>
      <c r="BK401" s="543"/>
      <c r="BL401" s="543"/>
      <c r="BM401" s="543"/>
      <c r="BN401" s="543"/>
      <c r="BO401" s="543"/>
      <c r="BP401" s="543"/>
      <c r="BQ401" s="543"/>
      <c r="BR401" s="543"/>
      <c r="BS401" s="543"/>
      <c r="BT401" s="543"/>
      <c r="BU401" s="543"/>
      <c r="BV401" s="543"/>
      <c r="BW401" s="543"/>
      <c r="BX401" s="543"/>
      <c r="BY401" s="543"/>
      <c r="BZ401" s="543"/>
      <c r="CA401" s="543"/>
      <c r="CB401" s="543"/>
      <c r="CC401" s="543"/>
      <c r="CD401" s="544"/>
      <c r="CE401" s="543"/>
      <c r="CF401" s="543"/>
      <c r="CG401" s="543"/>
      <c r="CH401" s="543"/>
      <c r="CI401" s="544"/>
      <c r="CJ401" s="543"/>
      <c r="CK401" s="543"/>
      <c r="CL401" s="543"/>
      <c r="CM401" s="543"/>
      <c r="CN401" s="545"/>
      <c r="CO401" s="543"/>
      <c r="CP401" s="545"/>
      <c r="CQ401" s="543"/>
      <c r="CR401" s="543"/>
      <c r="CS401" s="543"/>
      <c r="CT401" s="543"/>
      <c r="CU401" s="545"/>
      <c r="CV401" s="543"/>
      <c r="CW401" s="543"/>
      <c r="CX401" s="543"/>
      <c r="CY401" s="543"/>
      <c r="CZ401" s="543"/>
      <c r="DA401" s="543"/>
      <c r="DB401" s="543"/>
      <c r="DC401" s="543"/>
      <c r="DD401" s="543"/>
      <c r="DE401" s="543"/>
      <c r="DF401" s="543"/>
      <c r="DG401" s="543"/>
      <c r="DH401" s="543"/>
      <c r="DI401" s="543"/>
      <c r="DJ401" s="543"/>
      <c r="DK401" s="543"/>
      <c r="DL401" s="543"/>
      <c r="DM401" s="543"/>
      <c r="DN401" s="543"/>
      <c r="DO401" s="546"/>
      <c r="DP401" s="543"/>
      <c r="DQ401" s="543"/>
      <c r="DR401" s="543"/>
      <c r="DS401" s="543"/>
      <c r="DT401" s="543"/>
      <c r="DU401" s="543"/>
      <c r="DY401" s="546"/>
      <c r="DZ401" s="19"/>
      <c r="EA401" s="19"/>
      <c r="EB401" s="19"/>
      <c r="EC401" s="19"/>
      <c r="ED401" s="19"/>
      <c r="EE401" s="19"/>
      <c r="EI401" s="542"/>
      <c r="EJ401" s="542"/>
      <c r="EK401" s="542"/>
      <c r="EL401" s="542"/>
      <c r="EM401" s="542"/>
      <c r="EN401" s="542"/>
      <c r="EO401" s="542"/>
      <c r="EP401" s="542"/>
      <c r="EQ401" s="542"/>
      <c r="ER401" s="19"/>
      <c r="ES401" s="569">
        <v>174</v>
      </c>
      <c r="ET401" t="s">
        <v>1952</v>
      </c>
      <c r="EU401" t="s">
        <v>1018</v>
      </c>
      <c r="EV401" t="s">
        <v>1019</v>
      </c>
      <c r="EW401" t="s">
        <v>54</v>
      </c>
      <c r="EX401" s="599">
        <v>56296</v>
      </c>
      <c r="EY401">
        <v>1326045253</v>
      </c>
    </row>
    <row r="402" spans="1:155" x14ac:dyDescent="0.2">
      <c r="A402" s="546"/>
      <c r="B402" s="543"/>
      <c r="C402" s="543"/>
      <c r="D402" s="543"/>
      <c r="E402" s="543"/>
      <c r="F402" s="543"/>
      <c r="G402" s="543"/>
      <c r="H402" s="543"/>
      <c r="I402" s="543"/>
      <c r="J402" s="543"/>
      <c r="K402" s="543"/>
      <c r="L402" s="543"/>
      <c r="M402" s="543"/>
      <c r="N402" s="543"/>
      <c r="O402" s="543"/>
      <c r="P402" s="543"/>
      <c r="Q402" s="543"/>
      <c r="R402" s="543"/>
      <c r="S402" s="543"/>
      <c r="T402" s="543"/>
      <c r="U402" s="543"/>
      <c r="V402" s="543"/>
      <c r="W402" s="543"/>
      <c r="X402" s="543"/>
      <c r="Y402" s="543"/>
      <c r="Z402" s="543"/>
      <c r="AA402" s="543"/>
      <c r="AB402" s="543"/>
      <c r="AC402" s="543"/>
      <c r="AD402" s="543"/>
      <c r="AE402" s="543"/>
      <c r="AF402" s="543"/>
      <c r="AG402" s="543"/>
      <c r="AH402" s="543"/>
      <c r="AI402" s="543"/>
      <c r="AJ402" s="543"/>
      <c r="AK402" s="543"/>
      <c r="AL402" s="543"/>
      <c r="AM402" s="543"/>
      <c r="AN402" s="543"/>
      <c r="AO402" s="543"/>
      <c r="AP402" s="543"/>
      <c r="AQ402" s="543"/>
      <c r="AR402" s="543"/>
      <c r="AS402" s="543"/>
      <c r="AT402" s="543"/>
      <c r="AU402" s="543"/>
      <c r="AV402" s="543"/>
      <c r="AW402" s="543"/>
      <c r="AX402" s="543"/>
      <c r="AY402" s="543"/>
      <c r="AZ402" s="543"/>
      <c r="BA402" s="543"/>
      <c r="BB402" s="543"/>
      <c r="BC402" s="543"/>
      <c r="BD402" s="543"/>
      <c r="BE402" s="543"/>
      <c r="BF402" s="543"/>
      <c r="BG402" s="543"/>
      <c r="BH402" s="543"/>
      <c r="BI402" s="543"/>
      <c r="BJ402" s="543"/>
      <c r="BK402" s="543"/>
      <c r="BL402" s="543"/>
      <c r="BM402" s="543"/>
      <c r="BN402" s="543"/>
      <c r="BO402" s="543"/>
      <c r="BP402" s="543"/>
      <c r="BQ402" s="543"/>
      <c r="BR402" s="543"/>
      <c r="BS402" s="543"/>
      <c r="BT402" s="543"/>
      <c r="BU402" s="543"/>
      <c r="BV402" s="543"/>
      <c r="BW402" s="543"/>
      <c r="BX402" s="543"/>
      <c r="BY402" s="543"/>
      <c r="BZ402" s="543"/>
      <c r="CA402" s="543"/>
      <c r="CB402" s="543"/>
      <c r="CC402" s="543"/>
      <c r="CD402" s="544"/>
      <c r="CE402" s="543"/>
      <c r="CF402" s="543"/>
      <c r="CG402" s="543"/>
      <c r="CH402" s="543"/>
      <c r="CI402" s="544"/>
      <c r="CJ402" s="543"/>
      <c r="CK402" s="543"/>
      <c r="CL402" s="543"/>
      <c r="CM402" s="543"/>
      <c r="CN402" s="545"/>
      <c r="CO402" s="543"/>
      <c r="CP402" s="543"/>
      <c r="CQ402" s="543"/>
      <c r="CR402" s="543"/>
      <c r="CS402" s="543"/>
      <c r="CT402" s="543"/>
      <c r="CU402" s="543"/>
      <c r="CV402" s="543"/>
      <c r="CW402" s="543"/>
      <c r="CX402" s="543"/>
      <c r="CY402" s="543"/>
      <c r="CZ402" s="543"/>
      <c r="DA402" s="543"/>
      <c r="DB402" s="543"/>
      <c r="DC402" s="543"/>
      <c r="DD402" s="543"/>
      <c r="DE402" s="543"/>
      <c r="DF402" s="543"/>
      <c r="DG402" s="543"/>
      <c r="DH402" s="543"/>
      <c r="DI402" s="543"/>
      <c r="DJ402" s="543"/>
      <c r="DK402" s="543"/>
      <c r="DL402" s="543"/>
      <c r="DM402" s="543"/>
      <c r="DN402" s="543"/>
      <c r="DO402" s="546"/>
      <c r="DP402" s="543"/>
      <c r="DQ402" s="543"/>
      <c r="DR402" s="543"/>
      <c r="DS402" s="543"/>
      <c r="DT402" s="543"/>
      <c r="DU402" s="543"/>
      <c r="DY402" s="546"/>
      <c r="DZ402" s="19"/>
      <c r="EA402" s="19"/>
      <c r="EB402" s="19"/>
      <c r="EC402" s="19"/>
      <c r="ED402" s="19"/>
      <c r="EE402" s="19"/>
      <c r="EI402" s="542"/>
      <c r="EJ402" s="542"/>
      <c r="EK402" s="542"/>
      <c r="EL402" s="542"/>
      <c r="EM402" s="542"/>
      <c r="EN402" s="542"/>
      <c r="EO402" s="542"/>
      <c r="EP402" s="542"/>
      <c r="EQ402" s="542"/>
      <c r="ER402" s="19"/>
      <c r="ES402" s="569">
        <v>677</v>
      </c>
      <c r="ET402" t="s">
        <v>2133</v>
      </c>
      <c r="EU402" t="s">
        <v>728</v>
      </c>
      <c r="EV402" t="s">
        <v>3153</v>
      </c>
      <c r="EW402" t="s">
        <v>54</v>
      </c>
      <c r="EX402" s="600">
        <v>56201</v>
      </c>
      <c r="EY402">
        <v>1952363699</v>
      </c>
    </row>
    <row r="403" spans="1:155" x14ac:dyDescent="0.2">
      <c r="A403" s="546"/>
      <c r="B403" s="543"/>
      <c r="C403" s="543"/>
      <c r="D403" s="543"/>
      <c r="E403" s="543"/>
      <c r="F403" s="543"/>
      <c r="G403" s="543"/>
      <c r="H403" s="543"/>
      <c r="I403" s="543"/>
      <c r="J403" s="543"/>
      <c r="K403" s="543"/>
      <c r="L403" s="543"/>
      <c r="M403" s="543"/>
      <c r="N403" s="543"/>
      <c r="O403" s="543"/>
      <c r="P403" s="543"/>
      <c r="Q403" s="543"/>
      <c r="R403" s="543"/>
      <c r="S403" s="543"/>
      <c r="T403" s="543"/>
      <c r="U403" s="543"/>
      <c r="V403" s="543"/>
      <c r="W403" s="543"/>
      <c r="X403" s="543"/>
      <c r="Y403" s="543"/>
      <c r="Z403" s="543"/>
      <c r="AA403" s="543"/>
      <c r="AB403" s="543"/>
      <c r="AC403" s="543"/>
      <c r="AD403" s="543"/>
      <c r="AE403" s="543"/>
      <c r="AF403" s="543"/>
      <c r="AG403" s="543"/>
      <c r="AH403" s="543"/>
      <c r="AI403" s="543"/>
      <c r="AJ403" s="543"/>
      <c r="AK403" s="543"/>
      <c r="AL403" s="543"/>
      <c r="AM403" s="543"/>
      <c r="AN403" s="543"/>
      <c r="AO403" s="543"/>
      <c r="AP403" s="543"/>
      <c r="AQ403" s="543"/>
      <c r="AR403" s="543"/>
      <c r="AS403" s="543"/>
      <c r="AT403" s="543"/>
      <c r="AU403" s="543"/>
      <c r="AV403" s="543"/>
      <c r="AW403" s="543"/>
      <c r="AX403" s="543"/>
      <c r="AY403" s="543"/>
      <c r="AZ403" s="543"/>
      <c r="BA403" s="543"/>
      <c r="BB403" s="543"/>
      <c r="BC403" s="543"/>
      <c r="BD403" s="543"/>
      <c r="BE403" s="543"/>
      <c r="BF403" s="543"/>
      <c r="BG403" s="543"/>
      <c r="BH403" s="543"/>
      <c r="BI403" s="543"/>
      <c r="BJ403" s="543"/>
      <c r="BK403" s="543"/>
      <c r="BL403" s="543"/>
      <c r="BM403" s="543"/>
      <c r="BN403" s="543"/>
      <c r="BO403" s="543"/>
      <c r="BP403" s="543"/>
      <c r="BQ403" s="543"/>
      <c r="BR403" s="543"/>
      <c r="BS403" s="543"/>
      <c r="BT403" s="543"/>
      <c r="BU403" s="543"/>
      <c r="BV403" s="543"/>
      <c r="BW403" s="543"/>
      <c r="BX403" s="543"/>
      <c r="BY403" s="543"/>
      <c r="BZ403" s="543"/>
      <c r="CA403" s="543"/>
      <c r="CB403" s="543"/>
      <c r="CC403" s="543"/>
      <c r="CD403" s="544"/>
      <c r="CE403" s="543"/>
      <c r="CF403" s="543"/>
      <c r="CG403" s="543"/>
      <c r="CH403" s="543"/>
      <c r="CI403" s="544"/>
      <c r="CJ403" s="543"/>
      <c r="CK403" s="543"/>
      <c r="CL403" s="543"/>
      <c r="CM403" s="543"/>
      <c r="CN403" s="545"/>
      <c r="CO403" s="543"/>
      <c r="CP403" s="543"/>
      <c r="CQ403" s="543"/>
      <c r="CR403" s="543"/>
      <c r="CS403" s="543"/>
      <c r="CT403" s="543"/>
      <c r="CU403" s="543"/>
      <c r="CV403" s="543"/>
      <c r="CW403" s="543"/>
      <c r="CX403" s="543"/>
      <c r="CY403" s="543"/>
      <c r="CZ403" s="543"/>
      <c r="DA403" s="543"/>
      <c r="DB403" s="543"/>
      <c r="DC403" s="543"/>
      <c r="DD403" s="543"/>
      <c r="DE403" s="543"/>
      <c r="DF403" s="543"/>
      <c r="DG403" s="543"/>
      <c r="DH403" s="543"/>
      <c r="DI403" s="543"/>
      <c r="DJ403" s="543"/>
      <c r="DK403" s="543"/>
      <c r="DL403" s="543"/>
      <c r="DM403" s="543"/>
      <c r="DN403" s="543"/>
      <c r="DO403" s="546"/>
      <c r="DP403" s="543"/>
      <c r="DQ403" s="543"/>
      <c r="DR403" s="543"/>
      <c r="DS403" s="543"/>
      <c r="DT403" s="543"/>
      <c r="DU403" s="543"/>
      <c r="DY403" s="546"/>
      <c r="DZ403" s="19"/>
      <c r="EA403" s="19"/>
      <c r="EB403" s="19"/>
      <c r="EC403" s="19"/>
      <c r="ED403" s="19"/>
      <c r="EE403" s="19"/>
      <c r="EI403" s="542"/>
      <c r="EJ403" s="542"/>
      <c r="EK403" s="542"/>
      <c r="EL403" s="542"/>
      <c r="EM403" s="542"/>
      <c r="EN403" s="542"/>
      <c r="EO403" s="542"/>
      <c r="EP403" s="542"/>
      <c r="EQ403" s="542"/>
      <c r="ER403" s="19"/>
      <c r="ES403" s="569">
        <v>973</v>
      </c>
      <c r="ET403" t="s">
        <v>853</v>
      </c>
      <c r="EU403" t="s">
        <v>728</v>
      </c>
      <c r="EV403" t="s">
        <v>3154</v>
      </c>
      <c r="EW403" t="s">
        <v>54</v>
      </c>
      <c r="EX403" s="600">
        <v>56201</v>
      </c>
      <c r="EY403">
        <v>1659348092</v>
      </c>
    </row>
    <row r="404" spans="1:155" x14ac:dyDescent="0.2">
      <c r="A404" s="546"/>
      <c r="B404" s="543"/>
      <c r="C404" s="543"/>
      <c r="D404" s="543"/>
      <c r="E404" s="543"/>
      <c r="F404" s="543"/>
      <c r="G404" s="543"/>
      <c r="H404" s="543"/>
      <c r="I404" s="543"/>
      <c r="J404" s="543"/>
      <c r="K404" s="543"/>
      <c r="L404" s="543"/>
      <c r="M404" s="543"/>
      <c r="N404" s="543"/>
      <c r="O404" s="543"/>
      <c r="P404" s="543"/>
      <c r="Q404" s="543"/>
      <c r="R404" s="543"/>
      <c r="S404" s="543"/>
      <c r="T404" s="543"/>
      <c r="U404" s="543"/>
      <c r="V404" s="543"/>
      <c r="W404" s="543"/>
      <c r="X404" s="543"/>
      <c r="Y404" s="543"/>
      <c r="Z404" s="543"/>
      <c r="AA404" s="543"/>
      <c r="AB404" s="543"/>
      <c r="AC404" s="543"/>
      <c r="AD404" s="543"/>
      <c r="AE404" s="543"/>
      <c r="AF404" s="543"/>
      <c r="AG404" s="543"/>
      <c r="AH404" s="543"/>
      <c r="AI404" s="543"/>
      <c r="AJ404" s="543"/>
      <c r="AK404" s="543"/>
      <c r="AL404" s="543"/>
      <c r="AM404" s="543"/>
      <c r="AN404" s="543"/>
      <c r="AO404" s="543"/>
      <c r="AP404" s="543"/>
      <c r="AQ404" s="543"/>
      <c r="AR404" s="543"/>
      <c r="AS404" s="543"/>
      <c r="AT404" s="543"/>
      <c r="AU404" s="543"/>
      <c r="AV404" s="543"/>
      <c r="AW404" s="543"/>
      <c r="AX404" s="543"/>
      <c r="AY404" s="543"/>
      <c r="AZ404" s="543"/>
      <c r="BA404" s="543"/>
      <c r="BB404" s="543"/>
      <c r="BC404" s="543"/>
      <c r="BD404" s="543"/>
      <c r="BE404" s="543"/>
      <c r="BF404" s="543"/>
      <c r="BG404" s="543"/>
      <c r="BH404" s="543"/>
      <c r="BI404" s="543"/>
      <c r="BJ404" s="543"/>
      <c r="BK404" s="543"/>
      <c r="BL404" s="543"/>
      <c r="BM404" s="543"/>
      <c r="BN404" s="543"/>
      <c r="BO404" s="543"/>
      <c r="BP404" s="543"/>
      <c r="BQ404" s="543"/>
      <c r="BR404" s="543"/>
      <c r="BS404" s="543"/>
      <c r="BT404" s="543"/>
      <c r="BU404" s="543"/>
      <c r="BV404" s="543"/>
      <c r="BW404" s="543"/>
      <c r="BX404" s="543"/>
      <c r="BY404" s="543"/>
      <c r="BZ404" s="543"/>
      <c r="CA404" s="543"/>
      <c r="CB404" s="543"/>
      <c r="CC404" s="543"/>
      <c r="CD404" s="544"/>
      <c r="CE404" s="543"/>
      <c r="CF404" s="543"/>
      <c r="CG404" s="543"/>
      <c r="CH404" s="543"/>
      <c r="CI404" s="544"/>
      <c r="CJ404" s="543"/>
      <c r="CK404" s="543"/>
      <c r="CL404" s="543"/>
      <c r="CM404" s="543"/>
      <c r="CN404" s="545"/>
      <c r="CO404" s="543"/>
      <c r="CP404" s="545"/>
      <c r="CQ404" s="543"/>
      <c r="CR404" s="543"/>
      <c r="CS404" s="543"/>
      <c r="CT404" s="543"/>
      <c r="CU404" s="543"/>
      <c r="CV404" s="543"/>
      <c r="CW404" s="543"/>
      <c r="CX404" s="543"/>
      <c r="CY404" s="543"/>
      <c r="CZ404" s="543"/>
      <c r="DA404" s="543"/>
      <c r="DB404" s="543"/>
      <c r="DC404" s="543"/>
      <c r="DD404" s="543"/>
      <c r="DE404" s="543"/>
      <c r="DF404" s="543"/>
      <c r="DG404" s="543"/>
      <c r="DH404" s="543"/>
      <c r="DI404" s="543"/>
      <c r="DJ404" s="543"/>
      <c r="DK404" s="543"/>
      <c r="DL404" s="543"/>
      <c r="DM404" s="543"/>
      <c r="DN404" s="543"/>
      <c r="DO404" s="546"/>
      <c r="DP404" s="543"/>
      <c r="DQ404" s="543"/>
      <c r="DR404" s="543"/>
      <c r="DS404" s="543"/>
      <c r="DT404" s="543"/>
      <c r="DU404" s="543"/>
      <c r="DY404" s="546"/>
      <c r="DZ404" s="19"/>
      <c r="EA404" s="19"/>
      <c r="EB404" s="19"/>
      <c r="EC404" s="19"/>
      <c r="ED404" s="19"/>
      <c r="EE404" s="19"/>
      <c r="EI404" s="542"/>
      <c r="EJ404" s="542"/>
      <c r="EK404" s="542"/>
      <c r="EL404" s="542"/>
      <c r="EM404" s="542"/>
      <c r="EN404" s="542"/>
      <c r="EO404" s="542"/>
      <c r="EP404" s="542"/>
      <c r="EQ404" s="542"/>
      <c r="ER404" s="19"/>
      <c r="ES404" s="569">
        <v>209</v>
      </c>
      <c r="ET404" t="s">
        <v>1953</v>
      </c>
      <c r="EU404" t="s">
        <v>728</v>
      </c>
      <c r="EV404" t="s">
        <v>3155</v>
      </c>
      <c r="EW404" t="s">
        <v>54</v>
      </c>
      <c r="EX404" s="599">
        <v>56201</v>
      </c>
      <c r="EY404">
        <v>1285760363</v>
      </c>
    </row>
    <row r="405" spans="1:155" x14ac:dyDescent="0.2">
      <c r="A405" s="546"/>
      <c r="B405" s="543"/>
      <c r="C405" s="543"/>
      <c r="D405" s="543"/>
      <c r="E405" s="543"/>
      <c r="F405" s="543"/>
      <c r="G405" s="543"/>
      <c r="H405" s="543"/>
      <c r="I405" s="543"/>
      <c r="J405" s="543"/>
      <c r="K405" s="543"/>
      <c r="L405" s="543"/>
      <c r="M405" s="543"/>
      <c r="N405" s="543"/>
      <c r="O405" s="543"/>
      <c r="P405" s="543"/>
      <c r="Q405" s="543"/>
      <c r="R405" s="543"/>
      <c r="S405" s="543"/>
      <c r="T405" s="543"/>
      <c r="U405" s="543"/>
      <c r="V405" s="543"/>
      <c r="W405" s="543"/>
      <c r="X405" s="543"/>
      <c r="Y405" s="543"/>
      <c r="Z405" s="543"/>
      <c r="AA405" s="543"/>
      <c r="AB405" s="543"/>
      <c r="AC405" s="543"/>
      <c r="AD405" s="543"/>
      <c r="AE405" s="543"/>
      <c r="AF405" s="543"/>
      <c r="AG405" s="543"/>
      <c r="AH405" s="543"/>
      <c r="AI405" s="543"/>
      <c r="AJ405" s="543"/>
      <c r="AK405" s="543"/>
      <c r="AL405" s="543"/>
      <c r="AM405" s="543"/>
      <c r="AN405" s="543"/>
      <c r="AO405" s="543"/>
      <c r="AP405" s="543"/>
      <c r="AQ405" s="543"/>
      <c r="AR405" s="543"/>
      <c r="AS405" s="543"/>
      <c r="AT405" s="543"/>
      <c r="AU405" s="543"/>
      <c r="AV405" s="543"/>
      <c r="AW405" s="543"/>
      <c r="AX405" s="543"/>
      <c r="AY405" s="543"/>
      <c r="AZ405" s="543"/>
      <c r="BA405" s="543"/>
      <c r="BB405" s="543"/>
      <c r="BC405" s="543"/>
      <c r="BD405" s="543"/>
      <c r="BE405" s="543"/>
      <c r="BF405" s="543"/>
      <c r="BG405" s="543"/>
      <c r="BH405" s="543"/>
      <c r="BI405" s="543"/>
      <c r="BJ405" s="543"/>
      <c r="BK405" s="543"/>
      <c r="BL405" s="543"/>
      <c r="BM405" s="543"/>
      <c r="BN405" s="543"/>
      <c r="BO405" s="543"/>
      <c r="BP405" s="543"/>
      <c r="BQ405" s="543"/>
      <c r="BR405" s="543"/>
      <c r="BS405" s="543"/>
      <c r="BT405" s="543"/>
      <c r="BU405" s="543"/>
      <c r="BV405" s="543"/>
      <c r="BW405" s="543"/>
      <c r="BX405" s="543"/>
      <c r="BY405" s="543"/>
      <c r="BZ405" s="543"/>
      <c r="CA405" s="543"/>
      <c r="CB405" s="543"/>
      <c r="CC405" s="543"/>
      <c r="CD405" s="544"/>
      <c r="CE405" s="543"/>
      <c r="CF405" s="543"/>
      <c r="CG405" s="543"/>
      <c r="CH405" s="543"/>
      <c r="CI405" s="544"/>
      <c r="CJ405" s="543"/>
      <c r="CK405" s="543"/>
      <c r="CL405" s="543"/>
      <c r="CM405" s="543"/>
      <c r="CN405" s="545"/>
      <c r="CO405" s="543"/>
      <c r="CP405" s="545"/>
      <c r="CQ405" s="543"/>
      <c r="CR405" s="543"/>
      <c r="CS405" s="543"/>
      <c r="CT405" s="543"/>
      <c r="CU405" s="543"/>
      <c r="CV405" s="543"/>
      <c r="CW405" s="543"/>
      <c r="CX405" s="543"/>
      <c r="CY405" s="543"/>
      <c r="CZ405" s="543"/>
      <c r="DA405" s="543"/>
      <c r="DB405" s="543"/>
      <c r="DC405" s="543"/>
      <c r="DD405" s="543"/>
      <c r="DE405" s="543"/>
      <c r="DF405" s="543"/>
      <c r="DG405" s="543"/>
      <c r="DH405" s="543"/>
      <c r="DI405" s="543"/>
      <c r="DJ405" s="543"/>
      <c r="DK405" s="543"/>
      <c r="DL405" s="543"/>
      <c r="DM405" s="543"/>
      <c r="DN405" s="543"/>
      <c r="DO405" s="546"/>
      <c r="DP405" s="543"/>
      <c r="DQ405" s="543"/>
      <c r="DR405" s="543"/>
      <c r="DS405" s="543"/>
      <c r="DT405" s="543"/>
      <c r="DU405" s="543"/>
      <c r="DY405" s="546"/>
      <c r="DZ405" s="19"/>
      <c r="EA405" s="19"/>
      <c r="EB405" s="19"/>
      <c r="EC405" s="19"/>
      <c r="ED405" s="19"/>
      <c r="EE405" s="19"/>
      <c r="EI405" s="542"/>
      <c r="EJ405" s="542"/>
      <c r="EK405" s="542"/>
      <c r="EL405" s="542"/>
      <c r="EM405" s="542"/>
      <c r="EN405" s="542"/>
      <c r="EO405" s="542"/>
      <c r="EP405" s="542"/>
      <c r="EQ405" s="542"/>
      <c r="ER405" s="19"/>
      <c r="ES405" s="569">
        <v>118</v>
      </c>
      <c r="ET405" t="s">
        <v>1954</v>
      </c>
      <c r="EU405" t="s">
        <v>728</v>
      </c>
      <c r="EV405" t="s">
        <v>2359</v>
      </c>
      <c r="EW405" t="s">
        <v>54</v>
      </c>
      <c r="EX405" s="599">
        <v>56201</v>
      </c>
      <c r="EY405">
        <v>1619064193</v>
      </c>
    </row>
    <row r="406" spans="1:155" x14ac:dyDescent="0.2">
      <c r="A406" s="546"/>
      <c r="B406" s="543"/>
      <c r="C406" s="543"/>
      <c r="D406" s="543"/>
      <c r="E406" s="543"/>
      <c r="F406" s="543"/>
      <c r="G406" s="543"/>
      <c r="H406" s="543"/>
      <c r="I406" s="543"/>
      <c r="J406" s="543"/>
      <c r="K406" s="543"/>
      <c r="L406" s="543"/>
      <c r="M406" s="543"/>
      <c r="N406" s="543"/>
      <c r="O406" s="543"/>
      <c r="P406" s="543"/>
      <c r="Q406" s="543"/>
      <c r="R406" s="543"/>
      <c r="S406" s="543"/>
      <c r="T406" s="543"/>
      <c r="U406" s="543"/>
      <c r="V406" s="543"/>
      <c r="W406" s="543"/>
      <c r="X406" s="543"/>
      <c r="Y406" s="543"/>
      <c r="Z406" s="543"/>
      <c r="AA406" s="543"/>
      <c r="AB406" s="543"/>
      <c r="AC406" s="543"/>
      <c r="AD406" s="543"/>
      <c r="AE406" s="543"/>
      <c r="AF406" s="543"/>
      <c r="AG406" s="543"/>
      <c r="AH406" s="543"/>
      <c r="AI406" s="543"/>
      <c r="AJ406" s="543"/>
      <c r="AK406" s="543"/>
      <c r="AL406" s="543"/>
      <c r="AM406" s="543"/>
      <c r="AN406" s="543"/>
      <c r="AO406" s="543"/>
      <c r="AP406" s="543"/>
      <c r="AQ406" s="543"/>
      <c r="AR406" s="543"/>
      <c r="AS406" s="543"/>
      <c r="AT406" s="543"/>
      <c r="AU406" s="543"/>
      <c r="AV406" s="543"/>
      <c r="AW406" s="543"/>
      <c r="AX406" s="543"/>
      <c r="AY406" s="543"/>
      <c r="AZ406" s="543"/>
      <c r="BA406" s="543"/>
      <c r="BB406" s="543"/>
      <c r="BC406" s="543"/>
      <c r="BD406" s="543"/>
      <c r="BE406" s="543"/>
      <c r="BF406" s="543"/>
      <c r="BG406" s="543"/>
      <c r="BH406" s="543"/>
      <c r="BI406" s="543"/>
      <c r="BJ406" s="543"/>
      <c r="BK406" s="543"/>
      <c r="BL406" s="543"/>
      <c r="BM406" s="543"/>
      <c r="BN406" s="543"/>
      <c r="BO406" s="543"/>
      <c r="BP406" s="543"/>
      <c r="BQ406" s="543"/>
      <c r="BR406" s="543"/>
      <c r="BS406" s="543"/>
      <c r="BT406" s="543"/>
      <c r="BU406" s="543"/>
      <c r="BV406" s="543"/>
      <c r="BW406" s="543"/>
      <c r="BX406" s="543"/>
      <c r="BY406" s="543"/>
      <c r="BZ406" s="543"/>
      <c r="CA406" s="543"/>
      <c r="CB406" s="543"/>
      <c r="CC406" s="543"/>
      <c r="CD406" s="544"/>
      <c r="CE406" s="543"/>
      <c r="CF406" s="543"/>
      <c r="CG406" s="543"/>
      <c r="CH406" s="543"/>
      <c r="CI406" s="544"/>
      <c r="CJ406" s="543"/>
      <c r="CK406" s="543"/>
      <c r="CL406" s="543"/>
      <c r="CM406" s="543"/>
      <c r="CN406" s="545"/>
      <c r="CO406" s="543"/>
      <c r="CP406" s="545"/>
      <c r="CQ406" s="543"/>
      <c r="CR406" s="543"/>
      <c r="CS406" s="543"/>
      <c r="CT406" s="543"/>
      <c r="CU406" s="543"/>
      <c r="CV406" s="543"/>
      <c r="CW406" s="543"/>
      <c r="CX406" s="543"/>
      <c r="CY406" s="543"/>
      <c r="CZ406" s="543"/>
      <c r="DA406" s="543"/>
      <c r="DB406" s="543"/>
      <c r="DC406" s="543"/>
      <c r="DD406" s="543"/>
      <c r="DE406" s="543"/>
      <c r="DF406" s="543"/>
      <c r="DG406" s="543"/>
      <c r="DH406" s="543"/>
      <c r="DI406" s="543"/>
      <c r="DJ406" s="543"/>
      <c r="DK406" s="543"/>
      <c r="DL406" s="543"/>
      <c r="DM406" s="543"/>
      <c r="DN406" s="543"/>
      <c r="DO406" s="546"/>
      <c r="DP406" s="543"/>
      <c r="DQ406" s="543"/>
      <c r="DR406" s="543"/>
      <c r="DS406" s="543"/>
      <c r="DT406" s="543"/>
      <c r="DU406" s="543"/>
      <c r="DY406" s="546"/>
      <c r="DZ406" s="19"/>
      <c r="EA406" s="19"/>
      <c r="EB406" s="19"/>
      <c r="EC406" s="19"/>
      <c r="ED406" s="19"/>
      <c r="EE406" s="19"/>
      <c r="EI406" s="542"/>
      <c r="EJ406" s="542"/>
      <c r="EK406" s="542"/>
      <c r="EL406" s="542"/>
      <c r="EM406" s="542"/>
      <c r="EN406" s="542"/>
      <c r="EO406" s="542"/>
      <c r="EP406" s="542"/>
      <c r="EQ406" s="542"/>
      <c r="ER406" s="19"/>
      <c r="ES406" s="569">
        <v>990</v>
      </c>
      <c r="ET406" t="s">
        <v>1801</v>
      </c>
      <c r="EU406" t="s">
        <v>728</v>
      </c>
      <c r="EV406" t="s">
        <v>3154</v>
      </c>
      <c r="EW406" t="s">
        <v>54</v>
      </c>
      <c r="EX406" s="600">
        <v>56201</v>
      </c>
      <c r="EY406"/>
    </row>
    <row r="407" spans="1:155" x14ac:dyDescent="0.2">
      <c r="A407" s="546"/>
      <c r="B407" s="543"/>
      <c r="C407" s="543"/>
      <c r="D407" s="19"/>
      <c r="E407" s="547"/>
      <c r="F407" s="547"/>
      <c r="G407" s="547"/>
      <c r="H407" s="547"/>
      <c r="I407" s="547"/>
      <c r="J407" s="547"/>
      <c r="K407" s="547"/>
      <c r="L407" s="547"/>
      <c r="M407" s="547"/>
      <c r="N407" s="547"/>
      <c r="O407" s="547"/>
      <c r="P407" s="548"/>
      <c r="Q407" s="548"/>
      <c r="R407" s="547"/>
      <c r="S407" s="547"/>
      <c r="T407" s="547"/>
      <c r="U407" s="547"/>
      <c r="V407" s="547"/>
      <c r="W407" s="547"/>
      <c r="X407" s="547"/>
      <c r="Y407" s="547"/>
      <c r="Z407" s="548"/>
      <c r="AA407" s="547"/>
      <c r="AB407" s="548"/>
      <c r="AC407" s="547"/>
      <c r="AD407" s="547"/>
      <c r="AE407" s="547"/>
      <c r="AF407" s="547"/>
      <c r="AG407" s="547"/>
      <c r="AH407" s="547"/>
      <c r="AI407" s="547"/>
      <c r="AJ407" s="547"/>
      <c r="AK407" s="547"/>
      <c r="AL407" s="547"/>
      <c r="AM407" s="547"/>
      <c r="AN407" s="548"/>
      <c r="AO407" s="547"/>
      <c r="AP407" s="548"/>
      <c r="AQ407" s="547"/>
      <c r="AR407" s="547"/>
      <c r="AS407" s="547"/>
      <c r="AT407" s="547"/>
      <c r="AU407" s="547"/>
      <c r="AV407" s="547"/>
      <c r="AW407" s="547"/>
      <c r="AX407" s="547"/>
      <c r="AY407" s="547"/>
      <c r="AZ407" s="547"/>
      <c r="BA407" s="547"/>
      <c r="BB407" s="548"/>
      <c r="BC407" s="547"/>
      <c r="BD407" s="548"/>
      <c r="BE407" s="547"/>
      <c r="BF407" s="547"/>
      <c r="BG407" s="547"/>
      <c r="BH407" s="547"/>
      <c r="BI407" s="547"/>
      <c r="BJ407" s="547"/>
      <c r="BK407" s="547"/>
      <c r="BL407" s="547"/>
      <c r="BM407" s="547"/>
      <c r="BN407" s="547"/>
      <c r="BO407" s="547"/>
      <c r="BP407" s="547"/>
      <c r="BQ407" s="547"/>
      <c r="BR407" s="548"/>
      <c r="BS407" s="547"/>
      <c r="BT407" s="547"/>
      <c r="BU407" s="547"/>
      <c r="BV407" s="547"/>
      <c r="BW407" s="547"/>
      <c r="BX407" s="547"/>
      <c r="BY407" s="547"/>
      <c r="BZ407" s="547"/>
      <c r="CA407" s="547"/>
      <c r="CB407" s="547"/>
      <c r="CC407" s="547"/>
      <c r="CD407" s="547"/>
      <c r="CE407" s="547"/>
      <c r="CF407" s="547"/>
      <c r="CG407" s="547"/>
      <c r="CH407" s="547"/>
      <c r="CI407" s="547"/>
      <c r="CJ407" s="549"/>
      <c r="CK407" s="547"/>
      <c r="CL407" s="547"/>
      <c r="CM407" s="547"/>
      <c r="CN407" s="550"/>
      <c r="CO407" s="547"/>
      <c r="CP407" s="19"/>
      <c r="CQ407" s="19"/>
      <c r="CR407" s="19"/>
      <c r="CS407" s="19"/>
      <c r="CT407" s="19"/>
      <c r="CU407" s="19"/>
      <c r="EI407" s="542"/>
      <c r="EJ407" s="542"/>
      <c r="EK407" s="542"/>
      <c r="EL407" s="542"/>
      <c r="EM407" s="542"/>
      <c r="EN407" s="542"/>
      <c r="EO407" s="542"/>
      <c r="EP407" s="542"/>
      <c r="EQ407" s="542"/>
      <c r="ER407" s="19"/>
      <c r="ES407" s="569">
        <v>176</v>
      </c>
      <c r="ET407" t="s">
        <v>1955</v>
      </c>
      <c r="EU407" t="s">
        <v>1956</v>
      </c>
      <c r="EV407" t="s">
        <v>2360</v>
      </c>
      <c r="EW407" t="s">
        <v>54</v>
      </c>
      <c r="EX407" s="599">
        <v>56101</v>
      </c>
      <c r="EY407">
        <v>1841288644</v>
      </c>
    </row>
    <row r="408" spans="1:155" x14ac:dyDescent="0.2">
      <c r="A408" s="546"/>
      <c r="B408" s="543"/>
      <c r="C408" s="543"/>
      <c r="D408" s="543"/>
      <c r="E408" s="543"/>
      <c r="F408" s="543"/>
      <c r="G408" s="543"/>
      <c r="H408" s="543"/>
      <c r="I408" s="543"/>
      <c r="J408" s="543"/>
      <c r="K408" s="543"/>
      <c r="L408" s="543"/>
      <c r="M408" s="543"/>
      <c r="N408" s="543"/>
      <c r="O408" s="543"/>
      <c r="P408" s="543"/>
      <c r="Q408" s="543"/>
      <c r="R408" s="543"/>
      <c r="S408" s="543"/>
      <c r="T408" s="543"/>
      <c r="U408" s="543"/>
      <c r="V408" s="543"/>
      <c r="W408" s="543"/>
      <c r="X408" s="543"/>
      <c r="Y408" s="543"/>
      <c r="Z408" s="543"/>
      <c r="AA408" s="543"/>
      <c r="AB408" s="543"/>
      <c r="AC408" s="543"/>
      <c r="AD408" s="543"/>
      <c r="AE408" s="543"/>
      <c r="AF408" s="543"/>
      <c r="AG408" s="543"/>
      <c r="AH408" s="543"/>
      <c r="AI408" s="543"/>
      <c r="AJ408" s="543"/>
      <c r="AK408" s="543"/>
      <c r="AL408" s="556"/>
      <c r="AM408" s="543"/>
      <c r="AN408" s="543"/>
      <c r="AO408" s="543"/>
      <c r="AP408" s="543"/>
      <c r="AQ408" s="543"/>
      <c r="AR408" s="543"/>
      <c r="AS408" s="543"/>
      <c r="AT408" s="543"/>
      <c r="AU408" s="543"/>
      <c r="AV408" s="543"/>
      <c r="AW408" s="543"/>
      <c r="AX408" s="543"/>
      <c r="AY408" s="543"/>
      <c r="AZ408" s="543"/>
      <c r="BA408" s="543"/>
      <c r="BB408" s="543"/>
      <c r="BC408" s="543"/>
      <c r="BD408" s="543"/>
      <c r="BE408" s="543"/>
      <c r="BF408" s="543"/>
      <c r="BG408" s="543"/>
      <c r="BH408" s="543"/>
      <c r="BI408" s="543"/>
      <c r="BJ408" s="543"/>
      <c r="BK408" s="543"/>
      <c r="BL408" s="543"/>
      <c r="BM408" s="543"/>
      <c r="BN408" s="543"/>
      <c r="BO408" s="543"/>
      <c r="BP408" s="543"/>
      <c r="BQ408" s="543"/>
      <c r="BR408" s="543"/>
      <c r="BS408" s="543"/>
      <c r="BT408" s="543"/>
      <c r="BU408" s="545"/>
      <c r="BV408" s="543"/>
      <c r="BW408" s="543"/>
      <c r="BX408" s="543"/>
      <c r="BY408" s="543"/>
      <c r="BZ408" s="543"/>
      <c r="CA408" s="543"/>
      <c r="CB408" s="543"/>
      <c r="CC408" s="543"/>
      <c r="CD408" s="544"/>
      <c r="CE408" s="543"/>
      <c r="CF408" s="543"/>
      <c r="CG408" s="543"/>
      <c r="CH408" s="543"/>
      <c r="CI408" s="544"/>
      <c r="CJ408" s="543"/>
      <c r="CK408" s="543"/>
      <c r="CL408" s="543"/>
      <c r="CM408" s="543"/>
      <c r="CN408" s="545"/>
      <c r="CO408" s="543"/>
      <c r="CP408" s="543"/>
      <c r="CQ408" s="543"/>
      <c r="CR408" s="543"/>
      <c r="CS408" s="543"/>
      <c r="CT408" s="543"/>
      <c r="CU408" s="545"/>
      <c r="CV408" s="543"/>
      <c r="CW408" s="543"/>
      <c r="CX408" s="543"/>
      <c r="CY408" s="543"/>
      <c r="CZ408" s="543"/>
      <c r="DA408" s="543"/>
      <c r="DB408" s="543"/>
      <c r="DC408" s="543"/>
      <c r="DD408" s="543"/>
      <c r="DE408" s="543"/>
      <c r="DF408" s="543"/>
      <c r="DG408" s="543"/>
      <c r="DH408" s="543"/>
      <c r="DI408" s="543"/>
      <c r="DJ408" s="543"/>
      <c r="DK408" s="543"/>
      <c r="DL408" s="543"/>
      <c r="DM408" s="543"/>
      <c r="DN408" s="543"/>
      <c r="DO408" s="546"/>
      <c r="DP408" s="543"/>
      <c r="DQ408" s="543"/>
      <c r="DR408" s="543"/>
      <c r="DS408" s="543"/>
      <c r="DT408" s="543"/>
      <c r="DU408" s="543"/>
      <c r="DY408" s="546"/>
      <c r="DZ408" s="19"/>
      <c r="EA408" s="19"/>
      <c r="EB408" s="19"/>
      <c r="EC408" s="19"/>
      <c r="ED408" s="19"/>
      <c r="EE408" s="19"/>
      <c r="EI408" s="542"/>
      <c r="EJ408" s="542"/>
      <c r="EK408" s="542"/>
      <c r="EL408" s="542"/>
      <c r="EM408" s="542"/>
      <c r="EN408" s="542"/>
      <c r="EO408" s="542"/>
      <c r="EP408" s="542"/>
      <c r="EQ408" s="542"/>
      <c r="ER408" s="19"/>
      <c r="ES408" s="569">
        <v>27</v>
      </c>
      <c r="ET408" t="s">
        <v>1957</v>
      </c>
      <c r="EU408" t="s">
        <v>1958</v>
      </c>
      <c r="EV408" t="s">
        <v>2361</v>
      </c>
      <c r="EW408" t="s">
        <v>54</v>
      </c>
      <c r="EX408" s="599">
        <v>55987</v>
      </c>
      <c r="EY408">
        <v>1295789352</v>
      </c>
    </row>
    <row r="409" spans="1:155" x14ac:dyDescent="0.2">
      <c r="A409" s="546"/>
      <c r="B409" s="543"/>
      <c r="C409" s="543"/>
      <c r="D409" s="19"/>
      <c r="E409" s="547"/>
      <c r="F409" s="547"/>
      <c r="G409" s="547"/>
      <c r="H409" s="547"/>
      <c r="I409" s="547"/>
      <c r="J409" s="547"/>
      <c r="K409" s="547"/>
      <c r="L409" s="547"/>
      <c r="M409" s="547"/>
      <c r="N409" s="547"/>
      <c r="O409" s="547"/>
      <c r="P409" s="548"/>
      <c r="Q409" s="548"/>
      <c r="R409" s="547"/>
      <c r="S409" s="547"/>
      <c r="T409" s="547"/>
      <c r="U409" s="547"/>
      <c r="V409" s="547"/>
      <c r="W409" s="547"/>
      <c r="X409" s="547"/>
      <c r="Y409" s="547"/>
      <c r="Z409" s="548"/>
      <c r="AA409" s="547"/>
      <c r="AB409" s="548"/>
      <c r="AC409" s="547"/>
      <c r="AD409" s="547"/>
      <c r="AE409" s="547"/>
      <c r="AF409" s="547"/>
      <c r="AG409" s="547"/>
      <c r="AH409" s="547"/>
      <c r="AI409" s="547"/>
      <c r="AJ409" s="547"/>
      <c r="AK409" s="547"/>
      <c r="AL409" s="547"/>
      <c r="AM409" s="547"/>
      <c r="AN409" s="548"/>
      <c r="AO409" s="547"/>
      <c r="AP409" s="548"/>
      <c r="AQ409" s="547"/>
      <c r="AR409" s="547"/>
      <c r="AS409" s="547"/>
      <c r="AT409" s="547"/>
      <c r="AU409" s="547"/>
      <c r="AV409" s="547"/>
      <c r="AW409" s="547"/>
      <c r="AX409" s="547"/>
      <c r="AY409" s="547"/>
      <c r="AZ409" s="547"/>
      <c r="BA409" s="547"/>
      <c r="BB409" s="548"/>
      <c r="BC409" s="547"/>
      <c r="BD409" s="548"/>
      <c r="BE409" s="547"/>
      <c r="BF409" s="547"/>
      <c r="BG409" s="547"/>
      <c r="BH409" s="547"/>
      <c r="BI409" s="547"/>
      <c r="BJ409" s="547"/>
      <c r="BK409" s="547"/>
      <c r="BL409" s="547"/>
      <c r="BM409" s="547"/>
      <c r="BN409" s="547"/>
      <c r="BO409" s="547"/>
      <c r="BP409" s="547"/>
      <c r="BQ409" s="547"/>
      <c r="BR409" s="548"/>
      <c r="BS409" s="547"/>
      <c r="BT409" s="547"/>
      <c r="BU409" s="547"/>
      <c r="BV409" s="547"/>
      <c r="BW409" s="547"/>
      <c r="BX409" s="547"/>
      <c r="BY409" s="547"/>
      <c r="BZ409" s="547"/>
      <c r="CA409" s="547"/>
      <c r="CB409" s="547"/>
      <c r="CC409" s="547"/>
      <c r="CD409" s="547"/>
      <c r="CE409" s="547"/>
      <c r="CF409" s="550"/>
      <c r="CG409" s="547"/>
      <c r="CH409" s="547"/>
      <c r="CI409" s="547"/>
      <c r="CJ409" s="549"/>
      <c r="CK409" s="547"/>
      <c r="CL409" s="547"/>
      <c r="CM409" s="547"/>
      <c r="CN409" s="547"/>
      <c r="CO409" s="547"/>
      <c r="CP409" s="19"/>
      <c r="CQ409" s="19"/>
      <c r="CR409" s="19"/>
      <c r="CS409" s="19"/>
      <c r="CT409" s="19"/>
      <c r="CU409" s="19"/>
      <c r="EI409" s="542"/>
      <c r="EJ409" s="542"/>
      <c r="EK409" s="542"/>
      <c r="EL409" s="542"/>
      <c r="EM409" s="542"/>
      <c r="EN409" s="542"/>
      <c r="EO409" s="542"/>
      <c r="EP409" s="542"/>
      <c r="EQ409" s="542"/>
      <c r="ER409" s="19"/>
      <c r="ES409" s="569">
        <v>693</v>
      </c>
      <c r="ET409" t="s">
        <v>777</v>
      </c>
      <c r="EU409" t="s">
        <v>778</v>
      </c>
      <c r="EV409" t="s">
        <v>3156</v>
      </c>
      <c r="EW409" t="s">
        <v>54</v>
      </c>
      <c r="EX409" s="600">
        <v>55125</v>
      </c>
      <c r="EY409">
        <v>1134169071</v>
      </c>
    </row>
    <row r="410" spans="1:155" x14ac:dyDescent="0.2">
      <c r="A410" s="546"/>
      <c r="B410" s="543"/>
      <c r="C410" s="543"/>
      <c r="D410" s="543"/>
      <c r="E410" s="543"/>
      <c r="F410" s="543"/>
      <c r="G410" s="543"/>
      <c r="H410" s="543"/>
      <c r="I410" s="543"/>
      <c r="J410" s="543"/>
      <c r="K410" s="543"/>
      <c r="L410" s="543"/>
      <c r="M410" s="543"/>
      <c r="N410" s="543"/>
      <c r="O410" s="543"/>
      <c r="P410" s="543"/>
      <c r="Q410" s="543"/>
      <c r="R410" s="543"/>
      <c r="S410" s="543"/>
      <c r="T410" s="543"/>
      <c r="U410" s="543"/>
      <c r="V410" s="543"/>
      <c r="W410" s="543"/>
      <c r="X410" s="543"/>
      <c r="Y410" s="543"/>
      <c r="Z410" s="543"/>
      <c r="AA410" s="543"/>
      <c r="AB410" s="543"/>
      <c r="AC410" s="543"/>
      <c r="AD410" s="543"/>
      <c r="AE410" s="543"/>
      <c r="AF410" s="543"/>
      <c r="AG410" s="543"/>
      <c r="AH410" s="543"/>
      <c r="AI410" s="543"/>
      <c r="AJ410" s="543"/>
      <c r="AK410" s="543"/>
      <c r="AL410" s="543"/>
      <c r="AM410" s="543"/>
      <c r="AN410" s="543"/>
      <c r="AO410" s="543"/>
      <c r="AP410" s="543"/>
      <c r="AQ410" s="543"/>
      <c r="AR410" s="543"/>
      <c r="AS410" s="543"/>
      <c r="AT410" s="543"/>
      <c r="AU410" s="543"/>
      <c r="AV410" s="543"/>
      <c r="AW410" s="543"/>
      <c r="AX410" s="543"/>
      <c r="AY410" s="543"/>
      <c r="AZ410" s="543"/>
      <c r="BA410" s="543"/>
      <c r="BB410" s="543"/>
      <c r="BC410" s="543"/>
      <c r="BD410" s="543"/>
      <c r="BE410" s="543"/>
      <c r="BF410" s="543"/>
      <c r="BG410" s="543"/>
      <c r="BH410" s="543"/>
      <c r="BI410" s="543"/>
      <c r="BJ410" s="543"/>
      <c r="BK410" s="543"/>
      <c r="BL410" s="543"/>
      <c r="BM410" s="543"/>
      <c r="BN410" s="543"/>
      <c r="BO410" s="543"/>
      <c r="BP410" s="543"/>
      <c r="BQ410" s="543"/>
      <c r="BR410" s="543"/>
      <c r="BS410" s="543"/>
      <c r="BT410" s="543"/>
      <c r="BU410" s="543"/>
      <c r="BV410" s="543"/>
      <c r="BW410" s="543"/>
      <c r="BX410" s="543"/>
      <c r="BY410" s="543"/>
      <c r="BZ410" s="543"/>
      <c r="CA410" s="543"/>
      <c r="CB410" s="543"/>
      <c r="CC410" s="543"/>
      <c r="CD410" s="544"/>
      <c r="CE410" s="543"/>
      <c r="CF410" s="543"/>
      <c r="CG410" s="543"/>
      <c r="CH410" s="543"/>
      <c r="CI410" s="544"/>
      <c r="CJ410" s="543"/>
      <c r="CK410" s="543"/>
      <c r="CL410" s="543"/>
      <c r="CM410" s="543"/>
      <c r="CN410" s="545"/>
      <c r="CO410" s="543"/>
      <c r="CP410" s="543"/>
      <c r="CQ410" s="543"/>
      <c r="CR410" s="543"/>
      <c r="CS410" s="543"/>
      <c r="CT410" s="543"/>
      <c r="CU410" s="543"/>
      <c r="CV410" s="543"/>
      <c r="CW410" s="543"/>
      <c r="CX410" s="543"/>
      <c r="CY410" s="543"/>
      <c r="CZ410" s="543"/>
      <c r="DA410" s="543"/>
      <c r="DB410" s="543"/>
      <c r="DC410" s="543"/>
      <c r="DD410" s="543"/>
      <c r="DE410" s="543"/>
      <c r="DF410" s="543"/>
      <c r="DG410" s="543"/>
      <c r="DH410" s="543"/>
      <c r="DI410" s="543"/>
      <c r="DJ410" s="543"/>
      <c r="DK410" s="543"/>
      <c r="DL410" s="543"/>
      <c r="DM410" s="543"/>
      <c r="DN410" s="543"/>
      <c r="DO410" s="546"/>
      <c r="DP410" s="543"/>
      <c r="DQ410" s="543"/>
      <c r="DR410" s="543"/>
      <c r="DS410" s="543"/>
      <c r="DT410" s="543"/>
      <c r="DU410" s="543"/>
      <c r="DY410" s="546"/>
      <c r="DZ410" s="19"/>
      <c r="EA410" s="19"/>
      <c r="EB410" s="19"/>
      <c r="EC410" s="19"/>
      <c r="ED410" s="19"/>
      <c r="EE410" s="19"/>
      <c r="EI410" s="542"/>
      <c r="EJ410" s="542"/>
      <c r="EK410" s="542"/>
      <c r="EL410" s="542"/>
      <c r="EM410" s="542"/>
      <c r="EN410" s="542"/>
      <c r="EO410" s="542"/>
      <c r="EP410" s="542"/>
      <c r="EQ410" s="542"/>
      <c r="ER410" s="19"/>
      <c r="ES410" s="569">
        <v>773</v>
      </c>
      <c r="ET410" t="s">
        <v>857</v>
      </c>
      <c r="EU410" t="s">
        <v>778</v>
      </c>
      <c r="EV410" t="s">
        <v>3157</v>
      </c>
      <c r="EW410" t="s">
        <v>54</v>
      </c>
      <c r="EX410" s="600">
        <v>55125</v>
      </c>
      <c r="EY410">
        <v>1659348092</v>
      </c>
    </row>
    <row r="411" spans="1:155" x14ac:dyDescent="0.2">
      <c r="A411" s="546"/>
      <c r="B411" s="543"/>
      <c r="C411" s="543"/>
      <c r="D411" s="543"/>
      <c r="E411" s="543"/>
      <c r="F411" s="543"/>
      <c r="G411" s="543"/>
      <c r="H411" s="543"/>
      <c r="I411" s="543"/>
      <c r="J411" s="543"/>
      <c r="K411" s="543"/>
      <c r="L411" s="543"/>
      <c r="M411" s="543"/>
      <c r="N411" s="543"/>
      <c r="O411" s="543"/>
      <c r="P411" s="543"/>
      <c r="Q411" s="543"/>
      <c r="R411" s="543"/>
      <c r="S411" s="543"/>
      <c r="T411" s="543"/>
      <c r="U411" s="543"/>
      <c r="V411" s="543"/>
      <c r="W411" s="543"/>
      <c r="X411" s="543"/>
      <c r="Y411" s="543"/>
      <c r="Z411" s="543"/>
      <c r="AA411" s="543"/>
      <c r="AB411" s="543"/>
      <c r="AC411" s="543"/>
      <c r="AD411" s="543"/>
      <c r="AE411" s="543"/>
      <c r="AF411" s="543"/>
      <c r="AG411" s="543"/>
      <c r="AH411" s="543"/>
      <c r="AI411" s="543"/>
      <c r="AJ411" s="543"/>
      <c r="AK411" s="543"/>
      <c r="AL411" s="543"/>
      <c r="AM411" s="543"/>
      <c r="AN411" s="543"/>
      <c r="AO411" s="543"/>
      <c r="AP411" s="543"/>
      <c r="AQ411" s="543"/>
      <c r="AR411" s="543"/>
      <c r="AS411" s="543"/>
      <c r="AT411" s="543"/>
      <c r="AU411" s="543"/>
      <c r="AV411" s="543"/>
      <c r="AW411" s="543"/>
      <c r="AX411" s="543"/>
      <c r="AY411" s="543"/>
      <c r="AZ411" s="543"/>
      <c r="BA411" s="543"/>
      <c r="BB411" s="543"/>
      <c r="BC411" s="543"/>
      <c r="BD411" s="543"/>
      <c r="BE411" s="543"/>
      <c r="BF411" s="543"/>
      <c r="BG411" s="543"/>
      <c r="BH411" s="543"/>
      <c r="BI411" s="543"/>
      <c r="BJ411" s="543"/>
      <c r="BK411" s="543"/>
      <c r="BL411" s="543"/>
      <c r="BM411" s="543"/>
      <c r="BN411" s="543"/>
      <c r="BO411" s="543"/>
      <c r="BP411" s="543"/>
      <c r="BQ411" s="543"/>
      <c r="BR411" s="543"/>
      <c r="BS411" s="543"/>
      <c r="BT411" s="543"/>
      <c r="BU411" s="543"/>
      <c r="BV411" s="543"/>
      <c r="BW411" s="543"/>
      <c r="BX411" s="543"/>
      <c r="BY411" s="543"/>
      <c r="BZ411" s="543"/>
      <c r="CA411" s="543"/>
      <c r="CB411" s="543"/>
      <c r="CC411" s="543"/>
      <c r="CD411" s="544"/>
      <c r="CE411" s="543"/>
      <c r="CF411" s="543"/>
      <c r="CG411" s="543"/>
      <c r="CH411" s="543"/>
      <c r="CI411" s="544"/>
      <c r="CJ411" s="543"/>
      <c r="CK411" s="543"/>
      <c r="CL411" s="543"/>
      <c r="CM411" s="543"/>
      <c r="CN411" s="545"/>
      <c r="CO411" s="543"/>
      <c r="CP411" s="543"/>
      <c r="CQ411" s="543"/>
      <c r="CR411" s="543"/>
      <c r="CS411" s="543"/>
      <c r="CT411" s="543"/>
      <c r="CU411" s="545"/>
      <c r="CV411" s="543"/>
      <c r="CW411" s="543"/>
      <c r="CX411" s="543"/>
      <c r="CY411" s="543"/>
      <c r="CZ411" s="543"/>
      <c r="DA411" s="543"/>
      <c r="DB411" s="543"/>
      <c r="DC411" s="543"/>
      <c r="DD411" s="543"/>
      <c r="DE411" s="545"/>
      <c r="DF411" s="543"/>
      <c r="DG411" s="543"/>
      <c r="DH411" s="543"/>
      <c r="DI411" s="543"/>
      <c r="DJ411" s="543"/>
      <c r="DK411" s="543"/>
      <c r="DL411" s="543"/>
      <c r="DM411" s="543"/>
      <c r="DN411" s="543"/>
      <c r="DO411" s="546"/>
      <c r="DP411" s="543"/>
      <c r="DQ411" s="543"/>
      <c r="DR411" s="543"/>
      <c r="DS411" s="543"/>
      <c r="DT411" s="543"/>
      <c r="DU411" s="543"/>
      <c r="DY411" s="546"/>
      <c r="DZ411" s="19"/>
      <c r="EA411" s="19"/>
      <c r="EB411" s="19"/>
      <c r="EC411" s="19"/>
      <c r="ED411" s="19"/>
      <c r="EE411" s="19"/>
      <c r="EI411" s="542"/>
      <c r="EJ411" s="542"/>
      <c r="EK411" s="542"/>
      <c r="EL411" s="542"/>
      <c r="EM411" s="542"/>
      <c r="EN411" s="542"/>
      <c r="EO411" s="542"/>
      <c r="EP411" s="542"/>
      <c r="EQ411" s="542"/>
      <c r="ER411" s="19"/>
      <c r="ES411" s="569">
        <v>1258</v>
      </c>
      <c r="ET411" t="s">
        <v>1624</v>
      </c>
      <c r="EU411" t="s">
        <v>778</v>
      </c>
      <c r="EV411" t="s">
        <v>3158</v>
      </c>
      <c r="EW411" t="s">
        <v>54</v>
      </c>
      <c r="EX411" s="600">
        <v>55125</v>
      </c>
      <c r="EY411">
        <v>1548713506</v>
      </c>
    </row>
    <row r="412" spans="1:155" x14ac:dyDescent="0.2">
      <c r="A412" s="546"/>
      <c r="B412" s="543"/>
      <c r="C412" s="543"/>
      <c r="D412" s="543"/>
      <c r="E412" s="543"/>
      <c r="F412" s="543"/>
      <c r="G412" s="543"/>
      <c r="H412" s="543"/>
      <c r="I412" s="543"/>
      <c r="J412" s="543"/>
      <c r="K412" s="543"/>
      <c r="L412" s="543"/>
      <c r="M412" s="543"/>
      <c r="N412" s="543"/>
      <c r="O412" s="543"/>
      <c r="P412" s="543"/>
      <c r="Q412" s="543"/>
      <c r="R412" s="543"/>
      <c r="S412" s="543"/>
      <c r="T412" s="543"/>
      <c r="U412" s="543"/>
      <c r="V412" s="543"/>
      <c r="W412" s="543"/>
      <c r="X412" s="543"/>
      <c r="Y412" s="543"/>
      <c r="Z412" s="543"/>
      <c r="AA412" s="543"/>
      <c r="AB412" s="543"/>
      <c r="AC412" s="543"/>
      <c r="AD412" s="543"/>
      <c r="AE412" s="543"/>
      <c r="AF412" s="543"/>
      <c r="AG412" s="543"/>
      <c r="AH412" s="543"/>
      <c r="AI412" s="543"/>
      <c r="AJ412" s="543"/>
      <c r="AK412" s="543"/>
      <c r="AL412" s="543"/>
      <c r="AM412" s="543"/>
      <c r="AN412" s="543"/>
      <c r="AO412" s="543"/>
      <c r="AP412" s="543"/>
      <c r="AQ412" s="543"/>
      <c r="AR412" s="543"/>
      <c r="AS412" s="543"/>
      <c r="AT412" s="543"/>
      <c r="AU412" s="543"/>
      <c r="AV412" s="543"/>
      <c r="AW412" s="543"/>
      <c r="AX412" s="543"/>
      <c r="AY412" s="543"/>
      <c r="AZ412" s="543"/>
      <c r="BA412" s="543"/>
      <c r="BB412" s="543"/>
      <c r="BC412" s="543"/>
      <c r="BD412" s="543"/>
      <c r="BE412" s="543"/>
      <c r="BF412" s="543"/>
      <c r="BG412" s="543"/>
      <c r="BH412" s="543"/>
      <c r="BI412" s="543"/>
      <c r="BJ412" s="543"/>
      <c r="BK412" s="543"/>
      <c r="BL412" s="543"/>
      <c r="BM412" s="543"/>
      <c r="BN412" s="543"/>
      <c r="BO412" s="543"/>
      <c r="BP412" s="543"/>
      <c r="BQ412" s="543"/>
      <c r="BR412" s="543"/>
      <c r="BS412" s="543"/>
      <c r="BT412" s="543"/>
      <c r="BU412" s="543"/>
      <c r="BV412" s="543"/>
      <c r="BW412" s="543"/>
      <c r="BX412" s="543"/>
      <c r="BY412" s="543"/>
      <c r="BZ412" s="543"/>
      <c r="CA412" s="543"/>
      <c r="CB412" s="543"/>
      <c r="CC412" s="543"/>
      <c r="CD412" s="544"/>
      <c r="CE412" s="543"/>
      <c r="CF412" s="543"/>
      <c r="CG412" s="543"/>
      <c r="CH412" s="543"/>
      <c r="CI412" s="544"/>
      <c r="CJ412" s="543"/>
      <c r="CK412" s="543"/>
      <c r="CL412" s="543"/>
      <c r="CM412" s="543"/>
      <c r="CN412" s="545"/>
      <c r="CO412" s="543"/>
      <c r="CP412" s="545"/>
      <c r="CQ412" s="543"/>
      <c r="CR412" s="543"/>
      <c r="CS412" s="543"/>
      <c r="CT412" s="543"/>
      <c r="CU412" s="543"/>
      <c r="CV412" s="543"/>
      <c r="CW412" s="543"/>
      <c r="CX412" s="543"/>
      <c r="CY412" s="543"/>
      <c r="CZ412" s="545"/>
      <c r="DA412" s="543"/>
      <c r="DB412" s="543"/>
      <c r="DC412" s="543"/>
      <c r="DD412" s="543"/>
      <c r="DE412" s="543"/>
      <c r="DF412" s="543"/>
      <c r="DG412" s="543"/>
      <c r="DH412" s="543"/>
      <c r="DI412" s="543"/>
      <c r="DJ412" s="543"/>
      <c r="DK412" s="543"/>
      <c r="DL412" s="543"/>
      <c r="DM412" s="543"/>
      <c r="DN412" s="543"/>
      <c r="DO412" s="546"/>
      <c r="DP412" s="543"/>
      <c r="DQ412" s="543"/>
      <c r="DR412" s="543"/>
      <c r="DS412" s="543"/>
      <c r="DT412" s="543"/>
      <c r="DU412" s="543"/>
      <c r="DY412" s="546"/>
      <c r="DZ412" s="19"/>
      <c r="EA412" s="19"/>
      <c r="EB412" s="19"/>
      <c r="EC412" s="19"/>
      <c r="ED412" s="19"/>
      <c r="EE412" s="19"/>
      <c r="EI412" s="542"/>
      <c r="EJ412" s="542"/>
      <c r="EK412" s="542"/>
      <c r="EL412" s="542"/>
      <c r="EM412" s="542"/>
      <c r="EN412" s="542"/>
      <c r="EO412" s="542"/>
      <c r="EP412" s="542"/>
      <c r="EQ412" s="542"/>
      <c r="ER412" s="19"/>
      <c r="ES412" s="569">
        <v>751</v>
      </c>
      <c r="ET412" t="s">
        <v>1720</v>
      </c>
      <c r="EU412" t="s">
        <v>778</v>
      </c>
      <c r="EV412" t="s">
        <v>3159</v>
      </c>
      <c r="EW412" t="s">
        <v>54</v>
      </c>
      <c r="EX412" s="600">
        <v>55125</v>
      </c>
      <c r="EY412">
        <v>1306899463</v>
      </c>
    </row>
    <row r="413" spans="1:155" x14ac:dyDescent="0.2">
      <c r="A413" s="546"/>
      <c r="B413" s="543"/>
      <c r="C413" s="543"/>
      <c r="D413" s="543"/>
      <c r="E413" s="543"/>
      <c r="F413" s="543"/>
      <c r="G413" s="543"/>
      <c r="H413" s="543"/>
      <c r="I413" s="543"/>
      <c r="J413" s="543"/>
      <c r="K413" s="543"/>
      <c r="L413" s="543"/>
      <c r="M413" s="543"/>
      <c r="N413" s="543"/>
      <c r="O413" s="543"/>
      <c r="P413" s="543"/>
      <c r="Q413" s="543"/>
      <c r="R413" s="543"/>
      <c r="S413" s="543"/>
      <c r="T413" s="543"/>
      <c r="U413" s="543"/>
      <c r="V413" s="543"/>
      <c r="W413" s="543"/>
      <c r="X413" s="543"/>
      <c r="Y413" s="543"/>
      <c r="Z413" s="543"/>
      <c r="AA413" s="543"/>
      <c r="AB413" s="543"/>
      <c r="AC413" s="543"/>
      <c r="AD413" s="543"/>
      <c r="AE413" s="543"/>
      <c r="AF413" s="543"/>
      <c r="AG413" s="543"/>
      <c r="AH413" s="543"/>
      <c r="AI413" s="543"/>
      <c r="AJ413" s="543"/>
      <c r="AK413" s="543"/>
      <c r="AL413" s="543"/>
      <c r="AM413" s="543"/>
      <c r="AN413" s="543"/>
      <c r="AO413" s="543"/>
      <c r="AP413" s="543"/>
      <c r="AQ413" s="543"/>
      <c r="AR413" s="543"/>
      <c r="AS413" s="543"/>
      <c r="AT413" s="543"/>
      <c r="AU413" s="543"/>
      <c r="AV413" s="543"/>
      <c r="AW413" s="543"/>
      <c r="AX413" s="543"/>
      <c r="AY413" s="543"/>
      <c r="AZ413" s="543"/>
      <c r="BA413" s="543"/>
      <c r="BB413" s="543"/>
      <c r="BC413" s="543"/>
      <c r="BD413" s="543"/>
      <c r="BE413" s="543"/>
      <c r="BF413" s="543"/>
      <c r="BG413" s="543"/>
      <c r="BH413" s="543"/>
      <c r="BI413" s="543"/>
      <c r="BJ413" s="543"/>
      <c r="BK413" s="543"/>
      <c r="BL413" s="543"/>
      <c r="BM413" s="543"/>
      <c r="BN413" s="543"/>
      <c r="BO413" s="543"/>
      <c r="BP413" s="543"/>
      <c r="BQ413" s="543"/>
      <c r="BR413" s="543"/>
      <c r="BS413" s="543"/>
      <c r="BT413" s="543"/>
      <c r="BU413" s="543"/>
      <c r="BV413" s="543"/>
      <c r="BW413" s="543"/>
      <c r="BX413" s="543"/>
      <c r="BY413" s="543"/>
      <c r="BZ413" s="543"/>
      <c r="CA413" s="543"/>
      <c r="CB413" s="543"/>
      <c r="CC413" s="543"/>
      <c r="CD413" s="544"/>
      <c r="CE413" s="543"/>
      <c r="CF413" s="543"/>
      <c r="CG413" s="543"/>
      <c r="CH413" s="543"/>
      <c r="CI413" s="544"/>
      <c r="CJ413" s="543"/>
      <c r="CK413" s="543"/>
      <c r="CL413" s="543"/>
      <c r="CM413" s="543"/>
      <c r="CN413" s="545"/>
      <c r="CO413" s="543"/>
      <c r="CP413" s="545"/>
      <c r="CQ413" s="543"/>
      <c r="CR413" s="543"/>
      <c r="CS413" s="543"/>
      <c r="CT413" s="543"/>
      <c r="CU413" s="543"/>
      <c r="CV413" s="543"/>
      <c r="CW413" s="543"/>
      <c r="CX413" s="543"/>
      <c r="CY413" s="543"/>
      <c r="CZ413" s="545"/>
      <c r="DA413" s="543"/>
      <c r="DB413" s="543"/>
      <c r="DC413" s="543"/>
      <c r="DD413" s="543"/>
      <c r="DE413" s="543"/>
      <c r="DF413" s="543"/>
      <c r="DG413" s="543"/>
      <c r="DH413" s="543"/>
      <c r="DI413" s="543"/>
      <c r="DJ413" s="543"/>
      <c r="DK413" s="543"/>
      <c r="DL413" s="543"/>
      <c r="DM413" s="543"/>
      <c r="DN413" s="543"/>
      <c r="DO413" s="546"/>
      <c r="DP413" s="543"/>
      <c r="DQ413" s="543"/>
      <c r="DR413" s="543"/>
      <c r="DS413" s="543"/>
      <c r="DT413" s="543"/>
      <c r="DU413" s="543"/>
      <c r="DY413" s="546"/>
      <c r="DZ413" s="19"/>
      <c r="EA413" s="19"/>
      <c r="EB413" s="19"/>
      <c r="EC413" s="19"/>
      <c r="ED413" s="19"/>
      <c r="EE413" s="19"/>
      <c r="EI413" s="542"/>
      <c r="EJ413" s="542"/>
      <c r="EK413" s="542"/>
      <c r="EL413" s="542"/>
      <c r="EM413" s="542"/>
      <c r="EN413" s="542"/>
      <c r="EO413" s="542"/>
      <c r="EP413" s="542"/>
      <c r="EQ413" s="542"/>
      <c r="ER413" s="19"/>
      <c r="ES413" s="569">
        <v>1315</v>
      </c>
      <c r="ET413" t="s">
        <v>2172</v>
      </c>
      <c r="EU413" t="s">
        <v>778</v>
      </c>
      <c r="EV413" t="s">
        <v>3160</v>
      </c>
      <c r="EW413" t="s">
        <v>54</v>
      </c>
      <c r="EX413" s="600">
        <v>55125</v>
      </c>
      <c r="EY413">
        <v>1518273085</v>
      </c>
    </row>
    <row r="414" spans="1:155" x14ac:dyDescent="0.2">
      <c r="A414" s="546"/>
      <c r="B414" s="543"/>
      <c r="C414" s="543"/>
      <c r="D414" s="554"/>
      <c r="E414" s="554"/>
      <c r="F414" s="554"/>
      <c r="G414" s="554"/>
      <c r="H414" s="554"/>
      <c r="I414" s="554"/>
      <c r="J414" s="554"/>
      <c r="K414" s="554"/>
      <c r="L414" s="554"/>
      <c r="M414" s="554"/>
      <c r="N414" s="554"/>
      <c r="O414" s="554"/>
      <c r="P414" s="554"/>
      <c r="Q414" s="554"/>
      <c r="R414" s="554"/>
      <c r="S414" s="554"/>
      <c r="T414" s="554"/>
      <c r="U414" s="554"/>
      <c r="V414" s="554"/>
      <c r="W414" s="554"/>
      <c r="X414" s="554"/>
      <c r="Y414" s="554"/>
      <c r="Z414" s="554"/>
      <c r="AA414" s="554"/>
      <c r="AB414" s="554"/>
      <c r="AC414" s="554"/>
      <c r="AD414" s="554"/>
      <c r="AE414" s="554"/>
      <c r="AF414" s="554"/>
      <c r="AG414" s="554"/>
      <c r="AH414" s="554"/>
      <c r="AI414" s="554"/>
      <c r="AJ414" s="554"/>
      <c r="AK414" s="554"/>
      <c r="AL414" s="554"/>
      <c r="AM414" s="554"/>
      <c r="AN414" s="554"/>
      <c r="AO414" s="554"/>
      <c r="AP414" s="554"/>
      <c r="AQ414" s="554"/>
      <c r="AR414" s="554"/>
      <c r="AS414" s="554"/>
      <c r="AT414" s="554"/>
      <c r="AU414" s="554"/>
      <c r="AV414" s="554"/>
      <c r="AW414" s="554"/>
      <c r="AX414" s="554"/>
      <c r="AY414" s="554"/>
      <c r="AZ414" s="554"/>
      <c r="BA414" s="554"/>
      <c r="BB414" s="554"/>
      <c r="BC414" s="554"/>
      <c r="BD414" s="554"/>
      <c r="BE414" s="554"/>
      <c r="BF414" s="554"/>
      <c r="BG414" s="554"/>
      <c r="BH414" s="554"/>
      <c r="BI414" s="554"/>
      <c r="BJ414" s="554"/>
      <c r="BK414" s="554"/>
      <c r="BL414" s="554"/>
      <c r="BM414" s="554"/>
      <c r="BN414" s="554"/>
      <c r="BO414" s="554"/>
      <c r="BP414" s="554"/>
      <c r="BQ414" s="554"/>
      <c r="BR414" s="554"/>
      <c r="BS414" s="554"/>
      <c r="BT414" s="554"/>
      <c r="BU414" s="554"/>
      <c r="BV414" s="554"/>
      <c r="BW414" s="554"/>
      <c r="BX414" s="554"/>
      <c r="BY414" s="554"/>
      <c r="BZ414" s="554"/>
      <c r="CA414" s="554"/>
      <c r="CB414" s="554"/>
      <c r="CC414" s="554"/>
      <c r="CD414" s="554"/>
      <c r="CE414" s="554"/>
      <c r="CF414" s="554"/>
      <c r="CG414" s="554"/>
      <c r="CH414" s="554"/>
      <c r="CI414" s="554"/>
      <c r="CJ414" s="555"/>
      <c r="CK414" s="19"/>
      <c r="CL414" s="19"/>
      <c r="CM414" s="19"/>
      <c r="CN414" s="19"/>
      <c r="CO414" s="19"/>
      <c r="CP414" s="19"/>
      <c r="CQ414" s="19"/>
      <c r="CR414" s="19"/>
      <c r="CS414" s="19"/>
      <c r="CT414" s="19"/>
      <c r="CU414" s="19"/>
      <c r="DZ414" s="19"/>
      <c r="EA414" s="19"/>
      <c r="EB414" s="19"/>
      <c r="EC414" s="19"/>
      <c r="ED414" s="19"/>
      <c r="EE414" s="19"/>
      <c r="EI414" s="542"/>
      <c r="EJ414" s="542"/>
      <c r="EK414" s="542"/>
      <c r="EL414" s="542"/>
      <c r="EM414" s="542"/>
      <c r="EN414" s="542"/>
      <c r="EO414" s="542"/>
      <c r="EP414" s="542"/>
      <c r="EQ414" s="542"/>
      <c r="ER414" s="19"/>
      <c r="ES414" s="569">
        <v>1407</v>
      </c>
      <c r="ET414" t="s">
        <v>2938</v>
      </c>
      <c r="EU414" t="s">
        <v>778</v>
      </c>
      <c r="EV414" t="s">
        <v>3161</v>
      </c>
      <c r="EW414" t="s">
        <v>54</v>
      </c>
      <c r="EX414" s="600">
        <v>55129</v>
      </c>
      <c r="EY414">
        <v>1164474250</v>
      </c>
    </row>
    <row r="415" spans="1:155" x14ac:dyDescent="0.2">
      <c r="A415" s="546"/>
      <c r="B415" s="543"/>
      <c r="C415" s="543"/>
      <c r="D415" s="543"/>
      <c r="E415" s="543"/>
      <c r="F415" s="543"/>
      <c r="G415" s="543"/>
      <c r="H415" s="543"/>
      <c r="I415" s="543"/>
      <c r="J415" s="543"/>
      <c r="K415" s="543"/>
      <c r="L415" s="543"/>
      <c r="M415" s="543"/>
      <c r="N415" s="543"/>
      <c r="O415" s="543"/>
      <c r="P415" s="543"/>
      <c r="Q415" s="543"/>
      <c r="R415" s="543"/>
      <c r="S415" s="543"/>
      <c r="T415" s="543"/>
      <c r="U415" s="543"/>
      <c r="V415" s="543"/>
      <c r="W415" s="543"/>
      <c r="X415" s="543"/>
      <c r="Y415" s="543"/>
      <c r="Z415" s="543"/>
      <c r="AA415" s="543"/>
      <c r="AB415" s="543"/>
      <c r="AC415" s="543"/>
      <c r="AD415" s="543"/>
      <c r="AE415" s="543"/>
      <c r="AF415" s="543"/>
      <c r="AG415" s="543"/>
      <c r="AH415" s="543"/>
      <c r="AI415" s="543"/>
      <c r="AJ415" s="543"/>
      <c r="AK415" s="543"/>
      <c r="AL415" s="543"/>
      <c r="AM415" s="543"/>
      <c r="AN415" s="543"/>
      <c r="AO415" s="543"/>
      <c r="AP415" s="543"/>
      <c r="AQ415" s="543"/>
      <c r="AR415" s="543"/>
      <c r="AS415" s="543"/>
      <c r="AT415" s="543"/>
      <c r="AU415" s="543"/>
      <c r="AV415" s="543"/>
      <c r="AW415" s="543"/>
      <c r="AX415" s="543"/>
      <c r="AY415" s="543"/>
      <c r="AZ415" s="543"/>
      <c r="BA415" s="543"/>
      <c r="BB415" s="543"/>
      <c r="BC415" s="543"/>
      <c r="BD415" s="543"/>
      <c r="BE415" s="543"/>
      <c r="BF415" s="543"/>
      <c r="BG415" s="543"/>
      <c r="BH415" s="543"/>
      <c r="BI415" s="543"/>
      <c r="BJ415" s="543"/>
      <c r="BK415" s="543"/>
      <c r="BL415" s="543"/>
      <c r="BM415" s="543"/>
      <c r="BN415" s="543"/>
      <c r="BO415" s="543"/>
      <c r="BP415" s="543"/>
      <c r="BQ415" s="543"/>
      <c r="BR415" s="543"/>
      <c r="BS415" s="543"/>
      <c r="BT415" s="543"/>
      <c r="BU415" s="543"/>
      <c r="BV415" s="543"/>
      <c r="BW415" s="543"/>
      <c r="BX415" s="543"/>
      <c r="BY415" s="543"/>
      <c r="BZ415" s="543"/>
      <c r="CA415" s="543"/>
      <c r="CB415" s="554"/>
      <c r="CC415" s="543"/>
      <c r="CD415" s="544"/>
      <c r="CE415" s="543"/>
      <c r="CF415" s="543"/>
      <c r="CG415" s="543"/>
      <c r="CH415" s="543"/>
      <c r="CI415" s="544"/>
      <c r="CJ415" s="543"/>
      <c r="CK415" s="543"/>
      <c r="CL415" s="543"/>
      <c r="CM415" s="543"/>
      <c r="CN415" s="545"/>
      <c r="CO415" s="543"/>
      <c r="CP415" s="545"/>
      <c r="CQ415" s="543"/>
      <c r="CR415" s="543"/>
      <c r="CS415" s="543"/>
      <c r="CT415" s="543"/>
      <c r="CU415" s="543"/>
      <c r="CV415" s="543"/>
      <c r="CW415" s="543"/>
      <c r="CX415" s="543"/>
      <c r="CY415" s="543"/>
      <c r="CZ415" s="545"/>
      <c r="DA415" s="543"/>
      <c r="DB415" s="543"/>
      <c r="DC415" s="543"/>
      <c r="DD415" s="543"/>
      <c r="DE415" s="543"/>
      <c r="DF415" s="543"/>
      <c r="DG415" s="543"/>
      <c r="DH415" s="543"/>
      <c r="DI415" s="543"/>
      <c r="DJ415" s="543"/>
      <c r="DK415" s="543"/>
      <c r="DL415" s="543"/>
      <c r="DM415" s="543"/>
      <c r="DN415" s="543"/>
      <c r="DO415" s="546"/>
      <c r="DP415" s="543"/>
      <c r="DQ415" s="543"/>
      <c r="DR415" s="543"/>
      <c r="DS415" s="543"/>
      <c r="DT415" s="543"/>
      <c r="DU415" s="543"/>
      <c r="DY415" s="546"/>
      <c r="DZ415" s="19"/>
      <c r="EA415" s="19"/>
      <c r="EB415" s="19"/>
      <c r="EC415" s="19"/>
      <c r="ED415" s="19"/>
      <c r="EE415" s="19"/>
      <c r="EI415" s="542"/>
      <c r="EJ415" s="542"/>
      <c r="EK415" s="542"/>
      <c r="EL415" s="542"/>
      <c r="EM415" s="542"/>
      <c r="EN415" s="542"/>
      <c r="EO415" s="542"/>
      <c r="EP415" s="542"/>
      <c r="EQ415" s="542"/>
      <c r="ER415" s="19"/>
      <c r="ES415" s="569">
        <v>538</v>
      </c>
      <c r="ET415" t="s">
        <v>1782</v>
      </c>
      <c r="EU415" t="s">
        <v>778</v>
      </c>
      <c r="EV415" t="s">
        <v>3162</v>
      </c>
      <c r="EW415" t="s">
        <v>54</v>
      </c>
      <c r="EX415" s="600">
        <v>55125</v>
      </c>
      <c r="EY415">
        <v>1972734721</v>
      </c>
    </row>
    <row r="416" spans="1:155" x14ac:dyDescent="0.2">
      <c r="A416" s="546"/>
      <c r="B416" s="543"/>
      <c r="C416" s="543"/>
      <c r="D416" s="543"/>
      <c r="E416" s="543"/>
      <c r="F416" s="543"/>
      <c r="G416" s="543"/>
      <c r="H416" s="543"/>
      <c r="I416" s="543"/>
      <c r="J416" s="543"/>
      <c r="K416" s="543"/>
      <c r="L416" s="543"/>
      <c r="M416" s="543"/>
      <c r="N416" s="543"/>
      <c r="O416" s="543"/>
      <c r="P416" s="543"/>
      <c r="Q416" s="543"/>
      <c r="R416" s="543"/>
      <c r="S416" s="543"/>
      <c r="T416" s="543"/>
      <c r="U416" s="543"/>
      <c r="V416" s="543"/>
      <c r="W416" s="543"/>
      <c r="X416" s="543"/>
      <c r="Y416" s="543"/>
      <c r="Z416" s="543"/>
      <c r="AA416" s="543"/>
      <c r="AB416" s="543"/>
      <c r="AC416" s="543"/>
      <c r="AD416" s="543"/>
      <c r="AE416" s="543"/>
      <c r="AF416" s="543"/>
      <c r="AG416" s="543"/>
      <c r="AH416" s="543"/>
      <c r="AI416" s="543"/>
      <c r="AJ416" s="543"/>
      <c r="AK416" s="543"/>
      <c r="AL416" s="543"/>
      <c r="AM416" s="543"/>
      <c r="AN416" s="543"/>
      <c r="AO416" s="543"/>
      <c r="AP416" s="543"/>
      <c r="AQ416" s="543"/>
      <c r="AR416" s="543"/>
      <c r="AS416" s="543"/>
      <c r="AT416" s="543"/>
      <c r="AU416" s="543"/>
      <c r="AV416" s="543"/>
      <c r="AW416" s="543"/>
      <c r="AX416" s="543"/>
      <c r="AY416" s="543"/>
      <c r="AZ416" s="543"/>
      <c r="BA416" s="543"/>
      <c r="BB416" s="543"/>
      <c r="BC416" s="543"/>
      <c r="BD416" s="543"/>
      <c r="BE416" s="543"/>
      <c r="BF416" s="543"/>
      <c r="BG416" s="543"/>
      <c r="BH416" s="543"/>
      <c r="BI416" s="543"/>
      <c r="BJ416" s="543"/>
      <c r="BK416" s="543"/>
      <c r="BL416" s="543"/>
      <c r="BM416" s="543"/>
      <c r="BN416" s="543"/>
      <c r="BO416" s="543"/>
      <c r="BP416" s="543"/>
      <c r="BQ416" s="543"/>
      <c r="BR416" s="543"/>
      <c r="BS416" s="543"/>
      <c r="BT416" s="543"/>
      <c r="BU416" s="543"/>
      <c r="BV416" s="543"/>
      <c r="BW416" s="543"/>
      <c r="BX416" s="543"/>
      <c r="BY416" s="543"/>
      <c r="BZ416" s="543"/>
      <c r="CA416" s="543"/>
      <c r="CB416" s="543"/>
      <c r="CC416" s="543"/>
      <c r="CD416" s="543"/>
      <c r="CE416" s="543"/>
      <c r="CF416" s="543"/>
      <c r="CG416" s="543"/>
      <c r="CH416" s="543"/>
      <c r="CI416" s="544"/>
      <c r="CJ416" s="543"/>
      <c r="CK416" s="543"/>
      <c r="CL416" s="543"/>
      <c r="CM416" s="543"/>
      <c r="CN416" s="545"/>
      <c r="CO416" s="543"/>
      <c r="CP416" s="543"/>
      <c r="CQ416" s="543"/>
      <c r="CR416" s="543"/>
      <c r="CS416" s="543"/>
      <c r="CT416" s="543"/>
      <c r="CU416" s="543"/>
      <c r="CV416" s="543"/>
      <c r="CW416" s="543"/>
      <c r="CX416" s="543"/>
      <c r="CY416" s="543"/>
      <c r="CZ416" s="545"/>
      <c r="DA416" s="543"/>
      <c r="DB416" s="543"/>
      <c r="DC416" s="543"/>
      <c r="DD416" s="543"/>
      <c r="DE416" s="543"/>
      <c r="DF416" s="543"/>
      <c r="DG416" s="543"/>
      <c r="DH416" s="543"/>
      <c r="DI416" s="543"/>
      <c r="DJ416" s="543"/>
      <c r="DK416" s="543"/>
      <c r="DL416" s="543"/>
      <c r="DM416" s="543"/>
      <c r="DN416" s="543"/>
      <c r="DO416" s="543"/>
      <c r="DP416" s="543"/>
      <c r="DQ416" s="543"/>
      <c r="DR416" s="543"/>
      <c r="DS416" s="543"/>
      <c r="DT416" s="546"/>
      <c r="DU416" s="543"/>
      <c r="DV416" s="543"/>
      <c r="DW416" s="543"/>
      <c r="DX416" s="543"/>
      <c r="DY416" s="546"/>
      <c r="DZ416" s="19"/>
      <c r="EA416" s="19"/>
      <c r="EB416" s="19"/>
      <c r="EC416" s="19"/>
      <c r="ED416" s="19"/>
      <c r="EE416" s="19"/>
      <c r="EI416" s="542"/>
      <c r="EJ416" s="542"/>
      <c r="EK416" s="542"/>
      <c r="EL416" s="542"/>
      <c r="EM416" s="542"/>
      <c r="EN416" s="542"/>
      <c r="EO416" s="542"/>
      <c r="EP416" s="542"/>
      <c r="EQ416" s="542"/>
      <c r="ER416" s="19"/>
      <c r="ES416" s="569">
        <v>187</v>
      </c>
      <c r="ET416" t="s">
        <v>1959</v>
      </c>
      <c r="EU416" t="s">
        <v>778</v>
      </c>
      <c r="EV416" t="s">
        <v>2362</v>
      </c>
      <c r="EW416" t="s">
        <v>54</v>
      </c>
      <c r="EX416" s="599">
        <v>55125</v>
      </c>
      <c r="EY416">
        <v>1356309322</v>
      </c>
    </row>
    <row r="417" spans="1:155" x14ac:dyDescent="0.2">
      <c r="A417" s="546"/>
      <c r="B417" s="543"/>
      <c r="C417" s="543"/>
      <c r="D417" s="543"/>
      <c r="E417" s="543"/>
      <c r="F417" s="543"/>
      <c r="G417" s="543"/>
      <c r="H417" s="543"/>
      <c r="I417" s="543"/>
      <c r="J417" s="543"/>
      <c r="K417" s="543"/>
      <c r="L417" s="543"/>
      <c r="M417" s="543"/>
      <c r="N417" s="543"/>
      <c r="O417" s="543"/>
      <c r="P417" s="543"/>
      <c r="Q417" s="543"/>
      <c r="R417" s="543"/>
      <c r="S417" s="543"/>
      <c r="T417" s="543"/>
      <c r="U417" s="543"/>
      <c r="V417" s="543"/>
      <c r="W417" s="543"/>
      <c r="X417" s="543"/>
      <c r="Y417" s="543"/>
      <c r="Z417" s="543"/>
      <c r="AA417" s="543"/>
      <c r="AB417" s="543"/>
      <c r="AC417" s="543"/>
      <c r="AD417" s="543"/>
      <c r="AE417" s="543"/>
      <c r="AF417" s="543"/>
      <c r="AG417" s="543"/>
      <c r="AH417" s="543"/>
      <c r="AI417" s="543"/>
      <c r="AJ417" s="543"/>
      <c r="AK417" s="543"/>
      <c r="AL417" s="543"/>
      <c r="AM417" s="543"/>
      <c r="AN417" s="543"/>
      <c r="AO417" s="543"/>
      <c r="AP417" s="543"/>
      <c r="AQ417" s="543"/>
      <c r="AR417" s="543"/>
      <c r="AS417" s="543"/>
      <c r="AT417" s="543"/>
      <c r="AU417" s="543"/>
      <c r="AV417" s="543"/>
      <c r="AW417" s="543"/>
      <c r="AX417" s="543"/>
      <c r="AY417" s="543"/>
      <c r="AZ417" s="543"/>
      <c r="BA417" s="543"/>
      <c r="BB417" s="543"/>
      <c r="BC417" s="543"/>
      <c r="BD417" s="543"/>
      <c r="BE417" s="543"/>
      <c r="BF417" s="543"/>
      <c r="BG417" s="543"/>
      <c r="BH417" s="543"/>
      <c r="BI417" s="543"/>
      <c r="BJ417" s="543"/>
      <c r="BK417" s="543"/>
      <c r="BL417" s="543"/>
      <c r="BM417" s="543"/>
      <c r="BN417" s="543"/>
      <c r="BO417" s="543"/>
      <c r="BP417" s="543"/>
      <c r="BQ417" s="543"/>
      <c r="BR417" s="543"/>
      <c r="BS417" s="543"/>
      <c r="BT417" s="543"/>
      <c r="BU417" s="543"/>
      <c r="BV417" s="543"/>
      <c r="BW417" s="543"/>
      <c r="BX417" s="543"/>
      <c r="BY417" s="543"/>
      <c r="BZ417" s="543"/>
      <c r="CA417" s="543"/>
      <c r="CB417" s="543"/>
      <c r="CC417" s="543"/>
      <c r="CD417" s="543"/>
      <c r="CE417" s="543"/>
      <c r="CF417" s="543"/>
      <c r="CG417" s="543"/>
      <c r="CH417" s="543"/>
      <c r="CI417" s="544"/>
      <c r="CJ417" s="543"/>
      <c r="CK417" s="543"/>
      <c r="CL417" s="543"/>
      <c r="CM417" s="543"/>
      <c r="CN417" s="545"/>
      <c r="CO417" s="543"/>
      <c r="CP417" s="543"/>
      <c r="CQ417" s="543"/>
      <c r="CR417" s="543"/>
      <c r="CS417" s="543"/>
      <c r="CT417" s="543"/>
      <c r="CU417" s="543"/>
      <c r="CV417" s="543"/>
      <c r="CW417" s="543"/>
      <c r="CX417" s="543"/>
      <c r="CY417" s="543"/>
      <c r="CZ417" s="543"/>
      <c r="DA417" s="543"/>
      <c r="DB417" s="545"/>
      <c r="DC417" s="543"/>
      <c r="DD417" s="543"/>
      <c r="DE417" s="543"/>
      <c r="DF417" s="543"/>
      <c r="DG417" s="543"/>
      <c r="DH417" s="543"/>
      <c r="DI417" s="543"/>
      <c r="DJ417" s="543"/>
      <c r="DK417" s="543"/>
      <c r="DL417" s="543"/>
      <c r="DM417" s="543"/>
      <c r="DN417" s="543"/>
      <c r="DO417" s="543"/>
      <c r="DP417" s="543"/>
      <c r="DQ417" s="543"/>
      <c r="DR417" s="543"/>
      <c r="DS417" s="543"/>
      <c r="DT417" s="546"/>
      <c r="DU417" s="543"/>
      <c r="DV417" s="543"/>
      <c r="DW417" s="543"/>
      <c r="DX417" s="543"/>
      <c r="DY417" s="546"/>
      <c r="DZ417" s="19"/>
      <c r="EA417" s="19"/>
      <c r="EB417" s="19"/>
      <c r="EC417" s="19"/>
      <c r="ED417" s="19"/>
      <c r="EE417" s="19"/>
      <c r="EI417" s="542"/>
      <c r="EJ417" s="542"/>
      <c r="EK417" s="542"/>
      <c r="EL417" s="542"/>
      <c r="EM417" s="542"/>
      <c r="EN417" s="542"/>
      <c r="EO417" s="542"/>
      <c r="EP417" s="542"/>
      <c r="EQ417" s="542"/>
      <c r="ER417" s="19"/>
      <c r="ES417" s="569">
        <v>177</v>
      </c>
      <c r="ET417" t="s">
        <v>1960</v>
      </c>
      <c r="EU417" t="s">
        <v>792</v>
      </c>
      <c r="EV417" t="s">
        <v>2363</v>
      </c>
      <c r="EW417" t="s">
        <v>54</v>
      </c>
      <c r="EX417" s="599">
        <v>56187</v>
      </c>
      <c r="EY417">
        <v>1396712618</v>
      </c>
    </row>
    <row r="418" spans="1:155" x14ac:dyDescent="0.2">
      <c r="A418" s="546"/>
      <c r="B418" s="19"/>
      <c r="C418" s="19"/>
      <c r="D418" s="543"/>
      <c r="E418" s="543"/>
      <c r="F418" s="543"/>
      <c r="G418" s="543"/>
      <c r="H418" s="543"/>
      <c r="I418" s="543"/>
      <c r="J418" s="543"/>
      <c r="K418" s="543"/>
      <c r="L418" s="543"/>
      <c r="M418" s="543"/>
      <c r="N418" s="543"/>
      <c r="O418" s="543"/>
      <c r="P418" s="543"/>
      <c r="Q418" s="543"/>
      <c r="R418" s="543"/>
      <c r="S418" s="543"/>
      <c r="T418" s="543"/>
      <c r="U418" s="543"/>
      <c r="V418" s="543"/>
      <c r="W418" s="543"/>
      <c r="X418" s="543"/>
      <c r="Y418" s="543"/>
      <c r="Z418" s="543"/>
      <c r="AA418" s="543"/>
      <c r="AB418" s="543"/>
      <c r="AC418" s="543"/>
      <c r="AD418" s="543"/>
      <c r="AE418" s="543"/>
      <c r="AF418" s="543"/>
      <c r="AG418" s="543"/>
      <c r="AH418" s="543"/>
      <c r="AI418" s="543"/>
      <c r="AJ418" s="543"/>
      <c r="AK418" s="543"/>
      <c r="AL418" s="543"/>
      <c r="AM418" s="543"/>
      <c r="AN418" s="543"/>
      <c r="AO418" s="543"/>
      <c r="AP418" s="543"/>
      <c r="AQ418" s="543"/>
      <c r="AR418" s="543"/>
      <c r="AS418" s="543"/>
      <c r="AT418" s="543"/>
      <c r="AU418" s="543"/>
      <c r="AV418" s="543"/>
      <c r="AW418" s="543"/>
      <c r="AX418" s="543"/>
      <c r="AY418" s="543"/>
      <c r="AZ418" s="543"/>
      <c r="BA418" s="543"/>
      <c r="BB418" s="543"/>
      <c r="BC418" s="543"/>
      <c r="BD418" s="543"/>
      <c r="BE418" s="543"/>
      <c r="BF418" s="543"/>
      <c r="BG418" s="543"/>
      <c r="BH418" s="543"/>
      <c r="BI418" s="543"/>
      <c r="BJ418" s="543"/>
      <c r="BK418" s="543"/>
      <c r="BL418" s="543"/>
      <c r="BM418" s="543"/>
      <c r="BN418" s="543"/>
      <c r="BO418" s="543"/>
      <c r="BP418" s="543"/>
      <c r="BQ418" s="543"/>
      <c r="BR418" s="543"/>
      <c r="BS418" s="543"/>
      <c r="BT418" s="543"/>
      <c r="BU418" s="543"/>
      <c r="BV418" s="543"/>
      <c r="BW418" s="543"/>
      <c r="BX418" s="543"/>
      <c r="BY418" s="543"/>
      <c r="BZ418" s="543"/>
      <c r="CA418" s="543"/>
      <c r="CB418" s="543"/>
      <c r="CC418" s="543"/>
      <c r="CD418" s="543"/>
      <c r="CE418" s="567"/>
      <c r="CF418" s="543"/>
      <c r="CG418" s="543"/>
      <c r="CH418" s="543"/>
      <c r="CI418" s="544"/>
      <c r="CJ418" s="543"/>
      <c r="CK418" s="19"/>
      <c r="CL418" s="19"/>
      <c r="CM418" s="19"/>
      <c r="CN418" s="551"/>
      <c r="CO418" s="19"/>
      <c r="CP418" s="19"/>
      <c r="CQ418" s="19"/>
      <c r="CR418" s="19"/>
      <c r="CS418" s="19"/>
      <c r="CV418" s="93"/>
      <c r="CW418" s="93"/>
      <c r="CX418" s="93"/>
      <c r="CY418" s="93"/>
      <c r="CZ418" s="552"/>
      <c r="DA418" s="93"/>
      <c r="DS418" s="543"/>
      <c r="DT418" s="546"/>
      <c r="DU418" s="543"/>
      <c r="DV418" s="543"/>
      <c r="DW418" s="543"/>
      <c r="DX418" s="543"/>
      <c r="DY418" s="546"/>
      <c r="DZ418" s="19"/>
      <c r="EA418" s="19"/>
      <c r="EB418" s="19"/>
      <c r="EC418" s="19"/>
      <c r="ED418" s="19"/>
      <c r="EE418" s="19"/>
      <c r="EI418" s="542"/>
      <c r="EJ418" s="542"/>
      <c r="EK418" s="542"/>
      <c r="EL418" s="542"/>
      <c r="EM418" s="542"/>
      <c r="EN418" s="542"/>
      <c r="EO418" s="542"/>
      <c r="EP418" s="542"/>
      <c r="EQ418" s="542"/>
      <c r="ER418" s="19"/>
      <c r="ES418" s="569">
        <v>861</v>
      </c>
      <c r="ET418" t="s">
        <v>930</v>
      </c>
      <c r="EU418" t="s">
        <v>931</v>
      </c>
      <c r="EV418" t="s">
        <v>3163</v>
      </c>
      <c r="EW418" t="s">
        <v>54</v>
      </c>
      <c r="EX418" s="600">
        <v>55092</v>
      </c>
      <c r="EY418"/>
    </row>
    <row r="419" spans="1:155" x14ac:dyDescent="0.2">
      <c r="A419" s="546"/>
      <c r="B419" s="543"/>
      <c r="C419" s="543"/>
      <c r="D419" s="543"/>
      <c r="E419" s="543"/>
      <c r="F419" s="543"/>
      <c r="G419" s="543"/>
      <c r="H419" s="543"/>
      <c r="I419" s="543"/>
      <c r="J419" s="543"/>
      <c r="K419" s="543"/>
      <c r="L419" s="543"/>
      <c r="M419" s="543"/>
      <c r="N419" s="543"/>
      <c r="O419" s="543"/>
      <c r="P419" s="543"/>
      <c r="Q419" s="543"/>
      <c r="R419" s="543"/>
      <c r="S419" s="543"/>
      <c r="T419" s="543"/>
      <c r="U419" s="543"/>
      <c r="V419" s="543"/>
      <c r="W419" s="543"/>
      <c r="X419" s="543"/>
      <c r="Y419" s="543"/>
      <c r="Z419" s="543"/>
      <c r="AA419" s="543"/>
      <c r="AB419" s="543"/>
      <c r="AC419" s="543"/>
      <c r="AD419" s="543"/>
      <c r="AE419" s="543"/>
      <c r="AF419" s="543"/>
      <c r="AG419" s="543"/>
      <c r="AH419" s="543"/>
      <c r="AI419" s="543"/>
      <c r="AJ419" s="543"/>
      <c r="AK419" s="543"/>
      <c r="AL419" s="543"/>
      <c r="AM419" s="543"/>
      <c r="AN419" s="543"/>
      <c r="AO419" s="543"/>
      <c r="AP419" s="543"/>
      <c r="AQ419" s="543"/>
      <c r="AR419" s="543"/>
      <c r="AS419" s="543"/>
      <c r="AT419" s="543"/>
      <c r="AU419" s="543"/>
      <c r="AV419" s="543"/>
      <c r="AW419" s="543"/>
      <c r="AX419" s="543"/>
      <c r="AY419" s="543"/>
      <c r="AZ419" s="543"/>
      <c r="BA419" s="543"/>
      <c r="BB419" s="543"/>
      <c r="BC419" s="543"/>
      <c r="BD419" s="543"/>
      <c r="BE419" s="543"/>
      <c r="BF419" s="543"/>
      <c r="BG419" s="543"/>
      <c r="BH419" s="543"/>
      <c r="BI419" s="543"/>
      <c r="BJ419" s="543"/>
      <c r="BK419" s="543"/>
      <c r="BL419" s="543"/>
      <c r="BM419" s="543"/>
      <c r="BN419" s="543"/>
      <c r="BO419" s="543"/>
      <c r="BP419" s="543"/>
      <c r="BQ419" s="543"/>
      <c r="BR419" s="543"/>
      <c r="BS419" s="543"/>
      <c r="BT419" s="543"/>
      <c r="BU419" s="543"/>
      <c r="BV419" s="543"/>
      <c r="BW419" s="543"/>
      <c r="BX419" s="543"/>
      <c r="BY419" s="543"/>
      <c r="BZ419" s="543"/>
      <c r="CA419" s="543"/>
      <c r="CB419" s="543"/>
      <c r="CC419" s="543"/>
      <c r="CD419" s="543"/>
      <c r="CE419" s="567"/>
      <c r="CF419" s="543"/>
      <c r="CG419" s="543"/>
      <c r="CH419" s="543"/>
      <c r="CI419" s="544"/>
      <c r="CJ419" s="543"/>
      <c r="CK419" s="19"/>
      <c r="CL419" s="19"/>
      <c r="CM419" s="19"/>
      <c r="CN419" s="551"/>
      <c r="CO419" s="19"/>
      <c r="CP419" s="19"/>
      <c r="CQ419" s="19"/>
      <c r="CR419" s="19"/>
      <c r="CS419" s="19"/>
      <c r="CV419" s="93"/>
      <c r="CW419" s="93"/>
      <c r="CX419" s="93"/>
      <c r="CY419" s="93"/>
      <c r="CZ419" s="93"/>
      <c r="DA419" s="93"/>
      <c r="DT419" s="546"/>
      <c r="DU419" s="543"/>
      <c r="DV419" s="543"/>
      <c r="DW419" s="543"/>
      <c r="DX419" s="543"/>
      <c r="DY419" s="546"/>
      <c r="DZ419" s="19"/>
      <c r="EA419" s="19"/>
      <c r="EB419" s="19"/>
      <c r="EC419" s="19"/>
      <c r="ED419" s="19"/>
      <c r="EE419" s="19"/>
      <c r="EI419" s="542"/>
      <c r="EJ419" s="542"/>
      <c r="EK419" s="542"/>
      <c r="EL419" s="542"/>
      <c r="EM419" s="542"/>
      <c r="EN419" s="542"/>
      <c r="EO419" s="542"/>
      <c r="EP419" s="542"/>
      <c r="EQ419" s="542"/>
      <c r="ER419" s="19"/>
      <c r="ES419" s="569">
        <v>186</v>
      </c>
      <c r="ET419" t="s">
        <v>1961</v>
      </c>
      <c r="EU419" t="s">
        <v>931</v>
      </c>
      <c r="EV419" t="s">
        <v>932</v>
      </c>
      <c r="EW419" t="s">
        <v>54</v>
      </c>
      <c r="EX419" s="599">
        <v>55092</v>
      </c>
      <c r="EY419">
        <v>1083692941</v>
      </c>
    </row>
    <row r="420" spans="1:155" x14ac:dyDescent="0.2">
      <c r="A420" s="546"/>
      <c r="B420" s="19"/>
      <c r="C420" s="19"/>
      <c r="D420" s="19"/>
      <c r="E420" s="547"/>
      <c r="F420" s="547"/>
      <c r="G420" s="547"/>
      <c r="H420" s="547"/>
      <c r="I420" s="547"/>
      <c r="J420" s="547"/>
      <c r="K420" s="547"/>
      <c r="L420" s="547"/>
      <c r="M420" s="547"/>
      <c r="N420" s="547"/>
      <c r="O420" s="547"/>
      <c r="P420" s="548"/>
      <c r="Q420" s="548"/>
      <c r="R420" s="547"/>
      <c r="S420" s="547"/>
      <c r="T420" s="547"/>
      <c r="U420" s="547"/>
      <c r="V420" s="547"/>
      <c r="W420" s="547"/>
      <c r="X420" s="547"/>
      <c r="Y420" s="547"/>
      <c r="Z420" s="548"/>
      <c r="AA420" s="547"/>
      <c r="AB420" s="548"/>
      <c r="AC420" s="547"/>
      <c r="AD420" s="547"/>
      <c r="AE420" s="547"/>
      <c r="AF420" s="547"/>
      <c r="AG420" s="547"/>
      <c r="AH420" s="547"/>
      <c r="AI420" s="547"/>
      <c r="AJ420" s="547"/>
      <c r="AK420" s="547"/>
      <c r="AL420" s="547"/>
      <c r="AM420" s="547"/>
      <c r="AN420" s="548"/>
      <c r="AO420" s="547"/>
      <c r="AP420" s="548"/>
      <c r="AQ420" s="547"/>
      <c r="AR420" s="547"/>
      <c r="AS420" s="547"/>
      <c r="AT420" s="547"/>
      <c r="AU420" s="547"/>
      <c r="AV420" s="547"/>
      <c r="AW420" s="547"/>
      <c r="AX420" s="547"/>
      <c r="AY420" s="547"/>
      <c r="AZ420" s="547"/>
      <c r="BA420" s="547"/>
      <c r="BB420" s="548"/>
      <c r="BC420" s="547"/>
      <c r="BD420" s="548"/>
      <c r="BE420" s="547"/>
      <c r="BF420" s="547"/>
      <c r="BG420" s="547"/>
      <c r="BH420" s="547"/>
      <c r="BI420" s="547"/>
      <c r="BJ420" s="547"/>
      <c r="BK420" s="547"/>
      <c r="BL420" s="547"/>
      <c r="BM420" s="547"/>
      <c r="BN420" s="547"/>
      <c r="BO420" s="547"/>
      <c r="BP420" s="547"/>
      <c r="BQ420" s="547"/>
      <c r="BR420" s="548"/>
      <c r="BS420" s="547"/>
      <c r="BT420" s="547"/>
      <c r="BU420" s="547"/>
      <c r="BV420" s="547"/>
      <c r="BW420" s="547"/>
      <c r="BX420" s="547"/>
      <c r="BY420" s="547"/>
      <c r="BZ420" s="547"/>
      <c r="CA420" s="547"/>
      <c r="CB420" s="547"/>
      <c r="CC420" s="547"/>
      <c r="CD420" s="547"/>
      <c r="CE420" s="547"/>
      <c r="CF420" s="547"/>
      <c r="CG420" s="547"/>
      <c r="CH420" s="547"/>
      <c r="CI420" s="547"/>
      <c r="CJ420" s="549"/>
      <c r="CK420" s="547"/>
      <c r="CL420" s="547"/>
      <c r="CM420" s="547"/>
      <c r="CN420" s="547"/>
      <c r="CO420" s="547"/>
      <c r="CP420" s="19"/>
      <c r="CQ420" s="19"/>
      <c r="CR420" s="19"/>
      <c r="CS420" s="19"/>
      <c r="CT420" s="19"/>
      <c r="CU420" s="19"/>
      <c r="EI420" s="542"/>
      <c r="EJ420" s="542"/>
      <c r="EK420" s="542"/>
      <c r="EL420" s="542"/>
      <c r="EM420" s="542"/>
      <c r="EN420" s="542"/>
      <c r="EO420" s="542"/>
      <c r="EP420" s="542"/>
      <c r="EQ420" s="542"/>
      <c r="ER420" s="19"/>
      <c r="ES420" s="569">
        <v>1493</v>
      </c>
      <c r="ET420" t="s">
        <v>711</v>
      </c>
      <c r="EU420"/>
      <c r="EV420"/>
      <c r="EW420"/>
      <c r="EX420"/>
      <c r="EY420"/>
    </row>
    <row r="421" spans="1:155" x14ac:dyDescent="0.2">
      <c r="A421" s="546"/>
      <c r="B421" s="554"/>
      <c r="C421" s="554"/>
      <c r="D421" s="543"/>
      <c r="E421" s="543"/>
      <c r="F421" s="543"/>
      <c r="G421" s="543"/>
      <c r="H421" s="543"/>
      <c r="I421" s="543"/>
      <c r="J421" s="543"/>
      <c r="K421" s="543"/>
      <c r="L421" s="543"/>
      <c r="M421" s="543"/>
      <c r="N421" s="543"/>
      <c r="O421" s="543"/>
      <c r="P421" s="543"/>
      <c r="Q421" s="543"/>
      <c r="R421" s="543"/>
      <c r="S421" s="543"/>
      <c r="T421" s="543"/>
      <c r="U421" s="543"/>
      <c r="V421" s="543"/>
      <c r="W421" s="543"/>
      <c r="X421" s="543"/>
      <c r="Y421" s="543"/>
      <c r="Z421" s="543"/>
      <c r="AA421" s="543"/>
      <c r="AB421" s="543"/>
      <c r="AC421" s="543"/>
      <c r="AD421" s="543"/>
      <c r="AE421" s="543"/>
      <c r="AF421" s="543"/>
      <c r="AG421" s="543"/>
      <c r="AH421" s="543"/>
      <c r="AI421" s="543"/>
      <c r="AJ421" s="543"/>
      <c r="AK421" s="543"/>
      <c r="AL421" s="543"/>
      <c r="AM421" s="543"/>
      <c r="AN421" s="543"/>
      <c r="AO421" s="543"/>
      <c r="AP421" s="543"/>
      <c r="AQ421" s="543"/>
      <c r="AR421" s="543"/>
      <c r="AS421" s="543"/>
      <c r="AT421" s="543"/>
      <c r="AU421" s="543"/>
      <c r="AV421" s="543"/>
      <c r="AW421" s="543"/>
      <c r="AX421" s="543"/>
      <c r="AY421" s="543"/>
      <c r="AZ421" s="543"/>
      <c r="BA421" s="543"/>
      <c r="BB421" s="543"/>
      <c r="BC421" s="543"/>
      <c r="BD421" s="543"/>
      <c r="BE421" s="543"/>
      <c r="BF421" s="543"/>
      <c r="BG421" s="543"/>
      <c r="BH421" s="543"/>
      <c r="BI421" s="543"/>
      <c r="BJ421" s="543"/>
      <c r="BK421" s="543"/>
      <c r="BL421" s="543"/>
      <c r="BM421" s="543"/>
      <c r="BN421" s="543"/>
      <c r="BO421" s="543"/>
      <c r="BP421" s="543"/>
      <c r="BQ421" s="543"/>
      <c r="BR421" s="543"/>
      <c r="BS421" s="543"/>
      <c r="BT421" s="543"/>
      <c r="BU421" s="543"/>
      <c r="BV421" s="543"/>
      <c r="BW421" s="543"/>
      <c r="BX421" s="543"/>
      <c r="BY421" s="543"/>
      <c r="BZ421" s="543"/>
      <c r="CA421" s="543"/>
      <c r="CB421" s="543"/>
      <c r="CC421" s="543"/>
      <c r="CD421" s="543"/>
      <c r="CE421" s="567"/>
      <c r="CF421" s="543"/>
      <c r="CG421" s="543"/>
      <c r="CH421" s="543"/>
      <c r="CI421" s="544"/>
      <c r="CJ421" s="543"/>
      <c r="CK421" s="19"/>
      <c r="CL421" s="19"/>
      <c r="CM421" s="19"/>
      <c r="CN421" s="551"/>
      <c r="CO421" s="19"/>
      <c r="CP421" s="19"/>
      <c r="CQ421" s="19"/>
      <c r="CR421" s="19"/>
      <c r="CS421" s="19"/>
      <c r="CV421" s="93"/>
      <c r="CW421" s="93"/>
      <c r="CX421" s="93"/>
      <c r="CY421" s="93"/>
      <c r="CZ421" s="552"/>
      <c r="DA421" s="93"/>
      <c r="DB421" s="552"/>
      <c r="DT421" s="546"/>
      <c r="DU421" s="543"/>
      <c r="DV421" s="543"/>
      <c r="DW421" s="543"/>
      <c r="DX421" s="543"/>
      <c r="DY421" s="546"/>
      <c r="DZ421" s="19"/>
      <c r="EA421" s="19"/>
      <c r="EB421" s="19"/>
      <c r="EC421" s="19"/>
      <c r="ED421" s="19"/>
      <c r="EE421" s="19"/>
      <c r="EI421" s="542"/>
      <c r="EJ421" s="542"/>
      <c r="EK421" s="542"/>
      <c r="EL421" s="542"/>
      <c r="EM421" s="542"/>
      <c r="EN421" s="542"/>
      <c r="EO421" s="542"/>
      <c r="EP421" s="542"/>
      <c r="EQ421" s="542"/>
      <c r="ER421" s="19"/>
      <c r="ES421" s="569">
        <v>1483</v>
      </c>
      <c r="ET421" t="s">
        <v>712</v>
      </c>
      <c r="EU421"/>
      <c r="EV421"/>
      <c r="EW421"/>
      <c r="EX421"/>
      <c r="EY421"/>
    </row>
    <row r="422" spans="1:155" x14ac:dyDescent="0.2">
      <c r="A422" s="546"/>
      <c r="B422" s="19"/>
      <c r="C422" s="19"/>
      <c r="D422" s="543"/>
      <c r="E422" s="543"/>
      <c r="F422" s="543"/>
      <c r="G422" s="543"/>
      <c r="H422" s="543"/>
      <c r="I422" s="543"/>
      <c r="J422" s="543"/>
      <c r="K422" s="543"/>
      <c r="L422" s="543"/>
      <c r="M422" s="543"/>
      <c r="N422" s="543"/>
      <c r="O422" s="543"/>
      <c r="P422" s="543"/>
      <c r="Q422" s="543"/>
      <c r="R422" s="543"/>
      <c r="S422" s="543"/>
      <c r="T422" s="543"/>
      <c r="U422" s="543"/>
      <c r="V422" s="543"/>
      <c r="W422" s="543"/>
      <c r="X422" s="543"/>
      <c r="Y422" s="543"/>
      <c r="Z422" s="543"/>
      <c r="AA422" s="543"/>
      <c r="AB422" s="543"/>
      <c r="AC422" s="543"/>
      <c r="AD422" s="543"/>
      <c r="AE422" s="543"/>
      <c r="AF422" s="543"/>
      <c r="AG422" s="543"/>
      <c r="AH422" s="543"/>
      <c r="AI422" s="543"/>
      <c r="AJ422" s="543"/>
      <c r="AK422" s="543"/>
      <c r="AL422" s="543"/>
      <c r="AM422" s="543"/>
      <c r="AN422" s="543"/>
      <c r="AO422" s="543"/>
      <c r="AP422" s="543"/>
      <c r="AQ422" s="543"/>
      <c r="AR422" s="543"/>
      <c r="AS422" s="543"/>
      <c r="AT422" s="543"/>
      <c r="AU422" s="543"/>
      <c r="AV422" s="543"/>
      <c r="AW422" s="543"/>
      <c r="AX422" s="543"/>
      <c r="AY422" s="543"/>
      <c r="AZ422" s="543"/>
      <c r="BA422" s="543"/>
      <c r="BB422" s="543"/>
      <c r="BC422" s="543"/>
      <c r="BD422" s="543"/>
      <c r="BE422" s="543"/>
      <c r="BF422" s="543"/>
      <c r="BG422" s="543"/>
      <c r="BH422" s="543"/>
      <c r="BI422" s="543"/>
      <c r="BJ422" s="543"/>
      <c r="BK422" s="543"/>
      <c r="BL422" s="543"/>
      <c r="BM422" s="543"/>
      <c r="BN422" s="543"/>
      <c r="BO422" s="543"/>
      <c r="BP422" s="543"/>
      <c r="BQ422" s="543"/>
      <c r="BR422" s="543"/>
      <c r="BS422" s="543"/>
      <c r="BT422" s="543"/>
      <c r="BU422" s="543"/>
      <c r="BV422" s="543"/>
      <c r="BW422" s="543"/>
      <c r="BX422" s="543"/>
      <c r="BY422" s="543"/>
      <c r="BZ422" s="543"/>
      <c r="CA422" s="543"/>
      <c r="CB422" s="543"/>
      <c r="CC422" s="543"/>
      <c r="CD422" s="543"/>
      <c r="CE422" s="567"/>
      <c r="CF422" s="543"/>
      <c r="CG422" s="543"/>
      <c r="CH422" s="543"/>
      <c r="CI422" s="544"/>
      <c r="CJ422" s="543"/>
      <c r="CK422" s="19"/>
      <c r="CL422" s="19"/>
      <c r="CM422" s="19"/>
      <c r="CN422" s="551"/>
      <c r="CO422" s="19"/>
      <c r="CP422" s="19"/>
      <c r="CQ422" s="19"/>
      <c r="CR422" s="19"/>
      <c r="CS422" s="19"/>
      <c r="CT422" s="19"/>
      <c r="CU422" s="19"/>
      <c r="CV422" s="92"/>
      <c r="CW422" s="93"/>
      <c r="CX422" s="93"/>
      <c r="CY422" s="93"/>
      <c r="CZ422" s="552"/>
      <c r="DA422" s="93"/>
      <c r="DY422" s="546"/>
      <c r="DZ422" s="19"/>
      <c r="EA422" s="19"/>
      <c r="EB422" s="19"/>
      <c r="EC422" s="19"/>
      <c r="ED422" s="19"/>
      <c r="EE422" s="19"/>
      <c r="EI422" s="542"/>
      <c r="EJ422" s="542"/>
      <c r="EK422" s="542"/>
      <c r="EL422" s="542"/>
      <c r="EM422" s="542"/>
      <c r="EN422" s="542"/>
      <c r="EO422" s="542"/>
      <c r="EP422" s="542"/>
      <c r="EQ422" s="542"/>
      <c r="ER422" s="19"/>
      <c r="ES422" s="569">
        <v>1490</v>
      </c>
      <c r="ET422" t="s">
        <v>713</v>
      </c>
      <c r="EU422"/>
      <c r="EV422"/>
      <c r="EW422"/>
      <c r="EX422"/>
      <c r="EY422"/>
    </row>
    <row r="423" spans="1:155" x14ac:dyDescent="0.2">
      <c r="A423" s="546"/>
      <c r="B423" s="19"/>
      <c r="C423" s="19"/>
      <c r="D423" s="543"/>
      <c r="E423" s="543"/>
      <c r="F423" s="543"/>
      <c r="G423" s="543"/>
      <c r="H423" s="543"/>
      <c r="I423" s="543"/>
      <c r="J423" s="543"/>
      <c r="K423" s="543"/>
      <c r="L423" s="543"/>
      <c r="M423" s="543"/>
      <c r="N423" s="543"/>
      <c r="O423" s="543"/>
      <c r="P423" s="543"/>
      <c r="Q423" s="543"/>
      <c r="R423" s="543"/>
      <c r="S423" s="543"/>
      <c r="T423" s="543"/>
      <c r="U423" s="543"/>
      <c r="V423" s="543"/>
      <c r="W423" s="543"/>
      <c r="X423" s="543"/>
      <c r="Y423" s="543"/>
      <c r="Z423" s="543"/>
      <c r="AA423" s="543"/>
      <c r="AB423" s="543"/>
      <c r="AC423" s="543"/>
      <c r="AD423" s="543"/>
      <c r="AE423" s="543"/>
      <c r="AF423" s="543"/>
      <c r="AG423" s="543"/>
      <c r="AH423" s="543"/>
      <c r="AI423" s="543"/>
      <c r="AJ423" s="543"/>
      <c r="AK423" s="543"/>
      <c r="AL423" s="543"/>
      <c r="AM423" s="543"/>
      <c r="AN423" s="543"/>
      <c r="AO423" s="543"/>
      <c r="AP423" s="543"/>
      <c r="AQ423" s="543"/>
      <c r="AR423" s="543"/>
      <c r="AS423" s="543"/>
      <c r="AT423" s="543"/>
      <c r="AU423" s="543"/>
      <c r="AV423" s="543"/>
      <c r="AW423" s="543"/>
      <c r="AX423" s="543"/>
      <c r="AY423" s="543"/>
      <c r="AZ423" s="543"/>
      <c r="BA423" s="543"/>
      <c r="BB423" s="543"/>
      <c r="BC423" s="543"/>
      <c r="BD423" s="543"/>
      <c r="BE423" s="543"/>
      <c r="BF423" s="543"/>
      <c r="BG423" s="543"/>
      <c r="BH423" s="543"/>
      <c r="BI423" s="543"/>
      <c r="BJ423" s="543"/>
      <c r="BK423" s="543"/>
      <c r="BL423" s="543"/>
      <c r="BM423" s="543"/>
      <c r="BN423" s="543"/>
      <c r="BO423" s="543"/>
      <c r="BP423" s="543"/>
      <c r="BQ423" s="543"/>
      <c r="BR423" s="543"/>
      <c r="BS423" s="543"/>
      <c r="BT423" s="543"/>
      <c r="BU423" s="543"/>
      <c r="BV423" s="543"/>
      <c r="BW423" s="543"/>
      <c r="BX423" s="543"/>
      <c r="BY423" s="543"/>
      <c r="BZ423" s="543"/>
      <c r="CA423" s="543"/>
      <c r="CB423" s="543"/>
      <c r="CC423" s="543"/>
      <c r="CD423" s="543"/>
      <c r="CE423" s="567"/>
      <c r="CF423" s="543"/>
      <c r="CG423" s="543"/>
      <c r="CH423" s="543"/>
      <c r="CI423" s="544"/>
      <c r="CJ423" s="543"/>
      <c r="CK423" s="19"/>
      <c r="CL423" s="19"/>
      <c r="CM423" s="19"/>
      <c r="CN423" s="551"/>
      <c r="CO423" s="19"/>
      <c r="CP423" s="19"/>
      <c r="CQ423" s="19"/>
      <c r="CR423" s="19"/>
      <c r="CS423" s="19"/>
      <c r="CT423" s="19"/>
      <c r="CU423" s="19"/>
      <c r="CV423" s="92"/>
      <c r="CW423" s="93"/>
      <c r="CX423" s="93"/>
      <c r="CY423" s="93"/>
      <c r="CZ423" s="552"/>
      <c r="DA423" s="93"/>
      <c r="DY423" s="546"/>
      <c r="DZ423" s="19"/>
      <c r="EA423" s="19"/>
      <c r="EB423" s="19"/>
      <c r="EC423" s="19"/>
      <c r="ED423" s="19"/>
      <c r="EE423" s="19"/>
      <c r="EI423" s="542"/>
      <c r="EJ423" s="542"/>
      <c r="EK423" s="542"/>
      <c r="EL423" s="542"/>
      <c r="EM423" s="542"/>
      <c r="EN423" s="542"/>
      <c r="EO423" s="542"/>
      <c r="EP423" s="542"/>
      <c r="EQ423" s="542"/>
      <c r="ER423" s="19"/>
      <c r="ES423" s="569">
        <v>1480</v>
      </c>
      <c r="ET423" t="s">
        <v>714</v>
      </c>
      <c r="EU423"/>
      <c r="EV423"/>
      <c r="EW423"/>
      <c r="EX423"/>
      <c r="EY423"/>
    </row>
    <row r="424" spans="1:155" x14ac:dyDescent="0.2">
      <c r="A424" s="546"/>
      <c r="B424" s="19"/>
      <c r="C424" s="19"/>
      <c r="D424" s="543"/>
      <c r="E424" s="543"/>
      <c r="F424" s="543"/>
      <c r="G424" s="543"/>
      <c r="H424" s="543"/>
      <c r="I424" s="543"/>
      <c r="J424" s="543"/>
      <c r="K424" s="543"/>
      <c r="L424" s="543"/>
      <c r="M424" s="543"/>
      <c r="N424" s="543"/>
      <c r="O424" s="543"/>
      <c r="P424" s="543"/>
      <c r="Q424" s="543"/>
      <c r="R424" s="543"/>
      <c r="S424" s="543"/>
      <c r="T424" s="543"/>
      <c r="U424" s="543"/>
      <c r="V424" s="543"/>
      <c r="W424" s="543"/>
      <c r="X424" s="543"/>
      <c r="Y424" s="543"/>
      <c r="Z424" s="543"/>
      <c r="AA424" s="543"/>
      <c r="AB424" s="543"/>
      <c r="AC424" s="543"/>
      <c r="AD424" s="543"/>
      <c r="AE424" s="543"/>
      <c r="AF424" s="543"/>
      <c r="AG424" s="543"/>
      <c r="AH424" s="543"/>
      <c r="AI424" s="543"/>
      <c r="AJ424" s="543"/>
      <c r="AK424" s="543"/>
      <c r="AL424" s="543"/>
      <c r="AM424" s="543"/>
      <c r="AN424" s="543"/>
      <c r="AO424" s="543"/>
      <c r="AP424" s="543"/>
      <c r="AQ424" s="543"/>
      <c r="AR424" s="543"/>
      <c r="AS424" s="543"/>
      <c r="AT424" s="543"/>
      <c r="AU424" s="543"/>
      <c r="AV424" s="543"/>
      <c r="AW424" s="543"/>
      <c r="AX424" s="543"/>
      <c r="AY424" s="543"/>
      <c r="AZ424" s="543"/>
      <c r="BA424" s="543"/>
      <c r="BB424" s="543"/>
      <c r="BC424" s="543"/>
      <c r="BD424" s="543"/>
      <c r="BE424" s="543"/>
      <c r="BF424" s="543"/>
      <c r="BG424" s="543"/>
      <c r="BH424" s="543"/>
      <c r="BI424" s="543"/>
      <c r="BJ424" s="543"/>
      <c r="BK424" s="543"/>
      <c r="BL424" s="543"/>
      <c r="BM424" s="543"/>
      <c r="BN424" s="543"/>
      <c r="BO424" s="543"/>
      <c r="BP424" s="543"/>
      <c r="BQ424" s="543"/>
      <c r="BR424" s="543"/>
      <c r="BS424" s="543"/>
      <c r="BT424" s="543"/>
      <c r="BU424" s="543"/>
      <c r="BV424" s="543"/>
      <c r="BW424" s="543"/>
      <c r="BX424" s="543"/>
      <c r="BY424" s="543"/>
      <c r="BZ424" s="543"/>
      <c r="CA424" s="543"/>
      <c r="CB424" s="543"/>
      <c r="CC424" s="543"/>
      <c r="CD424" s="543"/>
      <c r="CE424" s="567"/>
      <c r="CF424" s="543"/>
      <c r="CG424" s="543"/>
      <c r="CH424" s="543"/>
      <c r="CI424" s="544"/>
      <c r="CJ424" s="543"/>
      <c r="CK424" s="19"/>
      <c r="CL424" s="19"/>
      <c r="CM424" s="19"/>
      <c r="CN424" s="551"/>
      <c r="CO424" s="19"/>
      <c r="CP424" s="19"/>
      <c r="CQ424" s="19"/>
      <c r="CR424" s="19"/>
      <c r="CS424" s="19"/>
      <c r="CT424" s="19"/>
      <c r="CU424" s="19"/>
      <c r="CV424" s="92"/>
      <c r="CW424" s="93"/>
      <c r="CX424" s="93"/>
      <c r="CY424" s="93"/>
      <c r="CZ424" s="552"/>
      <c r="DA424" s="93"/>
      <c r="DY424" s="546"/>
      <c r="DZ424" s="19"/>
      <c r="EA424" s="19"/>
      <c r="EB424" s="19"/>
      <c r="EC424" s="19"/>
      <c r="ED424" s="19"/>
      <c r="EE424" s="19"/>
      <c r="EI424" s="542"/>
      <c r="EJ424" s="542"/>
      <c r="EK424" s="542"/>
      <c r="EL424" s="542"/>
      <c r="EM424" s="542"/>
      <c r="EN424" s="542"/>
      <c r="EO424" s="542"/>
      <c r="EP424" s="542"/>
      <c r="EQ424" s="542"/>
      <c r="ER424" s="19"/>
      <c r="ES424" s="569">
        <v>1491</v>
      </c>
      <c r="ET424" t="s">
        <v>715</v>
      </c>
      <c r="EU424"/>
      <c r="EV424"/>
      <c r="EW424"/>
      <c r="EX424"/>
      <c r="EY424"/>
    </row>
    <row r="425" spans="1:155" x14ac:dyDescent="0.2">
      <c r="A425" s="546"/>
      <c r="B425" s="19"/>
      <c r="C425" s="19"/>
      <c r="D425" s="543"/>
      <c r="E425" s="543"/>
      <c r="F425" s="543"/>
      <c r="G425" s="543"/>
      <c r="H425" s="543"/>
      <c r="I425" s="543"/>
      <c r="J425" s="543"/>
      <c r="K425" s="543"/>
      <c r="L425" s="543"/>
      <c r="M425" s="543"/>
      <c r="N425" s="543"/>
      <c r="O425" s="543"/>
      <c r="P425" s="543"/>
      <c r="Q425" s="543"/>
      <c r="R425" s="543"/>
      <c r="S425" s="543"/>
      <c r="T425" s="543"/>
      <c r="U425" s="543"/>
      <c r="V425" s="543"/>
      <c r="W425" s="543"/>
      <c r="X425" s="543"/>
      <c r="Y425" s="543"/>
      <c r="Z425" s="543"/>
      <c r="AA425" s="543"/>
      <c r="AB425" s="543"/>
      <c r="AC425" s="543"/>
      <c r="AD425" s="543"/>
      <c r="AE425" s="543"/>
      <c r="AF425" s="543"/>
      <c r="AG425" s="543"/>
      <c r="AH425" s="543"/>
      <c r="AI425" s="543"/>
      <c r="AJ425" s="543"/>
      <c r="AK425" s="543"/>
      <c r="AL425" s="543"/>
      <c r="AM425" s="543"/>
      <c r="AN425" s="543"/>
      <c r="AO425" s="543"/>
      <c r="AP425" s="543"/>
      <c r="AQ425" s="543"/>
      <c r="AR425" s="543"/>
      <c r="AS425" s="543"/>
      <c r="AT425" s="543"/>
      <c r="AU425" s="543"/>
      <c r="AV425" s="543"/>
      <c r="AW425" s="543"/>
      <c r="AX425" s="543"/>
      <c r="AY425" s="543"/>
      <c r="AZ425" s="543"/>
      <c r="BA425" s="543"/>
      <c r="BB425" s="543"/>
      <c r="BC425" s="543"/>
      <c r="BD425" s="543"/>
      <c r="BE425" s="543"/>
      <c r="BF425" s="543"/>
      <c r="BG425" s="543"/>
      <c r="BH425" s="543"/>
      <c r="BI425" s="543"/>
      <c r="BJ425" s="543"/>
      <c r="BK425" s="543"/>
      <c r="BL425" s="543"/>
      <c r="BM425" s="543"/>
      <c r="BN425" s="543"/>
      <c r="BO425" s="543"/>
      <c r="BP425" s="543"/>
      <c r="BQ425" s="543"/>
      <c r="BR425" s="543"/>
      <c r="BS425" s="543"/>
      <c r="BT425" s="543"/>
      <c r="BU425" s="543"/>
      <c r="BV425" s="543"/>
      <c r="BW425" s="543"/>
      <c r="BX425" s="543"/>
      <c r="BY425" s="543"/>
      <c r="BZ425" s="543"/>
      <c r="CA425" s="543"/>
      <c r="CB425" s="543"/>
      <c r="CC425" s="543"/>
      <c r="CD425" s="543"/>
      <c r="CE425" s="567"/>
      <c r="CF425" s="543"/>
      <c r="CG425" s="543"/>
      <c r="CH425" s="543"/>
      <c r="CI425" s="544"/>
      <c r="CJ425" s="543"/>
      <c r="CK425" s="19"/>
      <c r="CL425" s="19"/>
      <c r="CM425" s="19"/>
      <c r="CN425" s="551"/>
      <c r="CO425" s="19"/>
      <c r="CP425" s="19"/>
      <c r="CQ425" s="19"/>
      <c r="CR425" s="19"/>
      <c r="CS425" s="19"/>
      <c r="CT425" s="19"/>
      <c r="CU425" s="19"/>
      <c r="CV425" s="92"/>
      <c r="CW425" s="93"/>
      <c r="CX425" s="93"/>
      <c r="CY425" s="93"/>
      <c r="CZ425" s="552"/>
      <c r="DA425" s="93"/>
      <c r="DY425" s="546"/>
      <c r="DZ425" s="19"/>
      <c r="EA425" s="19"/>
      <c r="EB425" s="19"/>
      <c r="EC425" s="19"/>
      <c r="ED425" s="19"/>
      <c r="EE425" s="19"/>
      <c r="EI425" s="542"/>
      <c r="EJ425" s="542"/>
      <c r="EK425" s="542"/>
      <c r="EL425" s="542"/>
      <c r="EM425" s="542"/>
      <c r="EN425" s="542"/>
      <c r="EO425" s="542"/>
      <c r="EP425" s="542"/>
      <c r="EQ425" s="542"/>
      <c r="ER425" s="19"/>
      <c r="ES425" s="569">
        <v>1481</v>
      </c>
      <c r="ET425" t="s">
        <v>716</v>
      </c>
      <c r="EU425"/>
      <c r="EV425"/>
      <c r="EW425"/>
      <c r="EX425"/>
      <c r="EY425"/>
    </row>
    <row r="426" spans="1:155" x14ac:dyDescent="0.2">
      <c r="A426" s="546"/>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555"/>
      <c r="CF426" s="19"/>
      <c r="CG426" s="19"/>
      <c r="CH426" s="19"/>
      <c r="CI426" s="112"/>
      <c r="CJ426" s="19"/>
      <c r="CK426" s="19"/>
      <c r="CL426" s="19"/>
      <c r="CM426" s="19"/>
      <c r="CN426" s="551"/>
      <c r="CO426" s="19"/>
      <c r="CP426" s="19"/>
      <c r="CQ426" s="19"/>
      <c r="CR426" s="19"/>
      <c r="CS426" s="19"/>
      <c r="CT426" s="19"/>
      <c r="CU426" s="19"/>
      <c r="CV426" s="92"/>
      <c r="CW426" s="93"/>
      <c r="CX426" s="93"/>
      <c r="CY426" s="93"/>
      <c r="CZ426" s="93"/>
      <c r="DA426" s="93"/>
      <c r="DY426" s="546"/>
      <c r="DZ426" s="19"/>
      <c r="EA426" s="19"/>
      <c r="EB426" s="19"/>
      <c r="EC426" s="19"/>
      <c r="ED426" s="19"/>
      <c r="EE426" s="19"/>
      <c r="EI426" s="542"/>
      <c r="EJ426" s="542"/>
      <c r="EK426" s="542"/>
      <c r="EL426" s="542"/>
      <c r="EM426" s="542"/>
      <c r="EN426" s="542"/>
      <c r="EO426" s="542"/>
      <c r="EP426" s="542"/>
      <c r="EQ426" s="542"/>
      <c r="ER426" s="19"/>
      <c r="ES426" s="569">
        <v>1492</v>
      </c>
      <c r="ET426" t="s">
        <v>717</v>
      </c>
      <c r="EU426"/>
      <c r="EV426"/>
      <c r="EW426"/>
      <c r="EX426"/>
      <c r="EY426"/>
    </row>
    <row r="427" spans="1:155" x14ac:dyDescent="0.2">
      <c r="A427" s="546"/>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555"/>
      <c r="CF427" s="19"/>
      <c r="CG427" s="19"/>
      <c r="CH427" s="19"/>
      <c r="CI427" s="112"/>
      <c r="CJ427" s="19"/>
      <c r="CK427" s="19"/>
      <c r="CL427" s="19"/>
      <c r="CM427" s="19"/>
      <c r="CN427" s="551"/>
      <c r="CO427" s="19"/>
      <c r="CP427" s="19"/>
      <c r="CQ427" s="19"/>
      <c r="CR427" s="19"/>
      <c r="CS427" s="19"/>
      <c r="CT427" s="19"/>
      <c r="CU427" s="19"/>
      <c r="CV427" s="92"/>
      <c r="CW427" s="93"/>
      <c r="CX427" s="93"/>
      <c r="CY427" s="93"/>
      <c r="CZ427" s="552"/>
      <c r="DA427" s="93"/>
      <c r="DY427" s="546"/>
      <c r="DZ427" s="19"/>
      <c r="EA427" s="19"/>
      <c r="EB427" s="19"/>
      <c r="EC427" s="19"/>
      <c r="ED427" s="19"/>
      <c r="EE427" s="19"/>
      <c r="EI427" s="542"/>
      <c r="EJ427" s="542"/>
      <c r="EK427" s="542"/>
      <c r="EL427" s="542"/>
      <c r="EM427" s="542"/>
      <c r="EN427" s="542"/>
      <c r="EO427" s="542"/>
      <c r="EP427" s="542"/>
      <c r="EQ427" s="542"/>
      <c r="ER427" s="19"/>
      <c r="ES427" s="569">
        <v>1482</v>
      </c>
      <c r="ET427" t="s">
        <v>718</v>
      </c>
      <c r="EU427"/>
      <c r="EV427"/>
      <c r="EW427"/>
      <c r="EX427"/>
      <c r="EY427"/>
    </row>
    <row r="428" spans="1:155" x14ac:dyDescent="0.2">
      <c r="A428" s="546"/>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555"/>
      <c r="CF428" s="19"/>
      <c r="CG428" s="19"/>
      <c r="CH428" s="19"/>
      <c r="CI428" s="112"/>
      <c r="CJ428" s="19"/>
      <c r="CK428" s="19"/>
      <c r="CL428" s="19"/>
      <c r="CM428" s="19"/>
      <c r="CN428" s="551"/>
      <c r="CO428" s="19"/>
      <c r="CP428" s="19"/>
      <c r="CQ428" s="19"/>
      <c r="CR428" s="19"/>
      <c r="CS428" s="19"/>
      <c r="CT428" s="19"/>
      <c r="CU428" s="19"/>
      <c r="CV428" s="92"/>
      <c r="CW428" s="93"/>
      <c r="CX428" s="93"/>
      <c r="CY428" s="93"/>
      <c r="CZ428" s="552"/>
      <c r="DA428" s="93"/>
      <c r="DY428" s="546"/>
      <c r="DZ428" s="19"/>
      <c r="EA428" s="19"/>
      <c r="EB428" s="19"/>
      <c r="EC428" s="19"/>
      <c r="ED428" s="19"/>
      <c r="EE428" s="19"/>
      <c r="EI428" s="542"/>
      <c r="EJ428" s="542"/>
      <c r="EK428" s="542"/>
      <c r="EL428" s="542"/>
      <c r="EM428" s="542"/>
      <c r="EN428" s="542"/>
      <c r="EO428" s="542"/>
      <c r="EP428" s="542"/>
      <c r="EQ428" s="542"/>
      <c r="ER428" s="19"/>
      <c r="ES428" s="569">
        <v>1495</v>
      </c>
      <c r="ET428" t="s">
        <v>719</v>
      </c>
      <c r="EU428"/>
      <c r="EV428"/>
      <c r="EW428"/>
      <c r="EX428"/>
      <c r="EY428"/>
    </row>
    <row r="429" spans="1:155" x14ac:dyDescent="0.2">
      <c r="A429" s="546"/>
      <c r="B429" s="19"/>
      <c r="C429" s="19"/>
      <c r="D429" s="19"/>
      <c r="E429" s="547"/>
      <c r="F429" s="547"/>
      <c r="G429" s="547"/>
      <c r="H429" s="547"/>
      <c r="I429" s="547"/>
      <c r="J429" s="547"/>
      <c r="K429" s="547"/>
      <c r="L429" s="547"/>
      <c r="M429" s="547"/>
      <c r="N429" s="547"/>
      <c r="O429" s="547"/>
      <c r="P429" s="548"/>
      <c r="Q429" s="548"/>
      <c r="R429" s="547"/>
      <c r="S429" s="547"/>
      <c r="T429" s="547"/>
      <c r="U429" s="547"/>
      <c r="V429" s="547"/>
      <c r="W429" s="547"/>
      <c r="X429" s="547"/>
      <c r="Y429" s="547"/>
      <c r="Z429" s="548"/>
      <c r="AA429" s="547"/>
      <c r="AB429" s="548"/>
      <c r="AC429" s="547"/>
      <c r="AD429" s="547"/>
      <c r="AE429" s="547"/>
      <c r="AF429" s="547"/>
      <c r="AG429" s="547"/>
      <c r="AH429" s="547"/>
      <c r="AI429" s="547"/>
      <c r="AJ429" s="547"/>
      <c r="AK429" s="547"/>
      <c r="AL429" s="547"/>
      <c r="AM429" s="547"/>
      <c r="AN429" s="548"/>
      <c r="AO429" s="547"/>
      <c r="AP429" s="548"/>
      <c r="AQ429" s="547"/>
      <c r="AR429" s="547"/>
      <c r="AS429" s="547"/>
      <c r="AT429" s="547"/>
      <c r="AU429" s="547"/>
      <c r="AV429" s="547"/>
      <c r="AW429" s="547"/>
      <c r="AX429" s="547"/>
      <c r="AY429" s="547"/>
      <c r="AZ429" s="547"/>
      <c r="BA429" s="547"/>
      <c r="BB429" s="548"/>
      <c r="BC429" s="547"/>
      <c r="BD429" s="548"/>
      <c r="BE429" s="547"/>
      <c r="BF429" s="547"/>
      <c r="BG429" s="547"/>
      <c r="BH429" s="547"/>
      <c r="BI429" s="547"/>
      <c r="BJ429" s="547"/>
      <c r="BK429" s="547"/>
      <c r="BL429" s="547"/>
      <c r="BM429" s="547"/>
      <c r="BN429" s="547"/>
      <c r="BO429" s="547"/>
      <c r="BP429" s="547"/>
      <c r="BQ429" s="547"/>
      <c r="BR429" s="548"/>
      <c r="BS429" s="547"/>
      <c r="BT429" s="547"/>
      <c r="BU429" s="547"/>
      <c r="BV429" s="547"/>
      <c r="BW429" s="547"/>
      <c r="BX429" s="547"/>
      <c r="BY429" s="547"/>
      <c r="BZ429" s="547"/>
      <c r="CA429" s="547"/>
      <c r="CB429" s="547"/>
      <c r="CC429" s="547"/>
      <c r="CD429" s="547"/>
      <c r="CE429" s="547"/>
      <c r="CF429" s="547"/>
      <c r="CG429" s="547"/>
      <c r="CH429" s="547"/>
      <c r="CI429" s="547"/>
      <c r="CJ429" s="549"/>
      <c r="CK429" s="547"/>
      <c r="CL429" s="547"/>
      <c r="CM429" s="547"/>
      <c r="CN429" s="547"/>
      <c r="CO429" s="547"/>
      <c r="CP429" s="19"/>
      <c r="CQ429" s="19"/>
      <c r="CR429" s="19"/>
      <c r="CS429" s="19"/>
      <c r="CT429" s="19"/>
      <c r="CU429" s="19"/>
      <c r="EI429" s="542"/>
      <c r="EJ429" s="542"/>
      <c r="EK429" s="542"/>
      <c r="EL429" s="542"/>
      <c r="EM429" s="542"/>
      <c r="EN429" s="542"/>
      <c r="EO429" s="542"/>
      <c r="EP429" s="542"/>
      <c r="EQ429" s="542"/>
      <c r="ER429" s="19"/>
      <c r="ES429" s="569">
        <v>1485</v>
      </c>
      <c r="ET429" t="s">
        <v>720</v>
      </c>
      <c r="EU429"/>
      <c r="EV429"/>
      <c r="EW429"/>
      <c r="EX429"/>
      <c r="EY429"/>
    </row>
    <row r="430" spans="1:155" x14ac:dyDescent="0.2">
      <c r="A430" s="546"/>
      <c r="B430" s="19"/>
      <c r="C430" s="19"/>
      <c r="D430" s="19"/>
      <c r="E430" s="547"/>
      <c r="F430" s="547"/>
      <c r="G430" s="547"/>
      <c r="H430" s="547"/>
      <c r="I430" s="547"/>
      <c r="J430" s="547"/>
      <c r="K430" s="547"/>
      <c r="L430" s="547"/>
      <c r="M430" s="547"/>
      <c r="N430" s="547"/>
      <c r="O430" s="547"/>
      <c r="P430" s="548"/>
      <c r="Q430" s="548"/>
      <c r="R430" s="547"/>
      <c r="S430" s="547"/>
      <c r="T430" s="547"/>
      <c r="U430" s="547"/>
      <c r="V430" s="547"/>
      <c r="W430" s="547"/>
      <c r="X430" s="547"/>
      <c r="Y430" s="547"/>
      <c r="Z430" s="548"/>
      <c r="AA430" s="547"/>
      <c r="AB430" s="548"/>
      <c r="AC430" s="547"/>
      <c r="AD430" s="547"/>
      <c r="AE430" s="547"/>
      <c r="AF430" s="547"/>
      <c r="AG430" s="547"/>
      <c r="AH430" s="547"/>
      <c r="AI430" s="547"/>
      <c r="AJ430" s="547"/>
      <c r="AK430" s="547"/>
      <c r="AL430" s="547"/>
      <c r="AM430" s="547"/>
      <c r="AN430" s="548"/>
      <c r="AO430" s="547"/>
      <c r="AP430" s="548"/>
      <c r="AQ430" s="547"/>
      <c r="AR430" s="547"/>
      <c r="AS430" s="547"/>
      <c r="AT430" s="547"/>
      <c r="AU430" s="547"/>
      <c r="AV430" s="547"/>
      <c r="AW430" s="547"/>
      <c r="AX430" s="547"/>
      <c r="AY430" s="547"/>
      <c r="AZ430" s="547"/>
      <c r="BA430" s="547"/>
      <c r="BB430" s="548"/>
      <c r="BC430" s="547"/>
      <c r="BD430" s="548"/>
      <c r="BE430" s="547"/>
      <c r="BF430" s="547"/>
      <c r="BG430" s="547"/>
      <c r="BH430" s="547"/>
      <c r="BI430" s="547"/>
      <c r="BJ430" s="547"/>
      <c r="BK430" s="547"/>
      <c r="BL430" s="547"/>
      <c r="BM430" s="547"/>
      <c r="BN430" s="547"/>
      <c r="BO430" s="547"/>
      <c r="BP430" s="547"/>
      <c r="BQ430" s="547"/>
      <c r="BR430" s="548"/>
      <c r="BS430" s="547"/>
      <c r="BT430" s="547"/>
      <c r="BU430" s="547"/>
      <c r="BV430" s="547"/>
      <c r="BW430" s="547"/>
      <c r="BX430" s="547"/>
      <c r="BY430" s="547"/>
      <c r="BZ430" s="547"/>
      <c r="CA430" s="547"/>
      <c r="CB430" s="547"/>
      <c r="CC430" s="547"/>
      <c r="CD430" s="547"/>
      <c r="CE430" s="547"/>
      <c r="CF430" s="547"/>
      <c r="CG430" s="547"/>
      <c r="CH430" s="547"/>
      <c r="CI430" s="547"/>
      <c r="CJ430" s="549"/>
      <c r="CK430" s="547"/>
      <c r="CL430" s="547"/>
      <c r="CM430" s="547"/>
      <c r="CN430" s="550"/>
      <c r="CO430" s="547"/>
      <c r="CP430" s="19"/>
      <c r="CQ430" s="19"/>
      <c r="CR430" s="19"/>
      <c r="CS430" s="19"/>
      <c r="CT430" s="19"/>
      <c r="CU430" s="19"/>
      <c r="EI430" s="542"/>
      <c r="EJ430" s="542"/>
      <c r="EK430" s="542"/>
      <c r="EL430" s="542"/>
      <c r="EM430" s="542"/>
      <c r="EN430" s="542"/>
      <c r="EO430" s="542"/>
      <c r="EP430" s="542"/>
      <c r="EQ430" s="542"/>
      <c r="ER430" s="19"/>
      <c r="ES430" s="569">
        <v>1484</v>
      </c>
      <c r="ET430" t="s">
        <v>721</v>
      </c>
      <c r="EU430"/>
      <c r="EV430"/>
      <c r="EW430"/>
      <c r="EX430"/>
      <c r="EY430"/>
    </row>
    <row r="431" spans="1:155" x14ac:dyDescent="0.2">
      <c r="A431" s="546"/>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555"/>
      <c r="CF431" s="19"/>
      <c r="CG431" s="19"/>
      <c r="CH431" s="19"/>
      <c r="CI431" s="112"/>
      <c r="CJ431" s="19"/>
      <c r="CK431" s="19"/>
      <c r="CL431" s="19"/>
      <c r="CM431" s="19"/>
      <c r="CN431" s="551"/>
      <c r="CO431" s="19"/>
      <c r="CP431" s="19"/>
      <c r="CQ431" s="19"/>
      <c r="CR431" s="19"/>
      <c r="CS431" s="19"/>
      <c r="CT431" s="19"/>
      <c r="CU431" s="19"/>
      <c r="CV431" s="92"/>
      <c r="CW431" s="93"/>
      <c r="CX431" s="93"/>
      <c r="CY431" s="93"/>
      <c r="CZ431" s="552"/>
      <c r="DA431" s="93"/>
      <c r="DY431" s="546"/>
      <c r="DZ431" s="19"/>
      <c r="EA431" s="19"/>
      <c r="EB431" s="19"/>
      <c r="EC431" s="19"/>
      <c r="ED431" s="19"/>
      <c r="EE431" s="19"/>
      <c r="EI431" s="542"/>
      <c r="EJ431" s="542"/>
      <c r="EK431" s="542"/>
      <c r="EL431" s="542"/>
      <c r="EM431" s="542"/>
      <c r="EN431" s="542"/>
      <c r="EO431" s="542"/>
      <c r="EP431" s="542"/>
      <c r="EQ431" s="542"/>
      <c r="ER431" s="19"/>
      <c r="ES431" s="569">
        <v>1494</v>
      </c>
      <c r="ET431" t="s">
        <v>722</v>
      </c>
      <c r="EU431"/>
      <c r="EV431"/>
      <c r="EW431"/>
      <c r="EX431"/>
      <c r="EY431"/>
    </row>
    <row r="432" spans="1:155" x14ac:dyDescent="0.2">
      <c r="A432" s="546"/>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555"/>
      <c r="CF432" s="19"/>
      <c r="CG432" s="19"/>
      <c r="CH432" s="19"/>
      <c r="CI432" s="112"/>
      <c r="CJ432" s="19"/>
      <c r="CK432" s="19"/>
      <c r="CL432" s="19"/>
      <c r="CM432" s="19"/>
      <c r="CN432" s="551"/>
      <c r="CO432" s="19"/>
      <c r="CP432" s="19"/>
      <c r="CQ432" s="19"/>
      <c r="CR432" s="19"/>
      <c r="CS432" s="19"/>
      <c r="CT432" s="19"/>
      <c r="CU432" s="19"/>
      <c r="CV432" s="92"/>
      <c r="CW432" s="93"/>
      <c r="CX432" s="93"/>
      <c r="CY432" s="93"/>
      <c r="CZ432" s="552"/>
      <c r="DA432" s="93"/>
      <c r="DY432" s="546"/>
      <c r="DZ432" s="19"/>
      <c r="EA432" s="19"/>
      <c r="EB432" s="19"/>
      <c r="EC432" s="19"/>
      <c r="ED432" s="19"/>
      <c r="EE432" s="19"/>
      <c r="EI432" s="542"/>
      <c r="EJ432" s="542"/>
      <c r="EK432" s="542"/>
      <c r="EL432" s="542"/>
      <c r="EM432" s="542"/>
      <c r="EN432" s="542"/>
      <c r="EO432" s="542"/>
      <c r="EP432" s="542"/>
      <c r="EQ432" s="542"/>
      <c r="ER432" s="19"/>
      <c r="ES432" s="542"/>
    </row>
    <row r="433" spans="1:149" x14ac:dyDescent="0.2">
      <c r="A433" s="546"/>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555"/>
      <c r="CF433" s="19"/>
      <c r="CG433" s="19"/>
      <c r="CH433" s="19"/>
      <c r="CI433" s="112"/>
      <c r="CJ433" s="19"/>
      <c r="CK433" s="19"/>
      <c r="CL433" s="19"/>
      <c r="CM433" s="19"/>
      <c r="CN433" s="551"/>
      <c r="CO433" s="19"/>
      <c r="CP433" s="19"/>
      <c r="CQ433" s="19"/>
      <c r="CR433" s="19"/>
      <c r="CS433" s="19"/>
      <c r="CT433" s="19"/>
      <c r="CU433" s="19"/>
      <c r="CV433" s="92"/>
      <c r="CW433" s="93"/>
      <c r="CX433" s="93"/>
      <c r="CY433" s="93"/>
      <c r="CZ433" s="552"/>
      <c r="DA433" s="93"/>
      <c r="DG433" s="552"/>
      <c r="DY433" s="546"/>
      <c r="DZ433" s="19"/>
      <c r="EA433" s="19"/>
      <c r="EB433" s="19"/>
      <c r="EC433" s="19"/>
      <c r="ED433" s="19"/>
      <c r="EE433" s="19"/>
      <c r="EI433" s="542"/>
      <c r="EJ433" s="542"/>
      <c r="EK433" s="542"/>
      <c r="EL433" s="542"/>
      <c r="EM433" s="542"/>
      <c r="EN433" s="542"/>
      <c r="EO433" s="542"/>
      <c r="EP433" s="542"/>
      <c r="EQ433" s="542"/>
      <c r="ER433" s="19"/>
      <c r="ES433" s="542"/>
    </row>
    <row r="434" spans="1:149" x14ac:dyDescent="0.2">
      <c r="A434" s="546"/>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555"/>
      <c r="CF434" s="19"/>
      <c r="CG434" s="19"/>
      <c r="CH434" s="19"/>
      <c r="CI434" s="112"/>
      <c r="CJ434" s="19"/>
      <c r="CK434" s="19"/>
      <c r="CL434" s="19"/>
      <c r="CM434" s="19"/>
      <c r="CN434" s="19"/>
      <c r="CO434" s="19"/>
      <c r="CP434" s="19"/>
      <c r="CQ434" s="19"/>
      <c r="CR434" s="19"/>
      <c r="CS434" s="19"/>
      <c r="CT434" s="19"/>
      <c r="CU434" s="19"/>
      <c r="CV434" s="92"/>
      <c r="CW434" s="93"/>
      <c r="CX434" s="93"/>
      <c r="CY434" s="93"/>
      <c r="CZ434" s="93"/>
      <c r="DA434" s="93"/>
      <c r="DY434" s="546"/>
      <c r="DZ434" s="19"/>
      <c r="EA434" s="19"/>
      <c r="EB434" s="19"/>
      <c r="EC434" s="19"/>
      <c r="ED434" s="19"/>
      <c r="EE434" s="19"/>
      <c r="EI434" s="542"/>
      <c r="EJ434" s="542"/>
      <c r="EK434" s="542"/>
      <c r="EL434" s="542"/>
      <c r="EM434" s="542"/>
      <c r="EN434" s="542"/>
      <c r="EO434" s="542"/>
      <c r="EP434" s="542"/>
      <c r="EQ434" s="542"/>
      <c r="ER434" s="19"/>
      <c r="ES434" s="542"/>
    </row>
    <row r="435" spans="1:149" x14ac:dyDescent="0.2">
      <c r="A435" s="546"/>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555"/>
      <c r="CF435" s="19"/>
      <c r="CG435" s="19"/>
      <c r="CH435" s="19"/>
      <c r="CI435" s="112"/>
      <c r="CJ435" s="19"/>
      <c r="CK435" s="19"/>
      <c r="CL435" s="19"/>
      <c r="CM435" s="19"/>
      <c r="CN435" s="551"/>
      <c r="CO435" s="19"/>
      <c r="CP435" s="19"/>
      <c r="CQ435" s="19"/>
      <c r="CR435" s="19"/>
      <c r="CS435" s="19"/>
      <c r="CT435" s="19"/>
      <c r="CU435" s="19"/>
      <c r="CV435" s="92"/>
      <c r="CW435" s="93"/>
      <c r="CX435" s="93"/>
      <c r="CY435" s="93"/>
      <c r="CZ435" s="552"/>
      <c r="DA435" s="93"/>
      <c r="DY435" s="546"/>
      <c r="DZ435" s="19"/>
      <c r="EA435" s="19"/>
      <c r="EB435" s="19"/>
      <c r="EC435" s="19"/>
      <c r="ED435" s="19"/>
      <c r="EE435" s="19"/>
      <c r="EI435" s="542"/>
      <c r="EJ435" s="542"/>
      <c r="EK435" s="542"/>
      <c r="EL435" s="542"/>
      <c r="EM435" s="542"/>
      <c r="EN435" s="542"/>
      <c r="EO435" s="542"/>
      <c r="EP435" s="542"/>
      <c r="EQ435" s="542"/>
      <c r="ER435" s="19"/>
      <c r="ES435" s="542"/>
    </row>
    <row r="436" spans="1:149" x14ac:dyDescent="0.2">
      <c r="A436" s="17"/>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555"/>
      <c r="CF436" s="19"/>
      <c r="CG436" s="19"/>
      <c r="CH436" s="19"/>
      <c r="CI436" s="112"/>
      <c r="CJ436" s="19"/>
      <c r="CK436" s="19"/>
      <c r="CL436" s="19"/>
      <c r="CM436" s="19"/>
      <c r="CN436" s="551"/>
      <c r="CO436" s="19"/>
      <c r="CP436" s="19"/>
      <c r="CQ436" s="19"/>
      <c r="CR436" s="19"/>
      <c r="CS436" s="19"/>
      <c r="CT436" s="19"/>
      <c r="CU436" s="19"/>
      <c r="CV436" s="92"/>
      <c r="CW436" s="93"/>
      <c r="CX436" s="93"/>
      <c r="CY436" s="93"/>
      <c r="CZ436" s="552"/>
      <c r="DA436" s="93"/>
      <c r="DG436" s="552"/>
      <c r="DY436" s="546"/>
      <c r="DZ436" s="19"/>
      <c r="EA436" s="19"/>
      <c r="EB436" s="19"/>
      <c r="EC436" s="19"/>
      <c r="ED436" s="19"/>
      <c r="EE436" s="19"/>
      <c r="EI436" s="542"/>
      <c r="EJ436" s="542"/>
      <c r="EK436" s="542"/>
      <c r="EL436" s="542"/>
      <c r="EM436" s="542"/>
      <c r="EN436" s="542"/>
      <c r="EO436" s="542"/>
      <c r="EP436" s="542"/>
      <c r="EQ436" s="542"/>
      <c r="ER436" s="19"/>
      <c r="ES436" s="542"/>
    </row>
    <row r="437" spans="1:149" x14ac:dyDescent="0.2">
      <c r="A437" s="17"/>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555"/>
      <c r="CF437" s="19"/>
      <c r="CG437" s="19"/>
      <c r="CH437" s="19"/>
      <c r="CI437" s="112"/>
      <c r="CJ437" s="19"/>
      <c r="CK437" s="19"/>
      <c r="CL437" s="19"/>
      <c r="CM437" s="19"/>
      <c r="CN437" s="551"/>
      <c r="CO437" s="19"/>
      <c r="CP437" s="19"/>
      <c r="CQ437" s="19"/>
      <c r="CR437" s="19"/>
      <c r="CS437" s="19"/>
      <c r="CT437" s="19"/>
      <c r="CU437" s="19"/>
      <c r="CV437" s="92"/>
      <c r="CW437" s="93"/>
      <c r="CX437" s="93"/>
      <c r="CY437" s="93"/>
      <c r="CZ437" s="93"/>
      <c r="DA437" s="93"/>
      <c r="DY437" s="546"/>
      <c r="DZ437" s="19"/>
      <c r="EA437" s="19"/>
      <c r="EB437" s="19"/>
      <c r="EC437" s="19"/>
      <c r="ED437" s="19"/>
      <c r="EE437" s="19"/>
      <c r="EI437" s="542"/>
      <c r="EJ437" s="542"/>
      <c r="EK437" s="542"/>
      <c r="EL437" s="542"/>
      <c r="EM437" s="542"/>
      <c r="EN437" s="542"/>
      <c r="EO437" s="542"/>
      <c r="EP437" s="542"/>
      <c r="EQ437" s="542"/>
      <c r="ER437" s="19"/>
      <c r="ES437" s="542"/>
    </row>
    <row r="438" spans="1:149" x14ac:dyDescent="0.2">
      <c r="A438" s="17"/>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555"/>
      <c r="CF438" s="19"/>
      <c r="CG438" s="19"/>
      <c r="CH438" s="19"/>
      <c r="CI438" s="112"/>
      <c r="CJ438" s="19"/>
      <c r="CK438" s="19"/>
      <c r="CL438" s="19"/>
      <c r="CM438" s="19"/>
      <c r="CN438" s="551"/>
      <c r="CO438" s="19"/>
      <c r="CP438" s="19"/>
      <c r="CQ438" s="19"/>
      <c r="CR438" s="19"/>
      <c r="CS438" s="19"/>
      <c r="CT438" s="19"/>
      <c r="CU438" s="19"/>
      <c r="CV438" s="92"/>
      <c r="CW438" s="93"/>
      <c r="CX438" s="93"/>
      <c r="CY438" s="93"/>
      <c r="CZ438" s="93"/>
      <c r="DA438" s="93"/>
      <c r="DY438" s="546"/>
      <c r="DZ438" s="19"/>
      <c r="EA438" s="19"/>
      <c r="EB438" s="19"/>
      <c r="EC438" s="19"/>
      <c r="ED438" s="19"/>
      <c r="EE438" s="19"/>
      <c r="EI438" s="542"/>
      <c r="EJ438" s="542"/>
      <c r="EK438" s="542"/>
      <c r="EL438" s="542"/>
      <c r="EM438" s="542"/>
      <c r="EN438" s="542"/>
      <c r="EO438" s="542"/>
      <c r="EP438" s="542"/>
      <c r="EQ438" s="542"/>
      <c r="ER438" s="19"/>
      <c r="ES438" s="542"/>
    </row>
    <row r="439" spans="1:149" x14ac:dyDescent="0.2">
      <c r="A439" s="17"/>
      <c r="B439" s="19"/>
      <c r="C439" s="19"/>
      <c r="D439" s="19"/>
      <c r="E439" s="547"/>
      <c r="F439" s="547"/>
      <c r="G439" s="547"/>
      <c r="H439" s="547"/>
      <c r="I439" s="547"/>
      <c r="J439" s="547"/>
      <c r="K439" s="547"/>
      <c r="L439" s="547"/>
      <c r="M439" s="547"/>
      <c r="N439" s="547"/>
      <c r="O439" s="547"/>
      <c r="P439" s="548"/>
      <c r="Q439" s="548"/>
      <c r="R439" s="547"/>
      <c r="S439" s="547"/>
      <c r="T439" s="547"/>
      <c r="U439" s="547"/>
      <c r="V439" s="547"/>
      <c r="W439" s="547"/>
      <c r="X439" s="547"/>
      <c r="Y439" s="547"/>
      <c r="Z439" s="548"/>
      <c r="AA439" s="547"/>
      <c r="AB439" s="548"/>
      <c r="AC439" s="547"/>
      <c r="AD439" s="547"/>
      <c r="AE439" s="547"/>
      <c r="AF439" s="547"/>
      <c r="AG439" s="547"/>
      <c r="AH439" s="547"/>
      <c r="AI439" s="547"/>
      <c r="AJ439" s="547"/>
      <c r="AK439" s="547"/>
      <c r="AL439" s="547"/>
      <c r="AM439" s="547"/>
      <c r="AN439" s="548"/>
      <c r="AO439" s="547"/>
      <c r="AP439" s="548"/>
      <c r="AQ439" s="547"/>
      <c r="AR439" s="547"/>
      <c r="AS439" s="547"/>
      <c r="AT439" s="547"/>
      <c r="AU439" s="547"/>
      <c r="AV439" s="547"/>
      <c r="AW439" s="547"/>
      <c r="AX439" s="547"/>
      <c r="AY439" s="547"/>
      <c r="AZ439" s="547"/>
      <c r="BA439" s="547"/>
      <c r="BB439" s="548"/>
      <c r="BC439" s="547"/>
      <c r="BD439" s="548"/>
      <c r="BE439" s="547"/>
      <c r="BF439" s="547"/>
      <c r="BG439" s="547"/>
      <c r="BH439" s="547"/>
      <c r="BI439" s="547"/>
      <c r="BJ439" s="547"/>
      <c r="BK439" s="547"/>
      <c r="BL439" s="547"/>
      <c r="BM439" s="547"/>
      <c r="BN439" s="547"/>
      <c r="BO439" s="547"/>
      <c r="BP439" s="547"/>
      <c r="BQ439" s="547"/>
      <c r="BR439" s="548"/>
      <c r="BS439" s="547"/>
      <c r="BT439" s="547"/>
      <c r="BU439" s="547"/>
      <c r="BV439" s="547"/>
      <c r="BW439" s="547"/>
      <c r="BX439" s="547"/>
      <c r="BY439" s="547"/>
      <c r="BZ439" s="547"/>
      <c r="CA439" s="547"/>
      <c r="CB439" s="547"/>
      <c r="CC439" s="547"/>
      <c r="CD439" s="547"/>
      <c r="CE439" s="547"/>
      <c r="CF439" s="550"/>
      <c r="CG439" s="547"/>
      <c r="CH439" s="547"/>
      <c r="CI439" s="547"/>
      <c r="CJ439" s="549"/>
      <c r="CK439" s="547"/>
      <c r="CL439" s="547"/>
      <c r="CM439" s="547"/>
      <c r="CN439" s="547"/>
      <c r="CO439" s="547"/>
      <c r="CP439" s="19"/>
      <c r="CQ439" s="19"/>
      <c r="CR439" s="19"/>
      <c r="CS439" s="19"/>
      <c r="CT439" s="19"/>
      <c r="CU439" s="19"/>
      <c r="EI439" s="542"/>
      <c r="EJ439" s="542"/>
      <c r="EK439" s="542"/>
      <c r="EL439" s="542"/>
      <c r="EM439" s="542"/>
      <c r="EN439" s="542"/>
      <c r="EO439" s="542"/>
      <c r="EP439" s="542"/>
      <c r="EQ439" s="542"/>
      <c r="ER439" s="19"/>
      <c r="ES439" s="542"/>
    </row>
    <row r="440" spans="1:149" x14ac:dyDescent="0.2">
      <c r="A440" s="17"/>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555"/>
      <c r="CF440" s="19"/>
      <c r="CG440" s="19"/>
      <c r="CH440" s="19"/>
      <c r="CI440" s="112"/>
      <c r="CJ440" s="19"/>
      <c r="CK440" s="19"/>
      <c r="CL440" s="19"/>
      <c r="CM440" s="19"/>
      <c r="CN440" s="551"/>
      <c r="CO440" s="19"/>
      <c r="CP440" s="19"/>
      <c r="CQ440" s="19"/>
      <c r="CR440" s="19"/>
      <c r="CS440" s="19"/>
      <c r="CT440" s="19"/>
      <c r="CU440" s="19"/>
      <c r="CV440" s="92"/>
      <c r="CW440" s="93"/>
      <c r="CX440" s="93"/>
      <c r="CY440" s="93"/>
      <c r="CZ440" s="552"/>
      <c r="DA440" s="93"/>
      <c r="DB440" s="552"/>
      <c r="DY440" s="546"/>
      <c r="DZ440" s="19"/>
      <c r="EA440" s="19"/>
      <c r="EB440" s="19"/>
      <c r="EC440" s="19"/>
      <c r="ED440" s="19"/>
      <c r="EE440" s="19"/>
      <c r="EI440" s="542"/>
      <c r="EJ440" s="542"/>
      <c r="EK440" s="542"/>
      <c r="EL440" s="542"/>
      <c r="EM440" s="542"/>
      <c r="EN440" s="542"/>
      <c r="EO440" s="542"/>
      <c r="EP440" s="542"/>
      <c r="EQ440" s="542"/>
      <c r="ER440" s="19"/>
      <c r="ES440" s="542"/>
    </row>
    <row r="441" spans="1:149" x14ac:dyDescent="0.2">
      <c r="A441" s="17"/>
      <c r="B441" s="19"/>
      <c r="C441" s="19"/>
      <c r="D441" s="19"/>
      <c r="E441" s="547"/>
      <c r="F441" s="547"/>
      <c r="G441" s="547"/>
      <c r="H441" s="547"/>
      <c r="I441" s="547"/>
      <c r="J441" s="547"/>
      <c r="K441" s="547"/>
      <c r="L441" s="547"/>
      <c r="M441" s="547"/>
      <c r="N441" s="547"/>
      <c r="O441" s="547"/>
      <c r="P441" s="548"/>
      <c r="Q441" s="548"/>
      <c r="R441" s="547"/>
      <c r="S441" s="547"/>
      <c r="T441" s="547"/>
      <c r="U441" s="547"/>
      <c r="V441" s="547"/>
      <c r="W441" s="547"/>
      <c r="X441" s="547"/>
      <c r="Y441" s="547"/>
      <c r="Z441" s="548"/>
      <c r="AA441" s="547"/>
      <c r="AB441" s="548"/>
      <c r="AC441" s="547"/>
      <c r="AD441" s="547"/>
      <c r="AE441" s="547"/>
      <c r="AF441" s="547"/>
      <c r="AG441" s="547"/>
      <c r="AH441" s="547"/>
      <c r="AI441" s="547"/>
      <c r="AJ441" s="547"/>
      <c r="AK441" s="547"/>
      <c r="AL441" s="547"/>
      <c r="AM441" s="547"/>
      <c r="AN441" s="548"/>
      <c r="AO441" s="547"/>
      <c r="AP441" s="548"/>
      <c r="AQ441" s="547"/>
      <c r="AR441" s="547"/>
      <c r="AS441" s="547"/>
      <c r="AT441" s="547"/>
      <c r="AU441" s="547"/>
      <c r="AV441" s="547"/>
      <c r="AW441" s="547"/>
      <c r="AX441" s="547"/>
      <c r="AY441" s="547"/>
      <c r="AZ441" s="547"/>
      <c r="BA441" s="547"/>
      <c r="BB441" s="548"/>
      <c r="BC441" s="547"/>
      <c r="BD441" s="548"/>
      <c r="BE441" s="547"/>
      <c r="BF441" s="547"/>
      <c r="BG441" s="547"/>
      <c r="BH441" s="547"/>
      <c r="BI441" s="547"/>
      <c r="BJ441" s="547"/>
      <c r="BK441" s="547"/>
      <c r="BL441" s="547"/>
      <c r="BM441" s="547"/>
      <c r="BN441" s="547"/>
      <c r="BO441" s="547"/>
      <c r="BP441" s="547"/>
      <c r="BQ441" s="547"/>
      <c r="BR441" s="548"/>
      <c r="BS441" s="547"/>
      <c r="BT441" s="547"/>
      <c r="BU441" s="547"/>
      <c r="BV441" s="547"/>
      <c r="BW441" s="547"/>
      <c r="BX441" s="547"/>
      <c r="BY441" s="547"/>
      <c r="BZ441" s="547"/>
      <c r="CA441" s="547"/>
      <c r="CB441" s="547"/>
      <c r="CC441" s="547"/>
      <c r="CD441" s="547"/>
      <c r="CE441" s="547"/>
      <c r="CF441" s="547"/>
      <c r="CG441" s="547"/>
      <c r="CH441" s="547"/>
      <c r="CI441" s="547"/>
      <c r="CJ441" s="549"/>
      <c r="CK441" s="547"/>
      <c r="CL441" s="547"/>
      <c r="CM441" s="547"/>
      <c r="CN441" s="547"/>
      <c r="CO441" s="547"/>
      <c r="CP441" s="19"/>
      <c r="CQ441" s="19"/>
      <c r="CR441" s="19"/>
      <c r="CS441" s="19"/>
      <c r="CT441" s="19"/>
      <c r="CU441" s="19"/>
      <c r="EI441" s="542"/>
      <c r="EJ441" s="542"/>
      <c r="EK441" s="542"/>
      <c r="EL441" s="542"/>
      <c r="EM441" s="542"/>
      <c r="EN441" s="542"/>
      <c r="EO441" s="542"/>
      <c r="EP441" s="542"/>
      <c r="EQ441" s="542"/>
      <c r="ER441" s="19"/>
      <c r="ES441" s="542"/>
    </row>
    <row r="442" spans="1:149" x14ac:dyDescent="0.2">
      <c r="A442" s="17"/>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555"/>
      <c r="CF442" s="19"/>
      <c r="CG442" s="19"/>
      <c r="CH442" s="19"/>
      <c r="CI442" s="112"/>
      <c r="CJ442" s="19"/>
      <c r="CK442" s="19"/>
      <c r="CL442" s="19"/>
      <c r="CM442" s="19"/>
      <c r="CN442" s="551"/>
      <c r="CO442" s="19"/>
      <c r="CP442" s="19"/>
      <c r="CQ442" s="19"/>
      <c r="CR442" s="19"/>
      <c r="CS442" s="19"/>
      <c r="CT442" s="19"/>
      <c r="CU442" s="19"/>
      <c r="CV442" s="92"/>
      <c r="CW442" s="93"/>
      <c r="CX442" s="93"/>
      <c r="CY442" s="93"/>
      <c r="CZ442" s="552"/>
      <c r="DA442" s="93"/>
      <c r="DY442" s="546"/>
      <c r="DZ442" s="19"/>
      <c r="EA442" s="19"/>
      <c r="EB442" s="19"/>
      <c r="EC442" s="19"/>
      <c r="ED442" s="19"/>
      <c r="EE442" s="19"/>
      <c r="EI442" s="542"/>
      <c r="EJ442" s="542"/>
      <c r="EK442" s="542"/>
      <c r="EL442" s="542"/>
      <c r="EM442" s="542"/>
      <c r="EN442" s="542"/>
      <c r="EO442" s="542"/>
      <c r="EP442" s="542"/>
      <c r="EQ442" s="542"/>
      <c r="ER442" s="19"/>
      <c r="ES442" s="542"/>
    </row>
    <row r="443" spans="1:149" x14ac:dyDescent="0.2">
      <c r="A443" s="17"/>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555"/>
      <c r="CF443" s="19"/>
      <c r="CG443" s="19"/>
      <c r="CH443" s="19"/>
      <c r="CI443" s="112"/>
      <c r="CJ443" s="19"/>
      <c r="CK443" s="19"/>
      <c r="CL443" s="19"/>
      <c r="CM443" s="19"/>
      <c r="CN443" s="551"/>
      <c r="CO443" s="19"/>
      <c r="CP443" s="19"/>
      <c r="CQ443" s="19"/>
      <c r="CR443" s="19"/>
      <c r="CS443" s="19"/>
      <c r="CT443" s="19"/>
      <c r="CU443" s="19"/>
      <c r="CV443" s="92"/>
      <c r="CW443" s="93"/>
      <c r="CX443" s="93"/>
      <c r="CY443" s="93"/>
      <c r="CZ443" s="552"/>
      <c r="DA443" s="93"/>
      <c r="DY443" s="546"/>
      <c r="DZ443" s="19"/>
      <c r="EA443" s="19"/>
      <c r="EB443" s="19"/>
      <c r="EC443" s="19"/>
      <c r="ED443" s="19"/>
      <c r="EE443" s="19"/>
      <c r="EI443" s="542"/>
      <c r="EJ443" s="542"/>
      <c r="EK443" s="542"/>
      <c r="EL443" s="542"/>
      <c r="EM443" s="542"/>
      <c r="EN443" s="542"/>
      <c r="EO443" s="542"/>
      <c r="EP443" s="542"/>
      <c r="EQ443" s="542"/>
      <c r="ER443" s="19"/>
      <c r="ES443" s="542"/>
    </row>
    <row r="444" spans="1:149" x14ac:dyDescent="0.2">
      <c r="A444" s="17"/>
      <c r="B444" s="19"/>
      <c r="C444" s="19"/>
      <c r="D444" s="19"/>
      <c r="E444" s="547"/>
      <c r="F444" s="547"/>
      <c r="G444" s="547"/>
      <c r="H444" s="547"/>
      <c r="I444" s="547"/>
      <c r="J444" s="547"/>
      <c r="K444" s="547"/>
      <c r="L444" s="547"/>
      <c r="M444" s="547"/>
      <c r="N444" s="547"/>
      <c r="O444" s="547"/>
      <c r="P444" s="548"/>
      <c r="Q444" s="548"/>
      <c r="R444" s="547"/>
      <c r="S444" s="547"/>
      <c r="T444" s="547"/>
      <c r="U444" s="547"/>
      <c r="V444" s="547"/>
      <c r="W444" s="547"/>
      <c r="X444" s="547"/>
      <c r="Y444" s="547"/>
      <c r="Z444" s="548"/>
      <c r="AA444" s="547"/>
      <c r="AB444" s="548"/>
      <c r="AC444" s="547"/>
      <c r="AD444" s="547"/>
      <c r="AE444" s="547"/>
      <c r="AF444" s="547"/>
      <c r="AG444" s="547"/>
      <c r="AH444" s="547"/>
      <c r="AI444" s="547"/>
      <c r="AJ444" s="547"/>
      <c r="AK444" s="547"/>
      <c r="AL444" s="547"/>
      <c r="AM444" s="547"/>
      <c r="AN444" s="548"/>
      <c r="AO444" s="547"/>
      <c r="AP444" s="548"/>
      <c r="AQ444" s="547"/>
      <c r="AR444" s="547"/>
      <c r="AS444" s="547"/>
      <c r="AT444" s="547"/>
      <c r="AU444" s="547"/>
      <c r="AV444" s="547"/>
      <c r="AW444" s="547"/>
      <c r="AX444" s="547"/>
      <c r="AY444" s="547"/>
      <c r="AZ444" s="547"/>
      <c r="BA444" s="547"/>
      <c r="BB444" s="548"/>
      <c r="BC444" s="547"/>
      <c r="BD444" s="548"/>
      <c r="BE444" s="547"/>
      <c r="BF444" s="547"/>
      <c r="BG444" s="547"/>
      <c r="BH444" s="547"/>
      <c r="BI444" s="547"/>
      <c r="BJ444" s="547"/>
      <c r="BK444" s="547"/>
      <c r="BL444" s="547"/>
      <c r="BM444" s="547"/>
      <c r="BN444" s="547"/>
      <c r="BO444" s="547"/>
      <c r="BP444" s="547"/>
      <c r="BQ444" s="547"/>
      <c r="BR444" s="548"/>
      <c r="BS444" s="547"/>
      <c r="BT444" s="547"/>
      <c r="BU444" s="547"/>
      <c r="BV444" s="547"/>
      <c r="BW444" s="547"/>
      <c r="BX444" s="547"/>
      <c r="BY444" s="547"/>
      <c r="BZ444" s="547"/>
      <c r="CA444" s="547"/>
      <c r="CB444" s="547"/>
      <c r="CC444" s="547"/>
      <c r="CD444" s="547"/>
      <c r="CE444" s="547"/>
      <c r="CF444" s="547"/>
      <c r="CG444" s="547"/>
      <c r="CH444" s="547"/>
      <c r="CI444" s="547"/>
      <c r="CJ444" s="549"/>
      <c r="CK444" s="547"/>
      <c r="CL444" s="547"/>
      <c r="CM444" s="547"/>
      <c r="CN444" s="547"/>
      <c r="CO444" s="547"/>
      <c r="CP444" s="19"/>
      <c r="CQ444" s="19"/>
      <c r="CR444" s="19"/>
      <c r="CS444" s="19"/>
      <c r="CT444" s="19"/>
      <c r="CU444" s="19"/>
      <c r="EI444" s="542"/>
      <c r="EJ444" s="542"/>
      <c r="EK444" s="542"/>
      <c r="EL444" s="542"/>
      <c r="EM444" s="542"/>
      <c r="EN444" s="542"/>
      <c r="EO444" s="542"/>
      <c r="EP444" s="542"/>
      <c r="EQ444" s="542"/>
      <c r="ER444" s="19"/>
      <c r="ES444" s="542"/>
    </row>
    <row r="445" spans="1:149" x14ac:dyDescent="0.2">
      <c r="A445" s="17"/>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555"/>
      <c r="CF445" s="19"/>
      <c r="CG445" s="19"/>
      <c r="CH445" s="19"/>
      <c r="CI445" s="112"/>
      <c r="CJ445" s="19"/>
      <c r="CK445" s="19"/>
      <c r="CL445" s="19"/>
      <c r="CM445" s="19"/>
      <c r="CN445" s="551"/>
      <c r="CO445" s="19"/>
      <c r="CP445" s="19"/>
      <c r="CQ445" s="19"/>
      <c r="CR445" s="19"/>
      <c r="CS445" s="19"/>
      <c r="CT445" s="19"/>
      <c r="CU445" s="19"/>
      <c r="CV445" s="92"/>
      <c r="CW445" s="93"/>
      <c r="CX445" s="93"/>
      <c r="CY445" s="93"/>
      <c r="CZ445" s="93"/>
      <c r="DA445" s="93"/>
      <c r="DY445" s="546"/>
      <c r="DZ445" s="19"/>
      <c r="EA445" s="19"/>
      <c r="EB445" s="19"/>
      <c r="EC445" s="19"/>
      <c r="ED445" s="19"/>
      <c r="EE445" s="19"/>
      <c r="EI445" s="542"/>
      <c r="EJ445" s="542"/>
      <c r="EK445" s="542"/>
      <c r="EL445" s="542"/>
      <c r="EM445" s="542"/>
      <c r="EN445" s="542"/>
      <c r="EO445" s="542"/>
      <c r="EP445" s="542"/>
      <c r="EQ445" s="542"/>
      <c r="ER445" s="19"/>
      <c r="ES445" s="542"/>
    </row>
    <row r="446" spans="1:149" x14ac:dyDescent="0.2">
      <c r="A446" s="17"/>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555"/>
      <c r="CF446" s="19"/>
      <c r="CG446" s="19"/>
      <c r="CH446" s="19"/>
      <c r="CI446" s="112"/>
      <c r="CJ446" s="19"/>
      <c r="CK446" s="19"/>
      <c r="CL446" s="19"/>
      <c r="CM446" s="19"/>
      <c r="CN446" s="551"/>
      <c r="CO446" s="19"/>
      <c r="CP446" s="19"/>
      <c r="CQ446" s="19"/>
      <c r="CR446" s="19"/>
      <c r="CS446" s="19"/>
      <c r="CT446" s="19"/>
      <c r="CU446" s="19"/>
      <c r="CV446" s="92"/>
      <c r="CW446" s="93"/>
      <c r="CX446" s="93"/>
      <c r="CY446" s="93"/>
      <c r="CZ446" s="93"/>
      <c r="DA446" s="93"/>
      <c r="DY446" s="546"/>
      <c r="DZ446" s="19"/>
      <c r="EA446" s="19"/>
      <c r="EB446" s="19"/>
      <c r="EC446" s="19"/>
      <c r="ED446" s="19"/>
      <c r="EE446" s="19"/>
      <c r="EI446" s="542"/>
      <c r="EJ446" s="542"/>
      <c r="EK446" s="542"/>
      <c r="EL446" s="542"/>
      <c r="EM446" s="542"/>
      <c r="EN446" s="542"/>
      <c r="EO446" s="542"/>
      <c r="EP446" s="542"/>
      <c r="EQ446" s="542"/>
      <c r="ER446" s="19"/>
      <c r="ES446" s="542"/>
    </row>
    <row r="447" spans="1:149" x14ac:dyDescent="0.2">
      <c r="A447" s="17"/>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555"/>
      <c r="CF447" s="19"/>
      <c r="CG447" s="19"/>
      <c r="CH447" s="19"/>
      <c r="CI447" s="112"/>
      <c r="CJ447" s="19"/>
      <c r="CK447" s="19"/>
      <c r="CL447" s="19"/>
      <c r="CM447" s="19"/>
      <c r="CN447" s="551"/>
      <c r="CO447" s="19"/>
      <c r="CP447" s="19"/>
      <c r="CQ447" s="19"/>
      <c r="CR447" s="19"/>
      <c r="CS447" s="19"/>
      <c r="CT447" s="19"/>
      <c r="CU447" s="19"/>
      <c r="CV447" s="92"/>
      <c r="CW447" s="93"/>
      <c r="CX447" s="93"/>
      <c r="CY447" s="93"/>
      <c r="CZ447" s="552"/>
      <c r="DA447" s="93"/>
      <c r="DY447" s="546"/>
      <c r="DZ447" s="19"/>
      <c r="EA447" s="19"/>
      <c r="EB447" s="19"/>
      <c r="EC447" s="19"/>
      <c r="ED447" s="19"/>
      <c r="EE447" s="19"/>
      <c r="EI447" s="542"/>
      <c r="EJ447" s="542"/>
      <c r="EK447" s="542"/>
      <c r="EL447" s="542"/>
      <c r="EM447" s="542"/>
      <c r="EN447" s="542"/>
      <c r="EO447" s="542"/>
      <c r="EP447" s="542"/>
      <c r="EQ447" s="542"/>
      <c r="ER447" s="19"/>
      <c r="ES447" s="542"/>
    </row>
    <row r="448" spans="1:149" x14ac:dyDescent="0.2">
      <c r="A448" s="17"/>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555"/>
      <c r="CF448" s="19"/>
      <c r="CG448" s="19"/>
      <c r="CH448" s="19"/>
      <c r="CI448" s="112"/>
      <c r="CJ448" s="19"/>
      <c r="CK448" s="19"/>
      <c r="CL448" s="19"/>
      <c r="CM448" s="19"/>
      <c r="CN448" s="551"/>
      <c r="CO448" s="19"/>
      <c r="CP448" s="19"/>
      <c r="CQ448" s="19"/>
      <c r="CR448" s="19"/>
      <c r="CS448" s="19"/>
      <c r="CT448" s="19"/>
      <c r="CU448" s="19"/>
      <c r="CV448" s="92"/>
      <c r="CW448" s="93"/>
      <c r="CX448" s="93"/>
      <c r="CY448" s="93"/>
      <c r="CZ448" s="552"/>
      <c r="DA448" s="93"/>
      <c r="DY448" s="546"/>
      <c r="DZ448" s="19"/>
      <c r="EA448" s="19"/>
      <c r="EB448" s="19"/>
      <c r="EC448" s="19"/>
      <c r="ED448" s="19"/>
      <c r="EE448" s="19"/>
      <c r="EI448" s="542"/>
      <c r="EJ448" s="542"/>
      <c r="EK448" s="542"/>
      <c r="EL448" s="542"/>
      <c r="EM448" s="542"/>
      <c r="EN448" s="542"/>
      <c r="EO448" s="542"/>
      <c r="EP448" s="542"/>
      <c r="EQ448" s="542"/>
      <c r="ER448" s="19"/>
      <c r="ES448" s="542"/>
    </row>
    <row r="449" spans="1:149" x14ac:dyDescent="0.2">
      <c r="A449" s="17"/>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555"/>
      <c r="CF449" s="19"/>
      <c r="CG449" s="19"/>
      <c r="CH449" s="19"/>
      <c r="CI449" s="112"/>
      <c r="CJ449" s="19"/>
      <c r="CK449" s="19"/>
      <c r="CL449" s="19"/>
      <c r="CM449" s="19"/>
      <c r="CN449" s="551"/>
      <c r="CO449" s="19"/>
      <c r="CP449" s="19"/>
      <c r="CQ449" s="19"/>
      <c r="CR449" s="19"/>
      <c r="CS449" s="19"/>
      <c r="CT449" s="19"/>
      <c r="CU449" s="19"/>
      <c r="CV449" s="92"/>
      <c r="CW449" s="93"/>
      <c r="CX449" s="93"/>
      <c r="CY449" s="93"/>
      <c r="CZ449" s="93"/>
      <c r="DA449" s="93"/>
      <c r="DY449" s="546"/>
      <c r="DZ449" s="19"/>
      <c r="EA449" s="19"/>
      <c r="EB449" s="19"/>
      <c r="EC449" s="19"/>
      <c r="ED449" s="19"/>
      <c r="EE449" s="19"/>
      <c r="EI449" s="542"/>
      <c r="EJ449" s="542"/>
      <c r="EK449" s="542"/>
      <c r="EL449" s="542"/>
      <c r="EM449" s="542"/>
      <c r="EN449" s="542"/>
      <c r="EO449" s="542"/>
      <c r="EP449" s="542"/>
      <c r="EQ449" s="542"/>
      <c r="ER449" s="19"/>
      <c r="ES449" s="542"/>
    </row>
    <row r="450" spans="1:149" x14ac:dyDescent="0.2">
      <c r="A450" s="17"/>
      <c r="B450" s="19"/>
      <c r="C450" s="19"/>
      <c r="D450" s="554"/>
      <c r="E450" s="554"/>
      <c r="F450" s="554"/>
      <c r="G450" s="554"/>
      <c r="H450" s="554"/>
      <c r="I450" s="554"/>
      <c r="J450" s="554"/>
      <c r="K450" s="554"/>
      <c r="L450" s="554"/>
      <c r="M450" s="554"/>
      <c r="N450" s="554"/>
      <c r="O450" s="554"/>
      <c r="P450" s="554"/>
      <c r="Q450" s="554"/>
      <c r="R450" s="554"/>
      <c r="S450" s="554"/>
      <c r="T450" s="554"/>
      <c r="U450" s="554"/>
      <c r="V450" s="554"/>
      <c r="W450" s="554"/>
      <c r="X450" s="554"/>
      <c r="Y450" s="554"/>
      <c r="Z450" s="554"/>
      <c r="AA450" s="554"/>
      <c r="AB450" s="554"/>
      <c r="AC450" s="554"/>
      <c r="AD450" s="554"/>
      <c r="AE450" s="554"/>
      <c r="AF450" s="554"/>
      <c r="AG450" s="554"/>
      <c r="AH450" s="554"/>
      <c r="AI450" s="554"/>
      <c r="AJ450" s="554"/>
      <c r="AK450" s="554"/>
      <c r="AL450" s="554"/>
      <c r="AM450" s="554"/>
      <c r="AN450" s="554"/>
      <c r="AO450" s="554"/>
      <c r="AP450" s="554"/>
      <c r="AQ450" s="554"/>
      <c r="AR450" s="554"/>
      <c r="AS450" s="554"/>
      <c r="AT450" s="554"/>
      <c r="AU450" s="554"/>
      <c r="AV450" s="554"/>
      <c r="AW450" s="554"/>
      <c r="AX450" s="554"/>
      <c r="AY450" s="554"/>
      <c r="AZ450" s="554"/>
      <c r="BA450" s="554"/>
      <c r="BB450" s="554"/>
      <c r="BC450" s="554"/>
      <c r="BD450" s="554"/>
      <c r="BE450" s="554"/>
      <c r="BF450" s="554"/>
      <c r="BG450" s="554"/>
      <c r="BH450" s="554"/>
      <c r="BI450" s="554"/>
      <c r="BJ450" s="554"/>
      <c r="BK450" s="554"/>
      <c r="BL450" s="554"/>
      <c r="BM450" s="554"/>
      <c r="BN450" s="554"/>
      <c r="BO450" s="554"/>
      <c r="BP450" s="554"/>
      <c r="BQ450" s="554"/>
      <c r="BR450" s="554"/>
      <c r="BS450" s="554"/>
      <c r="BT450" s="554"/>
      <c r="BU450" s="554"/>
      <c r="BV450" s="554"/>
      <c r="BW450" s="554"/>
      <c r="BX450" s="554"/>
      <c r="BY450" s="554"/>
      <c r="BZ450" s="554"/>
      <c r="CA450" s="554"/>
      <c r="CB450" s="554"/>
      <c r="CC450" s="554"/>
      <c r="CD450" s="554"/>
      <c r="CE450" s="554"/>
      <c r="CF450" s="554"/>
      <c r="CG450" s="554"/>
      <c r="CH450" s="554"/>
      <c r="CI450" s="554"/>
      <c r="CJ450" s="555"/>
      <c r="CK450" s="19"/>
      <c r="CL450" s="19"/>
      <c r="CM450" s="19"/>
      <c r="CN450" s="19"/>
      <c r="CO450" s="19"/>
      <c r="CP450" s="19"/>
      <c r="CQ450" s="19"/>
      <c r="CR450" s="19"/>
      <c r="CS450" s="19"/>
      <c r="CT450" s="19"/>
      <c r="CU450" s="19"/>
      <c r="DZ450" s="19"/>
      <c r="EA450" s="19"/>
      <c r="EB450" s="19"/>
      <c r="EC450" s="19"/>
      <c r="ED450" s="19"/>
      <c r="EE450" s="19"/>
      <c r="EI450" s="542"/>
      <c r="EJ450" s="542"/>
      <c r="EK450" s="542"/>
      <c r="EL450" s="542"/>
      <c r="EM450" s="542"/>
      <c r="EN450" s="542"/>
      <c r="EO450" s="542"/>
      <c r="EP450" s="542"/>
      <c r="EQ450" s="542"/>
      <c r="ER450" s="19"/>
      <c r="ES450" s="542"/>
    </row>
    <row r="451" spans="1:149" x14ac:dyDescent="0.2">
      <c r="A451" s="17"/>
      <c r="B451" s="19"/>
      <c r="C451" s="19"/>
      <c r="D451" s="19"/>
      <c r="E451" s="547"/>
      <c r="F451" s="547"/>
      <c r="G451" s="547"/>
      <c r="H451" s="547"/>
      <c r="I451" s="547"/>
      <c r="J451" s="547"/>
      <c r="K451" s="547"/>
      <c r="L451" s="547"/>
      <c r="M451" s="547"/>
      <c r="N451" s="547"/>
      <c r="O451" s="547"/>
      <c r="P451" s="548"/>
      <c r="Q451" s="548"/>
      <c r="R451" s="547"/>
      <c r="S451" s="547"/>
      <c r="T451" s="547"/>
      <c r="U451" s="547"/>
      <c r="V451" s="547"/>
      <c r="W451" s="547"/>
      <c r="X451" s="547"/>
      <c r="Y451" s="547"/>
      <c r="Z451" s="548"/>
      <c r="AA451" s="547"/>
      <c r="AB451" s="548"/>
      <c r="AC451" s="547"/>
      <c r="AD451" s="547"/>
      <c r="AE451" s="547"/>
      <c r="AF451" s="547"/>
      <c r="AG451" s="547"/>
      <c r="AH451" s="547"/>
      <c r="AI451" s="547"/>
      <c r="AJ451" s="547"/>
      <c r="AK451" s="547"/>
      <c r="AL451" s="547"/>
      <c r="AM451" s="547"/>
      <c r="AN451" s="548"/>
      <c r="AO451" s="547"/>
      <c r="AP451" s="548"/>
      <c r="AQ451" s="547"/>
      <c r="AR451" s="547"/>
      <c r="AS451" s="547"/>
      <c r="AT451" s="547"/>
      <c r="AU451" s="547"/>
      <c r="AV451" s="547"/>
      <c r="AW451" s="547"/>
      <c r="AX451" s="547"/>
      <c r="AY451" s="547"/>
      <c r="AZ451" s="547"/>
      <c r="BA451" s="547"/>
      <c r="BB451" s="548"/>
      <c r="BC451" s="547"/>
      <c r="BD451" s="548"/>
      <c r="BE451" s="547"/>
      <c r="BF451" s="547"/>
      <c r="BG451" s="547"/>
      <c r="BH451" s="547"/>
      <c r="BI451" s="547"/>
      <c r="BJ451" s="547"/>
      <c r="BK451" s="547"/>
      <c r="BL451" s="547"/>
      <c r="BM451" s="547"/>
      <c r="BN451" s="547"/>
      <c r="BO451" s="547"/>
      <c r="BP451" s="547"/>
      <c r="BQ451" s="547"/>
      <c r="BR451" s="548"/>
      <c r="BS451" s="547"/>
      <c r="BT451" s="547"/>
      <c r="BU451" s="547"/>
      <c r="BV451" s="547"/>
      <c r="BW451" s="547"/>
      <c r="BX451" s="547"/>
      <c r="BY451" s="547"/>
      <c r="BZ451" s="547"/>
      <c r="CA451" s="547"/>
      <c r="CB451" s="547"/>
      <c r="CC451" s="547"/>
      <c r="CD451" s="547"/>
      <c r="CE451" s="547"/>
      <c r="CF451" s="547"/>
      <c r="CG451" s="547"/>
      <c r="CH451" s="547"/>
      <c r="CI451" s="547"/>
      <c r="CJ451" s="549"/>
      <c r="CK451" s="547"/>
      <c r="CL451" s="547"/>
      <c r="CM451" s="547"/>
      <c r="CN451" s="550"/>
      <c r="CO451" s="547"/>
      <c r="CP451" s="19"/>
      <c r="CQ451" s="19"/>
      <c r="CR451" s="19"/>
      <c r="CS451" s="19"/>
      <c r="CT451" s="19"/>
      <c r="CU451" s="19"/>
      <c r="EI451" s="542"/>
      <c r="EJ451" s="542"/>
      <c r="EK451" s="542"/>
      <c r="EL451" s="542"/>
      <c r="EM451" s="542"/>
      <c r="EN451" s="542"/>
      <c r="EO451" s="542"/>
      <c r="EP451" s="542"/>
      <c r="EQ451" s="542"/>
      <c r="ER451" s="19"/>
      <c r="ES451" s="542"/>
    </row>
    <row r="452" spans="1:149" x14ac:dyDescent="0.2">
      <c r="A452" s="17"/>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555"/>
      <c r="CF452" s="19"/>
      <c r="CG452" s="19"/>
      <c r="CH452" s="19"/>
      <c r="CI452" s="112"/>
      <c r="CJ452" s="19"/>
      <c r="CK452" s="19"/>
      <c r="CL452" s="19"/>
      <c r="CM452" s="19"/>
      <c r="CN452" s="551"/>
      <c r="CO452" s="19"/>
      <c r="CP452" s="19"/>
      <c r="CQ452" s="19"/>
      <c r="CR452" s="19"/>
      <c r="CS452" s="19"/>
      <c r="CT452" s="19"/>
      <c r="CU452" s="19"/>
      <c r="CV452" s="92"/>
      <c r="CW452" s="93"/>
      <c r="CX452" s="93"/>
      <c r="CY452" s="93"/>
      <c r="CZ452" s="93"/>
      <c r="DA452" s="93"/>
      <c r="DY452" s="546"/>
      <c r="DZ452" s="19"/>
      <c r="EA452" s="19"/>
      <c r="EB452" s="19"/>
      <c r="EC452" s="19"/>
      <c r="ED452" s="19"/>
      <c r="EE452" s="19"/>
      <c r="EI452" s="542"/>
      <c r="EJ452" s="542"/>
      <c r="EK452" s="542"/>
      <c r="EL452" s="542"/>
      <c r="EM452" s="542"/>
      <c r="EN452" s="542"/>
      <c r="EO452" s="542"/>
      <c r="EP452" s="542"/>
      <c r="EQ452" s="542"/>
      <c r="ER452" s="19"/>
      <c r="ES452" s="542"/>
    </row>
    <row r="453" spans="1:149" x14ac:dyDescent="0.2">
      <c r="A453" s="17"/>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555"/>
      <c r="CF453" s="19"/>
      <c r="CG453" s="19"/>
      <c r="CH453" s="19"/>
      <c r="CI453" s="112"/>
      <c r="CJ453" s="19"/>
      <c r="CK453" s="19"/>
      <c r="CL453" s="19"/>
      <c r="CM453" s="19"/>
      <c r="CN453" s="551"/>
      <c r="CO453" s="19"/>
      <c r="CP453" s="19"/>
      <c r="CQ453" s="19"/>
      <c r="CR453" s="19"/>
      <c r="CS453" s="19"/>
      <c r="CT453" s="19"/>
      <c r="CU453" s="19"/>
      <c r="CV453" s="92"/>
      <c r="CW453" s="93"/>
      <c r="CX453" s="93"/>
      <c r="CY453" s="93"/>
      <c r="CZ453" s="552"/>
      <c r="DA453" s="93"/>
      <c r="DY453" s="546"/>
      <c r="DZ453" s="19"/>
      <c r="EA453" s="19"/>
      <c r="EB453" s="19"/>
      <c r="EC453" s="19"/>
      <c r="ED453" s="19"/>
      <c r="EE453" s="19"/>
      <c r="EI453" s="542"/>
      <c r="EJ453" s="542"/>
      <c r="EK453" s="542"/>
      <c r="EL453" s="542"/>
      <c r="EM453" s="542"/>
      <c r="EN453" s="542"/>
      <c r="EO453" s="542"/>
      <c r="EP453" s="542"/>
      <c r="EQ453" s="542"/>
      <c r="ER453" s="19"/>
      <c r="ES453" s="542"/>
    </row>
    <row r="454" spans="1:149" x14ac:dyDescent="0.2">
      <c r="A454" s="17"/>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555"/>
      <c r="CF454" s="19"/>
      <c r="CG454" s="19"/>
      <c r="CH454" s="19"/>
      <c r="CI454" s="112"/>
      <c r="CJ454" s="19"/>
      <c r="CK454" s="19"/>
      <c r="CL454" s="19"/>
      <c r="CM454" s="19"/>
      <c r="CN454" s="551"/>
      <c r="CO454" s="19"/>
      <c r="CP454" s="19"/>
      <c r="CQ454" s="19"/>
      <c r="CR454" s="19"/>
      <c r="CS454" s="19"/>
      <c r="CT454" s="19"/>
      <c r="CU454" s="19"/>
      <c r="CV454" s="92"/>
      <c r="CW454" s="93"/>
      <c r="CX454" s="93"/>
      <c r="CY454" s="93"/>
      <c r="CZ454" s="552"/>
      <c r="DA454" s="93"/>
      <c r="DY454" s="546"/>
      <c r="DZ454" s="19"/>
      <c r="EA454" s="19"/>
      <c r="EB454" s="19"/>
      <c r="EC454" s="19"/>
      <c r="ED454" s="19"/>
      <c r="EE454" s="19"/>
      <c r="EI454" s="542"/>
      <c r="EJ454" s="542"/>
      <c r="EK454" s="542"/>
      <c r="EL454" s="542"/>
      <c r="EM454" s="542"/>
      <c r="EN454" s="542"/>
      <c r="EO454" s="542"/>
      <c r="EP454" s="542"/>
      <c r="EQ454" s="542"/>
      <c r="ER454" s="19"/>
      <c r="ES454" s="542"/>
    </row>
    <row r="455" spans="1:149" x14ac:dyDescent="0.2">
      <c r="A455" s="17"/>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555"/>
      <c r="CF455" s="19"/>
      <c r="CG455" s="19"/>
      <c r="CH455" s="19"/>
      <c r="CI455" s="112"/>
      <c r="CJ455" s="19"/>
      <c r="CK455" s="19"/>
      <c r="CL455" s="19"/>
      <c r="CM455" s="19"/>
      <c r="CN455" s="551"/>
      <c r="CO455" s="19"/>
      <c r="CP455" s="19"/>
      <c r="CQ455" s="19"/>
      <c r="CR455" s="19"/>
      <c r="CS455" s="19"/>
      <c r="CT455" s="19"/>
      <c r="CU455" s="19"/>
      <c r="CV455" s="92"/>
      <c r="CW455" s="93"/>
      <c r="CX455" s="93"/>
      <c r="CY455" s="93"/>
      <c r="CZ455" s="93"/>
      <c r="DA455" s="93"/>
      <c r="DY455" s="546"/>
      <c r="DZ455" s="19"/>
      <c r="EA455" s="19"/>
      <c r="EB455" s="19"/>
      <c r="EC455" s="19"/>
      <c r="ED455" s="19"/>
      <c r="EE455" s="19"/>
      <c r="EI455" s="542"/>
      <c r="EJ455" s="542"/>
      <c r="EK455" s="542"/>
      <c r="EL455" s="542"/>
      <c r="EM455" s="542"/>
      <c r="EN455" s="542"/>
      <c r="EO455" s="542"/>
      <c r="EP455" s="542"/>
      <c r="EQ455" s="542"/>
      <c r="ER455" s="19"/>
      <c r="ES455" s="542"/>
    </row>
    <row r="456" spans="1:149" x14ac:dyDescent="0.2">
      <c r="A456" s="17"/>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555"/>
      <c r="CF456" s="19"/>
      <c r="CG456" s="19"/>
      <c r="CH456" s="19"/>
      <c r="CI456" s="112"/>
      <c r="CJ456" s="19"/>
      <c r="CK456" s="19"/>
      <c r="CL456" s="19"/>
      <c r="CM456" s="19"/>
      <c r="CN456" s="551"/>
      <c r="CO456" s="19"/>
      <c r="CP456" s="19"/>
      <c r="CQ456" s="19"/>
      <c r="CR456" s="19"/>
      <c r="CS456" s="19"/>
      <c r="CT456" s="19"/>
      <c r="CU456" s="19"/>
      <c r="CV456" s="92"/>
      <c r="CW456" s="93"/>
      <c r="CX456" s="93"/>
      <c r="CY456" s="93"/>
      <c r="CZ456" s="93"/>
      <c r="DA456" s="93"/>
      <c r="DY456" s="546"/>
      <c r="EI456" s="542"/>
      <c r="EJ456" s="542"/>
      <c r="EK456" s="542"/>
      <c r="EL456" s="542"/>
      <c r="EM456" s="542"/>
      <c r="EN456" s="542"/>
      <c r="EO456" s="542"/>
      <c r="EP456" s="542"/>
      <c r="EQ456" s="542"/>
      <c r="ER456" s="19"/>
      <c r="ES456" s="542"/>
    </row>
    <row r="457" spans="1:149" x14ac:dyDescent="0.2">
      <c r="A457" s="17"/>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555"/>
      <c r="CF457" s="19"/>
      <c r="CG457" s="19"/>
      <c r="CH457" s="19"/>
      <c r="CI457" s="112"/>
      <c r="CJ457" s="19"/>
      <c r="CK457" s="19"/>
      <c r="CL457" s="19"/>
      <c r="CM457" s="19"/>
      <c r="CN457" s="551"/>
      <c r="CO457" s="19"/>
      <c r="CP457" s="19"/>
      <c r="CQ457" s="19"/>
      <c r="CR457" s="19"/>
      <c r="CS457" s="19"/>
      <c r="CT457" s="19"/>
      <c r="CU457" s="19"/>
      <c r="CV457" s="92"/>
      <c r="CW457" s="93"/>
      <c r="CX457" s="93"/>
      <c r="CY457" s="93"/>
      <c r="CZ457" s="93"/>
      <c r="DA457" s="93"/>
      <c r="DY457" s="546"/>
      <c r="EI457" s="542"/>
      <c r="EJ457" s="542"/>
      <c r="EK457" s="542"/>
      <c r="EL457" s="542"/>
      <c r="EM457" s="542"/>
      <c r="EN457" s="542"/>
      <c r="EO457" s="542"/>
      <c r="EP457" s="542"/>
      <c r="EQ457" s="542"/>
      <c r="ER457" s="19"/>
      <c r="ES457" s="542"/>
    </row>
    <row r="458" spans="1:149" x14ac:dyDescent="0.2">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555"/>
      <c r="CF458" s="19"/>
      <c r="CG458" s="19"/>
      <c r="CH458" s="19"/>
      <c r="CI458" s="112"/>
      <c r="CJ458" s="19"/>
      <c r="CK458" s="19"/>
      <c r="CL458" s="19"/>
      <c r="CM458" s="19"/>
      <c r="CN458" s="551"/>
      <c r="CO458" s="19"/>
      <c r="CP458" s="19"/>
      <c r="CQ458" s="19"/>
      <c r="CR458" s="19"/>
      <c r="CS458" s="19"/>
      <c r="CT458" s="19"/>
      <c r="CU458" s="19"/>
      <c r="CV458" s="92"/>
      <c r="CW458" s="93"/>
      <c r="CX458" s="93"/>
      <c r="CY458" s="93"/>
      <c r="CZ458" s="93"/>
      <c r="DA458" s="93"/>
      <c r="DE458" s="552"/>
      <c r="DY458" s="546"/>
      <c r="EI458" s="542"/>
      <c r="EJ458" s="542"/>
      <c r="EK458" s="542"/>
      <c r="EL458" s="542"/>
      <c r="EM458" s="542"/>
      <c r="EN458" s="542"/>
      <c r="EO458" s="542"/>
      <c r="EP458" s="542"/>
      <c r="EQ458" s="542"/>
      <c r="ER458" s="19"/>
      <c r="ES458" s="542"/>
    </row>
    <row r="459" spans="1:149" x14ac:dyDescent="0.2">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555"/>
      <c r="CF459" s="19"/>
      <c r="CG459" s="19"/>
      <c r="CH459" s="19"/>
      <c r="CI459" s="112"/>
      <c r="CJ459" s="19"/>
      <c r="CK459" s="19"/>
      <c r="CL459" s="19"/>
      <c r="CM459" s="19"/>
      <c r="CN459" s="551"/>
      <c r="CO459" s="19"/>
      <c r="CP459" s="19"/>
      <c r="CQ459" s="19"/>
      <c r="CR459" s="19"/>
      <c r="CS459" s="19"/>
      <c r="CT459" s="19"/>
      <c r="CU459" s="19"/>
      <c r="CV459" s="92"/>
      <c r="CW459" s="93"/>
      <c r="CX459" s="93"/>
      <c r="CY459" s="93"/>
      <c r="CZ459" s="93"/>
      <c r="DA459" s="93"/>
      <c r="DY459" s="546"/>
      <c r="EI459" s="542"/>
      <c r="EJ459" s="542"/>
      <c r="EK459" s="542"/>
      <c r="EL459" s="542"/>
      <c r="EM459" s="542"/>
      <c r="EN459" s="542"/>
      <c r="EO459" s="542"/>
      <c r="EP459" s="542"/>
      <c r="EQ459" s="542"/>
      <c r="ER459" s="19"/>
      <c r="ES459" s="542"/>
    </row>
    <row r="460" spans="1:149" x14ac:dyDescent="0.2">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555"/>
      <c r="CF460" s="19"/>
      <c r="CG460" s="19"/>
      <c r="CH460" s="19"/>
      <c r="CI460" s="112"/>
      <c r="CJ460" s="19"/>
      <c r="CK460" s="19"/>
      <c r="CL460" s="19"/>
      <c r="CM460" s="19"/>
      <c r="CN460" s="551"/>
      <c r="CO460" s="19"/>
      <c r="CP460" s="19"/>
      <c r="CQ460" s="19"/>
      <c r="CR460" s="19"/>
      <c r="CS460" s="19"/>
      <c r="CT460" s="19"/>
      <c r="CU460" s="19"/>
      <c r="CV460" s="92"/>
      <c r="CW460" s="93"/>
      <c r="CX460" s="93"/>
      <c r="CY460" s="93"/>
      <c r="CZ460" s="552"/>
      <c r="DA460" s="93"/>
      <c r="DY460" s="546"/>
      <c r="EI460" s="542"/>
      <c r="EJ460" s="542"/>
      <c r="EK460" s="542"/>
      <c r="EL460" s="542"/>
      <c r="EM460" s="542"/>
      <c r="EN460" s="542"/>
      <c r="EO460" s="542"/>
      <c r="EP460" s="542"/>
      <c r="EQ460" s="542"/>
      <c r="ER460" s="19"/>
      <c r="ES460" s="542"/>
    </row>
    <row r="461" spans="1:149" x14ac:dyDescent="0.2">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555"/>
      <c r="CF461" s="19"/>
      <c r="CG461" s="19"/>
      <c r="CH461" s="19"/>
      <c r="CI461" s="112"/>
      <c r="CJ461" s="19"/>
      <c r="CK461" s="19"/>
      <c r="CL461" s="19"/>
      <c r="CM461" s="19"/>
      <c r="CN461" s="551"/>
      <c r="CO461" s="19"/>
      <c r="CP461" s="19"/>
      <c r="CQ461" s="19"/>
      <c r="CR461" s="19"/>
      <c r="CS461" s="19"/>
      <c r="CT461" s="19"/>
      <c r="CU461" s="19"/>
      <c r="CV461" s="92"/>
      <c r="CW461" s="93"/>
      <c r="CX461" s="93"/>
      <c r="CY461" s="93"/>
      <c r="CZ461" s="552"/>
      <c r="DA461" s="93"/>
      <c r="DY461" s="546"/>
      <c r="EI461" s="542"/>
      <c r="EJ461" s="542"/>
      <c r="EK461" s="542"/>
      <c r="EL461" s="542"/>
      <c r="EM461" s="542"/>
      <c r="EN461" s="542"/>
      <c r="EO461" s="542"/>
      <c r="EP461" s="542"/>
      <c r="EQ461" s="542"/>
      <c r="ER461" s="19"/>
      <c r="ES461" s="542"/>
    </row>
    <row r="462" spans="1:149" x14ac:dyDescent="0.2">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555"/>
      <c r="CF462" s="19"/>
      <c r="CG462" s="19"/>
      <c r="CH462" s="19"/>
      <c r="CI462" s="112"/>
      <c r="CJ462" s="19"/>
      <c r="CK462" s="19"/>
      <c r="CL462" s="19"/>
      <c r="CM462" s="19"/>
      <c r="CN462" s="551"/>
      <c r="CO462" s="19"/>
      <c r="CP462" s="19"/>
      <c r="CQ462" s="19"/>
      <c r="CR462" s="19"/>
      <c r="CS462" s="19"/>
      <c r="CT462" s="19"/>
      <c r="CU462" s="19"/>
      <c r="CV462" s="92"/>
      <c r="CW462" s="93"/>
      <c r="CX462" s="93"/>
      <c r="CY462" s="93"/>
      <c r="CZ462" s="552"/>
      <c r="DA462" s="93"/>
      <c r="DY462" s="546"/>
      <c r="EI462" s="542"/>
      <c r="EJ462" s="542"/>
      <c r="EK462" s="542"/>
      <c r="EL462" s="542"/>
      <c r="EM462" s="542"/>
      <c r="EN462" s="542"/>
      <c r="EO462" s="542"/>
      <c r="EP462" s="542"/>
      <c r="EQ462" s="542"/>
      <c r="ER462" s="19"/>
      <c r="ES462" s="542"/>
    </row>
    <row r="463" spans="1:149" x14ac:dyDescent="0.2">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555"/>
      <c r="CF463" s="19"/>
      <c r="CG463" s="19"/>
      <c r="CH463" s="19"/>
      <c r="CI463" s="112"/>
      <c r="CJ463" s="19"/>
      <c r="CK463" s="19"/>
      <c r="CL463" s="19"/>
      <c r="CM463" s="19"/>
      <c r="CN463" s="551"/>
      <c r="CO463" s="19"/>
      <c r="CP463" s="19"/>
      <c r="CQ463" s="19"/>
      <c r="CR463" s="19"/>
      <c r="CS463" s="19"/>
      <c r="CT463" s="19"/>
      <c r="CU463" s="19"/>
      <c r="CV463" s="92"/>
      <c r="CW463" s="93"/>
      <c r="CX463" s="93"/>
      <c r="CY463" s="93"/>
      <c r="CZ463" s="93"/>
      <c r="DA463" s="93"/>
      <c r="DY463" s="546"/>
      <c r="EI463" s="542"/>
      <c r="EJ463" s="542"/>
      <c r="EK463" s="542"/>
      <c r="EL463" s="542"/>
      <c r="EM463" s="542"/>
      <c r="EN463" s="542"/>
      <c r="EO463" s="542"/>
      <c r="EP463" s="542"/>
      <c r="EQ463" s="542"/>
      <c r="ER463" s="19"/>
      <c r="ES463" s="542"/>
    </row>
    <row r="464" spans="1:149" x14ac:dyDescent="0.2">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555"/>
      <c r="CF464" s="19"/>
      <c r="CG464" s="19"/>
      <c r="CH464" s="19"/>
      <c r="CI464" s="112"/>
      <c r="CJ464" s="19"/>
      <c r="CK464" s="19"/>
      <c r="CL464" s="19"/>
      <c r="CM464" s="19"/>
      <c r="CN464" s="551"/>
      <c r="CO464" s="19"/>
      <c r="CP464" s="19"/>
      <c r="CQ464" s="19"/>
      <c r="CR464" s="19"/>
      <c r="CS464" s="19"/>
      <c r="CT464" s="19"/>
      <c r="CU464" s="19"/>
      <c r="CV464" s="92"/>
      <c r="CW464" s="93"/>
      <c r="CX464" s="93"/>
      <c r="CY464" s="93"/>
      <c r="CZ464" s="93"/>
      <c r="DA464" s="93"/>
      <c r="DY464" s="546"/>
      <c r="EI464" s="542"/>
      <c r="EJ464" s="542"/>
      <c r="EK464" s="542"/>
      <c r="EL464" s="542"/>
      <c r="EM464" s="542"/>
      <c r="EN464" s="542"/>
      <c r="EO464" s="542"/>
      <c r="EP464" s="542"/>
      <c r="EQ464" s="542"/>
      <c r="ER464" s="19"/>
      <c r="ES464" s="542"/>
    </row>
    <row r="465" spans="4:149" x14ac:dyDescent="0.2">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555"/>
      <c r="CK465" s="19"/>
      <c r="CL465" s="19"/>
      <c r="CM465" s="19"/>
      <c r="CN465" s="19"/>
      <c r="CO465" s="19"/>
      <c r="CP465" s="19"/>
      <c r="CQ465" s="19"/>
      <c r="CR465" s="19"/>
      <c r="CS465" s="19"/>
      <c r="CT465" s="19"/>
      <c r="CU465" s="19"/>
      <c r="EI465" s="542"/>
      <c r="EJ465" s="542"/>
      <c r="EK465" s="542"/>
      <c r="EL465" s="542"/>
      <c r="EM465" s="542"/>
      <c r="EN465" s="542"/>
      <c r="EO465" s="542"/>
      <c r="EP465" s="542"/>
      <c r="EQ465" s="542"/>
      <c r="ER465" s="19"/>
      <c r="ES465" s="542"/>
    </row>
    <row r="466" spans="4:149" x14ac:dyDescent="0.2">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555"/>
      <c r="CK466" s="19"/>
      <c r="CL466" s="19"/>
      <c r="CM466" s="19"/>
      <c r="CN466" s="19"/>
      <c r="CO466" s="19"/>
      <c r="CP466" s="19"/>
      <c r="CQ466" s="19"/>
      <c r="CR466" s="19"/>
      <c r="CS466" s="19"/>
      <c r="CT466" s="19"/>
      <c r="CU466" s="19"/>
      <c r="EI466" s="542"/>
      <c r="EJ466" s="542"/>
      <c r="EK466" s="542"/>
      <c r="EL466" s="542"/>
      <c r="EM466" s="542"/>
      <c r="EN466" s="542"/>
      <c r="EO466" s="542"/>
      <c r="EP466" s="542"/>
      <c r="EQ466" s="542"/>
      <c r="ER466" s="19"/>
      <c r="ES466" s="542"/>
    </row>
    <row r="467" spans="4:149" x14ac:dyDescent="0.2">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555"/>
      <c r="CK467" s="19"/>
      <c r="CL467" s="19"/>
      <c r="CM467" s="19"/>
      <c r="CN467" s="19"/>
      <c r="CO467" s="19"/>
      <c r="CP467" s="19"/>
      <c r="CQ467" s="19"/>
      <c r="CR467" s="19"/>
      <c r="CS467" s="19"/>
      <c r="CT467" s="19"/>
      <c r="CU467" s="19"/>
      <c r="EI467" s="542"/>
      <c r="EJ467" s="542"/>
      <c r="EK467" s="542"/>
      <c r="EL467" s="542"/>
      <c r="EM467" s="542"/>
      <c r="EN467" s="542"/>
      <c r="EO467" s="542"/>
      <c r="EP467" s="542"/>
      <c r="EQ467" s="542"/>
      <c r="ER467" s="19"/>
      <c r="ES467" s="542"/>
    </row>
    <row r="468" spans="4:149" x14ac:dyDescent="0.2">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555"/>
      <c r="CK468" s="19"/>
      <c r="CL468" s="19"/>
      <c r="CM468" s="19"/>
      <c r="CN468" s="19"/>
      <c r="CO468" s="19"/>
      <c r="CP468" s="19"/>
      <c r="CQ468" s="19"/>
      <c r="CR468" s="19"/>
      <c r="CS468" s="19"/>
      <c r="CT468" s="19"/>
      <c r="CU468" s="19"/>
      <c r="EI468" s="542"/>
      <c r="EJ468" s="542"/>
      <c r="EK468" s="542"/>
      <c r="EL468" s="542"/>
      <c r="EM468" s="542"/>
      <c r="EN468" s="542"/>
      <c r="EO468" s="542"/>
      <c r="EP468" s="542"/>
      <c r="EQ468" s="542"/>
      <c r="ER468" s="19"/>
      <c r="ES468" s="542"/>
    </row>
    <row r="469" spans="4:149" x14ac:dyDescent="0.2">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555"/>
      <c r="CK469" s="19"/>
      <c r="CL469" s="19"/>
      <c r="CM469" s="19"/>
      <c r="CN469" s="19"/>
      <c r="CO469" s="19"/>
      <c r="CP469" s="19"/>
      <c r="CQ469" s="19"/>
      <c r="CR469" s="19"/>
      <c r="CS469" s="19"/>
      <c r="CT469" s="19"/>
      <c r="CU469" s="19"/>
      <c r="EI469" s="542"/>
      <c r="EJ469" s="542"/>
      <c r="EK469" s="542"/>
      <c r="EL469" s="542"/>
      <c r="EM469" s="542"/>
      <c r="EN469" s="542"/>
      <c r="EO469" s="542"/>
      <c r="EP469" s="542"/>
      <c r="EQ469" s="542"/>
      <c r="ER469" s="19"/>
      <c r="ES469" s="542"/>
    </row>
    <row r="470" spans="4:149" x14ac:dyDescent="0.2">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555"/>
      <c r="CK470" s="19"/>
      <c r="CL470" s="19"/>
      <c r="CM470" s="19"/>
      <c r="CN470" s="19"/>
      <c r="CO470" s="19"/>
      <c r="CP470" s="19"/>
      <c r="CQ470" s="19"/>
      <c r="CR470" s="19"/>
      <c r="CS470" s="19"/>
      <c r="CT470" s="19"/>
      <c r="CU470" s="19"/>
      <c r="EI470" s="542"/>
      <c r="EJ470" s="542"/>
      <c r="EK470" s="542"/>
      <c r="EL470" s="542"/>
      <c r="EM470" s="542"/>
      <c r="EN470" s="542"/>
      <c r="EO470" s="542"/>
      <c r="EP470" s="542"/>
      <c r="EQ470" s="542"/>
      <c r="ER470" s="19"/>
      <c r="ES470" s="542"/>
    </row>
    <row r="471" spans="4:149" x14ac:dyDescent="0.2">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555"/>
      <c r="CK471" s="19"/>
      <c r="CL471" s="19"/>
      <c r="CM471" s="19"/>
      <c r="CN471" s="19"/>
      <c r="CO471" s="19"/>
      <c r="CP471" s="19"/>
      <c r="CQ471" s="19"/>
      <c r="CR471" s="19"/>
      <c r="CS471" s="19"/>
      <c r="CT471" s="19"/>
      <c r="CU471" s="19"/>
      <c r="EI471" s="542"/>
      <c r="EJ471" s="542"/>
      <c r="EK471" s="542"/>
      <c r="EL471" s="542"/>
      <c r="EM471" s="542"/>
      <c r="EN471" s="542"/>
      <c r="EO471" s="542"/>
      <c r="EP471" s="542"/>
      <c r="EQ471" s="542"/>
      <c r="ER471" s="19"/>
      <c r="ES471" s="542"/>
    </row>
    <row r="472" spans="4:149" x14ac:dyDescent="0.2">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555"/>
      <c r="CK472" s="19"/>
      <c r="CL472" s="19"/>
      <c r="CM472" s="19"/>
      <c r="CN472" s="19"/>
      <c r="CO472" s="19"/>
      <c r="CP472" s="19"/>
      <c r="CQ472" s="19"/>
      <c r="CR472" s="19"/>
      <c r="CS472" s="19"/>
      <c r="CT472" s="19"/>
      <c r="CU472" s="19"/>
      <c r="EI472" s="542"/>
      <c r="EJ472" s="542"/>
      <c r="EK472" s="542"/>
      <c r="EL472" s="542"/>
      <c r="EM472" s="542"/>
      <c r="EN472" s="542"/>
      <c r="EO472" s="542"/>
      <c r="EP472" s="542"/>
      <c r="EQ472" s="542"/>
      <c r="ER472" s="19"/>
      <c r="ES472" s="542"/>
    </row>
    <row r="473" spans="4:149" x14ac:dyDescent="0.2">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555"/>
      <c r="CK473" s="19"/>
      <c r="CL473" s="19"/>
      <c r="CM473" s="19"/>
      <c r="CN473" s="19"/>
      <c r="CO473" s="19"/>
      <c r="CP473" s="19"/>
      <c r="CQ473" s="19"/>
      <c r="CR473" s="19"/>
      <c r="CS473" s="19"/>
      <c r="CT473" s="19"/>
      <c r="CU473" s="19"/>
      <c r="EI473" s="542"/>
      <c r="EJ473" s="542"/>
      <c r="EK473" s="542"/>
      <c r="EL473" s="542"/>
      <c r="EM473" s="542"/>
      <c r="EN473" s="542"/>
      <c r="EO473" s="542"/>
      <c r="EP473" s="542"/>
      <c r="EQ473" s="542"/>
      <c r="ER473" s="19"/>
      <c r="ES473" s="542"/>
    </row>
    <row r="474" spans="4:149" x14ac:dyDescent="0.2">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555"/>
      <c r="CK474" s="19"/>
      <c r="CL474" s="19"/>
      <c r="CM474" s="19"/>
      <c r="CN474" s="19"/>
      <c r="CO474" s="19"/>
      <c r="CP474" s="19"/>
      <c r="CQ474" s="19"/>
      <c r="CR474" s="19"/>
      <c r="CS474" s="19"/>
      <c r="CT474" s="19"/>
      <c r="CU474" s="19"/>
      <c r="EI474" s="542"/>
      <c r="EJ474" s="542"/>
      <c r="EK474" s="542"/>
      <c r="EL474" s="542"/>
      <c r="EM474" s="542"/>
      <c r="EN474" s="542"/>
      <c r="EO474" s="542"/>
      <c r="EP474" s="542"/>
      <c r="EQ474" s="542"/>
      <c r="ER474" s="19"/>
      <c r="ES474" s="542"/>
    </row>
    <row r="475" spans="4:149" x14ac:dyDescent="0.2">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555"/>
      <c r="CK475" s="19"/>
      <c r="CL475" s="19"/>
      <c r="CM475" s="19"/>
      <c r="CN475" s="19"/>
      <c r="CO475" s="19"/>
      <c r="CP475" s="19"/>
      <c r="CQ475" s="19"/>
      <c r="CR475" s="19"/>
      <c r="CS475" s="19"/>
      <c r="CT475" s="19"/>
      <c r="CU475" s="19"/>
      <c r="EI475" s="542"/>
      <c r="EJ475" s="542"/>
      <c r="EK475" s="542"/>
      <c r="EL475" s="542"/>
      <c r="EM475" s="542"/>
      <c r="EN475" s="542"/>
      <c r="EO475" s="542"/>
      <c r="EP475" s="542"/>
      <c r="EQ475" s="542"/>
      <c r="ER475" s="19"/>
      <c r="ES475" s="542"/>
    </row>
    <row r="476" spans="4:149" x14ac:dyDescent="0.2">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555"/>
      <c r="CK476" s="19"/>
      <c r="CL476" s="19"/>
      <c r="CM476" s="19"/>
      <c r="CN476" s="19"/>
      <c r="CO476" s="19"/>
      <c r="CP476" s="19"/>
      <c r="CQ476" s="19"/>
      <c r="CR476" s="19"/>
      <c r="CS476" s="19"/>
      <c r="CT476" s="19"/>
      <c r="CU476" s="19"/>
      <c r="EI476" s="542"/>
      <c r="EJ476" s="542"/>
      <c r="EK476" s="542"/>
      <c r="EL476" s="542"/>
      <c r="EM476" s="542"/>
      <c r="EN476" s="542"/>
      <c r="EO476" s="542"/>
      <c r="EP476" s="542"/>
      <c r="EQ476" s="542"/>
      <c r="ER476" s="19"/>
      <c r="ES476" s="542"/>
    </row>
    <row r="477" spans="4:149" x14ac:dyDescent="0.2">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555"/>
      <c r="CK477" s="19"/>
      <c r="CL477" s="19"/>
      <c r="CM477" s="19"/>
      <c r="CN477" s="19"/>
      <c r="CO477" s="19"/>
      <c r="CP477" s="19"/>
      <c r="CQ477" s="19"/>
      <c r="CR477" s="19"/>
      <c r="CS477" s="19"/>
      <c r="CT477" s="19"/>
      <c r="CU477" s="19"/>
      <c r="EI477" s="542"/>
      <c r="EJ477" s="542"/>
      <c r="EK477" s="542"/>
      <c r="EL477" s="542"/>
      <c r="EM477" s="542"/>
      <c r="EN477" s="542"/>
      <c r="EO477" s="542"/>
      <c r="EP477" s="542"/>
      <c r="EQ477" s="542"/>
      <c r="ER477" s="19"/>
      <c r="ES477" s="542"/>
    </row>
    <row r="478" spans="4:149" x14ac:dyDescent="0.2">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555"/>
      <c r="CK478" s="19"/>
      <c r="CL478" s="19"/>
      <c r="CM478" s="19"/>
      <c r="CN478" s="19"/>
      <c r="CO478" s="19"/>
      <c r="CP478" s="19"/>
      <c r="CQ478" s="19"/>
      <c r="CR478" s="19"/>
      <c r="CS478" s="19"/>
      <c r="CT478" s="19"/>
      <c r="CU478" s="19"/>
      <c r="EI478" s="542"/>
      <c r="EJ478" s="542"/>
      <c r="EK478" s="542"/>
      <c r="EL478" s="542"/>
      <c r="EM478" s="542"/>
      <c r="EN478" s="542"/>
      <c r="EO478" s="542"/>
      <c r="EP478" s="542"/>
      <c r="EQ478" s="542"/>
      <c r="ER478" s="19"/>
      <c r="ES478" s="542"/>
    </row>
    <row r="479" spans="4:149" x14ac:dyDescent="0.2">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555"/>
      <c r="CK479" s="19"/>
      <c r="CL479" s="19"/>
      <c r="CM479" s="19"/>
      <c r="CN479" s="19"/>
      <c r="CO479" s="19"/>
      <c r="CP479" s="19"/>
      <c r="CQ479" s="19"/>
      <c r="CR479" s="19"/>
      <c r="CS479" s="19"/>
      <c r="CT479" s="19"/>
      <c r="CU479" s="19"/>
      <c r="EI479" s="542"/>
      <c r="EJ479" s="542"/>
      <c r="EK479" s="542"/>
      <c r="EL479" s="542"/>
      <c r="EM479" s="542"/>
      <c r="EN479" s="542"/>
      <c r="EO479" s="542"/>
      <c r="EP479" s="542"/>
      <c r="EQ479" s="542"/>
      <c r="ER479" s="19"/>
      <c r="ES479" s="542"/>
    </row>
    <row r="480" spans="4:149" x14ac:dyDescent="0.2">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555"/>
      <c r="CK480" s="19"/>
      <c r="CL480" s="19"/>
      <c r="CM480" s="19"/>
      <c r="CN480" s="19"/>
      <c r="CO480" s="19"/>
      <c r="CP480" s="19"/>
      <c r="CQ480" s="19"/>
      <c r="CR480" s="19"/>
      <c r="CS480" s="19"/>
      <c r="CT480" s="19"/>
      <c r="CU480" s="19"/>
      <c r="EI480" s="542"/>
      <c r="EJ480" s="542"/>
      <c r="EK480" s="542"/>
      <c r="EL480" s="542"/>
      <c r="EM480" s="542"/>
      <c r="EN480" s="542"/>
      <c r="EO480" s="542"/>
      <c r="EP480" s="542"/>
      <c r="EQ480" s="542"/>
      <c r="ER480" s="19"/>
      <c r="ES480" s="542"/>
    </row>
    <row r="481" spans="1:155" x14ac:dyDescent="0.2">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555"/>
      <c r="CK481" s="19"/>
      <c r="CL481" s="19"/>
      <c r="CM481" s="19"/>
      <c r="CN481" s="19"/>
      <c r="CO481" s="19"/>
      <c r="CP481" s="19"/>
      <c r="CQ481" s="19"/>
      <c r="CR481" s="19"/>
      <c r="CS481" s="19"/>
      <c r="CT481" s="19"/>
      <c r="CU481" s="19"/>
      <c r="EI481" s="542"/>
      <c r="EJ481" s="542"/>
      <c r="EK481" s="542"/>
      <c r="EL481" s="542"/>
      <c r="EM481" s="542"/>
      <c r="EN481" s="542"/>
      <c r="EO481" s="542"/>
      <c r="EP481" s="542"/>
      <c r="EQ481" s="542"/>
      <c r="ER481" s="19"/>
      <c r="ES481" s="542"/>
    </row>
    <row r="482" spans="1:155" x14ac:dyDescent="0.2">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555"/>
      <c r="CK482" s="19"/>
      <c r="CL482" s="19"/>
      <c r="CM482" s="19"/>
      <c r="CN482" s="19"/>
      <c r="CO482" s="19"/>
      <c r="CP482" s="19"/>
      <c r="CQ482" s="19"/>
      <c r="CR482" s="19"/>
      <c r="CS482" s="19"/>
      <c r="CT482" s="19"/>
      <c r="CU482" s="19"/>
      <c r="EI482" s="542"/>
      <c r="EJ482" s="542"/>
      <c r="EK482" s="542"/>
      <c r="EL482" s="542"/>
      <c r="EM482" s="542"/>
      <c r="EN482" s="542"/>
      <c r="EO482" s="542"/>
      <c r="EP482" s="542"/>
      <c r="EQ482" s="542"/>
      <c r="ER482" s="19"/>
      <c r="ES482" s="542"/>
    </row>
    <row r="483" spans="1:155" x14ac:dyDescent="0.2">
      <c r="B483" s="559"/>
      <c r="C483" s="559"/>
      <c r="D483" s="547"/>
      <c r="E483" s="547"/>
      <c r="F483" s="547"/>
      <c r="G483" s="547"/>
      <c r="H483" s="547"/>
      <c r="I483" s="547"/>
      <c r="J483" s="547"/>
      <c r="K483" s="547"/>
      <c r="L483" s="547"/>
      <c r="M483" s="547"/>
      <c r="N483" s="547"/>
      <c r="O483" s="547"/>
      <c r="P483" s="547"/>
      <c r="Q483" s="547"/>
      <c r="R483" s="547"/>
      <c r="S483" s="547"/>
      <c r="T483" s="547"/>
      <c r="U483" s="547"/>
      <c r="V483" s="547"/>
      <c r="W483" s="547"/>
      <c r="X483" s="547"/>
      <c r="Y483" s="547"/>
      <c r="Z483" s="547"/>
      <c r="AA483" s="547"/>
      <c r="AB483" s="547"/>
      <c r="AC483" s="547"/>
      <c r="AD483" s="547"/>
      <c r="AE483" s="547"/>
      <c r="AF483" s="547"/>
      <c r="AG483" s="547"/>
      <c r="AH483" s="547"/>
      <c r="AI483" s="547"/>
      <c r="AJ483" s="547"/>
      <c r="AK483" s="547"/>
      <c r="AL483" s="547"/>
      <c r="AM483" s="547"/>
      <c r="AN483" s="547"/>
      <c r="AO483" s="547"/>
      <c r="AP483" s="547"/>
      <c r="AQ483" s="547"/>
      <c r="AR483" s="547"/>
      <c r="AS483" s="547"/>
      <c r="AT483" s="547"/>
      <c r="AU483" s="547"/>
      <c r="AV483" s="547"/>
      <c r="AW483" s="547"/>
      <c r="AX483" s="547"/>
      <c r="AY483" s="547"/>
      <c r="AZ483" s="547"/>
      <c r="BA483" s="547"/>
      <c r="BB483" s="547"/>
      <c r="BC483" s="547"/>
      <c r="BD483" s="547"/>
      <c r="BE483" s="547"/>
      <c r="BF483" s="547"/>
      <c r="BG483" s="547"/>
      <c r="BH483" s="547"/>
      <c r="BI483" s="547"/>
      <c r="BJ483" s="547"/>
      <c r="BK483" s="547"/>
      <c r="BL483" s="547"/>
      <c r="BM483" s="547"/>
      <c r="BN483" s="547"/>
      <c r="BO483" s="547"/>
      <c r="BP483" s="547"/>
      <c r="BQ483" s="547"/>
      <c r="BR483" s="547"/>
      <c r="BS483" s="547"/>
      <c r="BT483" s="547"/>
      <c r="BU483" s="547"/>
      <c r="BV483" s="547"/>
      <c r="BW483" s="547"/>
      <c r="BX483" s="547"/>
      <c r="BY483" s="547"/>
      <c r="BZ483" s="547"/>
      <c r="CA483" s="547"/>
      <c r="CB483" s="547"/>
      <c r="CC483" s="547"/>
      <c r="CD483" s="547"/>
      <c r="CE483" s="547"/>
      <c r="CF483" s="547"/>
      <c r="CG483" s="547"/>
      <c r="CH483" s="547"/>
      <c r="CI483" s="547"/>
      <c r="CJ483" s="568"/>
      <c r="CK483" s="547"/>
      <c r="CL483" s="547"/>
      <c r="CM483" s="547"/>
      <c r="CN483" s="547"/>
      <c r="CO483" s="547"/>
      <c r="CP483" s="547"/>
      <c r="CQ483" s="547"/>
      <c r="CR483" s="547"/>
      <c r="CS483" s="547"/>
      <c r="CT483" s="547"/>
      <c r="CU483" s="547"/>
      <c r="CV483" s="547"/>
      <c r="CW483" s="547"/>
      <c r="CX483" s="547"/>
      <c r="CY483" s="547"/>
      <c r="CZ483" s="547"/>
      <c r="DB483" s="559"/>
      <c r="DC483" s="559"/>
      <c r="DD483" s="559"/>
      <c r="DE483" s="559"/>
      <c r="DF483" s="559"/>
      <c r="DG483" s="559"/>
      <c r="DH483" s="559"/>
      <c r="DI483" s="559"/>
      <c r="DJ483" s="559"/>
      <c r="DK483" s="559"/>
      <c r="DL483" s="559"/>
      <c r="DM483" s="559"/>
      <c r="DN483" s="559"/>
      <c r="DO483" s="559"/>
      <c r="DP483" s="559"/>
      <c r="DQ483" s="559"/>
      <c r="DR483" s="559"/>
      <c r="DS483" s="559"/>
      <c r="DT483" s="559"/>
      <c r="DU483" s="559"/>
      <c r="DV483" s="559"/>
      <c r="DW483" s="559"/>
      <c r="DX483" s="559"/>
      <c r="DY483" s="559"/>
      <c r="DZ483" s="559"/>
      <c r="EA483" s="559"/>
      <c r="EB483" s="559"/>
      <c r="EC483" s="559"/>
      <c r="ED483" s="559"/>
      <c r="EE483" s="559"/>
      <c r="EF483" s="559"/>
      <c r="EG483" s="559"/>
      <c r="EH483" s="559"/>
      <c r="EI483" s="560"/>
      <c r="EJ483" s="560"/>
      <c r="EK483" s="560"/>
      <c r="EL483" s="560"/>
      <c r="EM483" s="560"/>
      <c r="EN483" s="560"/>
      <c r="EO483" s="560"/>
      <c r="EP483" s="560"/>
      <c r="EQ483" s="560"/>
      <c r="ER483" s="19"/>
      <c r="ES483" s="542"/>
      <c r="ET483" s="559"/>
      <c r="EU483" s="559"/>
      <c r="EV483" s="559"/>
      <c r="EW483" s="559"/>
      <c r="EX483" s="559"/>
      <c r="EY483" s="559"/>
    </row>
    <row r="484" spans="1:155" s="559" customFormat="1" x14ac:dyDescent="0.2">
      <c r="A484" s="92"/>
      <c r="B484" s="93"/>
      <c r="C484" s="93"/>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555"/>
      <c r="CK484" s="19"/>
      <c r="CL484" s="19"/>
      <c r="CM484" s="19"/>
      <c r="CN484" s="19"/>
      <c r="CO484" s="19"/>
      <c r="CP484" s="19"/>
      <c r="CQ484" s="19"/>
      <c r="CR484" s="19"/>
      <c r="CS484" s="19"/>
      <c r="CT484" s="19"/>
      <c r="CU484" s="19"/>
      <c r="CV484" s="19"/>
      <c r="CW484" s="19"/>
      <c r="CX484" s="19"/>
      <c r="CY484" s="19"/>
      <c r="CZ484" s="19"/>
      <c r="DA484" s="92"/>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542"/>
      <c r="EJ484" s="542"/>
      <c r="EK484" s="542"/>
      <c r="EL484" s="542"/>
      <c r="EM484" s="542"/>
      <c r="EN484" s="542"/>
      <c r="EO484" s="542"/>
      <c r="EP484" s="542"/>
      <c r="EQ484" s="542"/>
      <c r="ER484" s="547"/>
      <c r="ES484" s="542"/>
      <c r="ET484" s="93"/>
      <c r="EU484" s="93"/>
      <c r="EV484" s="93"/>
      <c r="EW484" s="93"/>
      <c r="EX484" s="93"/>
      <c r="EY484" s="93"/>
    </row>
    <row r="485" spans="1:155" x14ac:dyDescent="0.2">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555"/>
      <c r="CK485" s="19"/>
      <c r="CL485" s="19"/>
      <c r="CM485" s="19"/>
      <c r="CN485" s="19"/>
      <c r="CO485" s="19"/>
      <c r="CP485" s="19"/>
      <c r="CQ485" s="19"/>
      <c r="CR485" s="19"/>
      <c r="CS485" s="19"/>
      <c r="CT485" s="19"/>
      <c r="CU485" s="19"/>
      <c r="EI485" s="542"/>
      <c r="EJ485" s="542"/>
      <c r="EK485" s="542"/>
      <c r="EL485" s="542"/>
      <c r="EM485" s="542"/>
      <c r="EN485" s="542"/>
      <c r="EO485" s="542"/>
      <c r="EP485" s="542"/>
      <c r="EQ485" s="542"/>
      <c r="ER485" s="19"/>
      <c r="ES485" s="542"/>
    </row>
    <row r="486" spans="1:155" x14ac:dyDescent="0.2">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555"/>
      <c r="CK486" s="19"/>
      <c r="CL486" s="19"/>
      <c r="CM486" s="19"/>
      <c r="CN486" s="19"/>
      <c r="CO486" s="19"/>
      <c r="CP486" s="19"/>
      <c r="CQ486" s="19"/>
      <c r="CR486" s="19"/>
      <c r="CS486" s="19"/>
      <c r="CT486" s="19"/>
      <c r="CU486" s="19"/>
      <c r="EI486" s="542"/>
      <c r="EJ486" s="542"/>
      <c r="EK486" s="542"/>
      <c r="EL486" s="542"/>
      <c r="EM486" s="542"/>
      <c r="EN486" s="542"/>
      <c r="EO486" s="542"/>
      <c r="EP486" s="542"/>
      <c r="EQ486" s="542"/>
      <c r="ER486" s="19"/>
      <c r="ES486" s="542"/>
    </row>
    <row r="487" spans="1:155" x14ac:dyDescent="0.2">
      <c r="EI487" s="542"/>
      <c r="EJ487" s="542"/>
      <c r="EK487" s="542"/>
      <c r="EL487" s="542"/>
      <c r="EM487" s="542"/>
      <c r="EN487" s="542"/>
      <c r="EO487" s="542"/>
      <c r="EP487" s="542"/>
      <c r="EQ487" s="542"/>
      <c r="ER487" s="19"/>
      <c r="ES487" s="542"/>
    </row>
    <row r="488" spans="1:155" x14ac:dyDescent="0.2">
      <c r="EI488" s="542"/>
      <c r="EJ488" s="542"/>
      <c r="EK488" s="542"/>
      <c r="EL488" s="542"/>
      <c r="EM488" s="542"/>
      <c r="EN488" s="542"/>
      <c r="EO488" s="542"/>
      <c r="EP488" s="542"/>
      <c r="EQ488" s="542"/>
      <c r="ER488" s="19"/>
      <c r="ES488" s="542"/>
    </row>
    <row r="489" spans="1:155" x14ac:dyDescent="0.2">
      <c r="EI489" s="542"/>
      <c r="EJ489" s="542"/>
      <c r="EK489" s="542"/>
      <c r="EL489" s="542"/>
      <c r="EM489" s="542"/>
      <c r="EN489" s="542"/>
      <c r="EO489" s="542"/>
      <c r="EP489" s="542"/>
      <c r="EQ489" s="542"/>
      <c r="ER489" s="19"/>
      <c r="ES489" s="542"/>
    </row>
    <row r="490" spans="1:155" x14ac:dyDescent="0.2">
      <c r="EI490" s="542"/>
      <c r="EJ490" s="542"/>
      <c r="EK490" s="542"/>
      <c r="EL490" s="542"/>
      <c r="EM490" s="542"/>
      <c r="EN490" s="542"/>
      <c r="EO490" s="542"/>
      <c r="EP490" s="542"/>
      <c r="EQ490" s="542"/>
      <c r="ER490" s="19"/>
      <c r="ES490" s="542"/>
    </row>
    <row r="491" spans="1:155" x14ac:dyDescent="0.2">
      <c r="EI491" s="542"/>
      <c r="EJ491" s="542"/>
      <c r="EK491" s="542"/>
      <c r="EL491" s="542"/>
      <c r="EM491" s="542"/>
      <c r="EN491" s="542"/>
      <c r="EO491" s="542"/>
      <c r="EP491" s="542"/>
      <c r="EQ491" s="542"/>
      <c r="ER491" s="19"/>
      <c r="ES491" s="542"/>
    </row>
    <row r="492" spans="1:155" x14ac:dyDescent="0.2">
      <c r="EI492" s="542"/>
      <c r="EJ492" s="542"/>
      <c r="EK492" s="542"/>
      <c r="EL492" s="542"/>
      <c r="EM492" s="542"/>
      <c r="EN492" s="542"/>
      <c r="EO492" s="542"/>
      <c r="EP492" s="542"/>
      <c r="EQ492" s="542"/>
      <c r="ER492" s="19"/>
      <c r="ES492" s="542"/>
    </row>
    <row r="493" spans="1:155" x14ac:dyDescent="0.2">
      <c r="EI493" s="542"/>
      <c r="EJ493" s="542"/>
      <c r="EK493" s="542"/>
      <c r="EL493" s="542"/>
      <c r="EM493" s="542"/>
      <c r="EN493" s="542"/>
      <c r="EO493" s="542"/>
      <c r="EP493" s="542"/>
      <c r="EQ493" s="542"/>
      <c r="ER493" s="19"/>
      <c r="ES493" s="542"/>
    </row>
    <row r="494" spans="1:155" x14ac:dyDescent="0.2">
      <c r="EI494" s="542"/>
      <c r="EJ494" s="542"/>
      <c r="EK494" s="542"/>
      <c r="EL494" s="542"/>
      <c r="EM494" s="542"/>
      <c r="EN494" s="542"/>
      <c r="EO494" s="542"/>
      <c r="EP494" s="542"/>
      <c r="EQ494" s="542"/>
      <c r="ER494" s="19"/>
      <c r="ES494" s="542"/>
    </row>
    <row r="495" spans="1:155" x14ac:dyDescent="0.2">
      <c r="EI495" s="542"/>
      <c r="EJ495" s="542"/>
      <c r="EK495" s="542"/>
      <c r="EL495" s="542"/>
      <c r="EM495" s="542"/>
      <c r="EN495" s="542"/>
      <c r="EO495" s="542"/>
      <c r="EP495" s="542"/>
      <c r="EQ495" s="542"/>
      <c r="ER495" s="19"/>
      <c r="ES495" s="542"/>
    </row>
    <row r="496" spans="1:155" x14ac:dyDescent="0.2">
      <c r="EI496" s="542"/>
      <c r="EJ496" s="542"/>
      <c r="EK496" s="542"/>
      <c r="EL496" s="542"/>
      <c r="EM496" s="542"/>
      <c r="EN496" s="542"/>
      <c r="EO496" s="542"/>
      <c r="EP496" s="542"/>
      <c r="EQ496" s="542"/>
      <c r="ER496" s="19"/>
      <c r="ES496" s="542"/>
    </row>
    <row r="497" spans="139:149" x14ac:dyDescent="0.2">
      <c r="EI497" s="542"/>
      <c r="EJ497" s="542"/>
      <c r="EK497" s="542"/>
      <c r="EL497" s="542"/>
      <c r="EM497" s="542"/>
      <c r="EN497" s="542"/>
      <c r="EO497" s="542"/>
      <c r="EP497" s="542"/>
      <c r="EQ497" s="542"/>
      <c r="ER497" s="19"/>
      <c r="ES497" s="542"/>
    </row>
    <row r="498" spans="139:149" x14ac:dyDescent="0.2">
      <c r="EI498" s="542"/>
      <c r="EJ498" s="542"/>
      <c r="EK498" s="542"/>
      <c r="EL498" s="542"/>
      <c r="EM498" s="542"/>
      <c r="EN498" s="542"/>
      <c r="EO498" s="542"/>
      <c r="EP498" s="542"/>
      <c r="EQ498" s="542"/>
      <c r="ER498" s="19"/>
      <c r="ES498" s="542"/>
    </row>
    <row r="499" spans="139:149" x14ac:dyDescent="0.2">
      <c r="EI499" s="542"/>
      <c r="EJ499" s="542"/>
      <c r="EK499" s="542"/>
      <c r="EL499" s="542"/>
      <c r="EM499" s="542"/>
      <c r="EN499" s="542"/>
      <c r="EO499" s="542"/>
      <c r="EP499" s="542"/>
      <c r="EQ499" s="542"/>
      <c r="ER499" s="19"/>
      <c r="ES499" s="542"/>
    </row>
    <row r="500" spans="139:149" x14ac:dyDescent="0.2">
      <c r="EI500" s="542"/>
      <c r="EJ500" s="542"/>
      <c r="EK500" s="542"/>
      <c r="EL500" s="542"/>
      <c r="EM500" s="542"/>
      <c r="EN500" s="542"/>
      <c r="EO500" s="542"/>
      <c r="EP500" s="542"/>
      <c r="EQ500" s="542"/>
      <c r="ER500" s="19"/>
      <c r="ES500" s="542"/>
    </row>
    <row r="501" spans="139:149" x14ac:dyDescent="0.2">
      <c r="EI501" s="542"/>
      <c r="EJ501" s="542"/>
      <c r="EK501" s="542"/>
      <c r="EL501" s="542"/>
      <c r="EM501" s="542"/>
      <c r="EN501" s="542"/>
      <c r="EO501" s="542"/>
      <c r="EP501" s="542"/>
      <c r="EQ501" s="542"/>
      <c r="ER501" s="19"/>
      <c r="ES501" s="542"/>
    </row>
    <row r="502" spans="139:149" x14ac:dyDescent="0.2">
      <c r="EI502" s="542"/>
      <c r="EJ502" s="542"/>
      <c r="EK502" s="542"/>
      <c r="EL502" s="542"/>
      <c r="EM502" s="542"/>
      <c r="EN502" s="542"/>
      <c r="EO502" s="542"/>
      <c r="EP502" s="542"/>
      <c r="EQ502" s="542"/>
      <c r="ER502" s="19"/>
      <c r="ES502" s="542"/>
    </row>
    <row r="503" spans="139:149" x14ac:dyDescent="0.2">
      <c r="EI503" s="542"/>
      <c r="EJ503" s="542"/>
      <c r="EK503" s="542"/>
      <c r="EL503" s="542"/>
      <c r="EM503" s="542"/>
      <c r="EN503" s="542"/>
      <c r="EO503" s="542"/>
      <c r="EP503" s="542"/>
      <c r="EQ503" s="542"/>
      <c r="ER503" s="19"/>
      <c r="ES503" s="542"/>
    </row>
    <row r="504" spans="139:149" x14ac:dyDescent="0.2">
      <c r="EI504" s="542"/>
      <c r="EJ504" s="542"/>
      <c r="EK504" s="542"/>
      <c r="EL504" s="542"/>
      <c r="EM504" s="542"/>
      <c r="EN504" s="542"/>
      <c r="EO504" s="542"/>
      <c r="EP504" s="542"/>
      <c r="EQ504" s="542"/>
      <c r="ER504" s="19"/>
      <c r="ES504" s="542"/>
    </row>
    <row r="505" spans="139:149" x14ac:dyDescent="0.2">
      <c r="EI505" s="542"/>
      <c r="EJ505" s="542"/>
      <c r="EK505" s="542"/>
      <c r="EL505" s="542"/>
      <c r="EM505" s="542"/>
      <c r="EN505" s="542"/>
      <c r="EO505" s="542"/>
      <c r="EP505" s="542"/>
      <c r="EQ505" s="542"/>
      <c r="ER505" s="19"/>
      <c r="ES505" s="542"/>
    </row>
    <row r="506" spans="139:149" x14ac:dyDescent="0.2">
      <c r="EI506" s="542"/>
      <c r="EJ506" s="542"/>
      <c r="EK506" s="542"/>
      <c r="EL506" s="542"/>
      <c r="EM506" s="542"/>
      <c r="EN506" s="542"/>
      <c r="EO506" s="542"/>
      <c r="EP506" s="542"/>
      <c r="EQ506" s="542"/>
      <c r="ER506" s="19"/>
      <c r="ES506" s="542"/>
    </row>
    <row r="507" spans="139:149" x14ac:dyDescent="0.2">
      <c r="EI507" s="542"/>
      <c r="EJ507" s="542"/>
      <c r="EK507" s="542"/>
      <c r="EL507" s="542"/>
      <c r="EM507" s="542"/>
      <c r="EN507" s="542"/>
      <c r="EO507" s="542"/>
      <c r="EP507" s="542"/>
      <c r="EQ507" s="542"/>
      <c r="ER507" s="19"/>
      <c r="ES507" s="542"/>
    </row>
    <row r="508" spans="139:149" x14ac:dyDescent="0.2">
      <c r="EI508" s="542"/>
      <c r="EJ508" s="542"/>
      <c r="EK508" s="542"/>
      <c r="EL508" s="542"/>
      <c r="EM508" s="542"/>
      <c r="EN508" s="542"/>
      <c r="EO508" s="542"/>
      <c r="EP508" s="542"/>
      <c r="EQ508" s="542"/>
      <c r="ER508" s="19"/>
      <c r="ES508" s="542"/>
    </row>
    <row r="509" spans="139:149" x14ac:dyDescent="0.2">
      <c r="EI509" s="542"/>
      <c r="EJ509" s="542"/>
      <c r="EK509" s="542"/>
      <c r="EL509" s="542"/>
      <c r="EM509" s="542"/>
      <c r="EN509" s="542"/>
      <c r="EO509" s="542"/>
      <c r="EP509" s="542"/>
      <c r="EQ509" s="542"/>
      <c r="ER509" s="19"/>
      <c r="ES509" s="542"/>
    </row>
    <row r="510" spans="139:149" x14ac:dyDescent="0.2">
      <c r="EI510" s="542"/>
      <c r="EJ510" s="542"/>
      <c r="EK510" s="542"/>
      <c r="EL510" s="542"/>
      <c r="EM510" s="542"/>
      <c r="EN510" s="542"/>
      <c r="EO510" s="542"/>
      <c r="EP510" s="542"/>
      <c r="EQ510" s="542"/>
      <c r="ER510" s="19"/>
      <c r="ES510" s="542"/>
    </row>
    <row r="511" spans="139:149" x14ac:dyDescent="0.2">
      <c r="EI511" s="542"/>
      <c r="EJ511" s="542"/>
      <c r="EK511" s="542"/>
      <c r="EL511" s="542"/>
      <c r="EM511" s="542"/>
      <c r="EN511" s="542"/>
      <c r="EO511" s="542"/>
      <c r="EP511" s="542"/>
      <c r="EQ511" s="542"/>
      <c r="ER511" s="19"/>
      <c r="ES511" s="542"/>
    </row>
    <row r="512" spans="139:149" x14ac:dyDescent="0.2">
      <c r="EI512" s="542"/>
      <c r="EJ512" s="542"/>
      <c r="EK512" s="542"/>
      <c r="EL512" s="542"/>
      <c r="EM512" s="542"/>
      <c r="EN512" s="542"/>
      <c r="EO512" s="542"/>
      <c r="EP512" s="542"/>
      <c r="EQ512" s="542"/>
      <c r="ER512" s="19"/>
      <c r="ES512" s="542"/>
    </row>
    <row r="513" spans="139:149" x14ac:dyDescent="0.2">
      <c r="EI513" s="542"/>
      <c r="EJ513" s="542"/>
      <c r="EK513" s="542"/>
      <c r="EL513" s="542"/>
      <c r="EM513" s="542"/>
      <c r="EN513" s="542"/>
      <c r="EO513" s="542"/>
      <c r="EP513" s="542"/>
      <c r="EQ513" s="542"/>
      <c r="ER513" s="19"/>
      <c r="ES513" s="542"/>
    </row>
    <row r="514" spans="139:149" x14ac:dyDescent="0.2">
      <c r="EI514" s="542"/>
      <c r="EJ514" s="542"/>
      <c r="EK514" s="542"/>
      <c r="EL514" s="542"/>
      <c r="EM514" s="542"/>
      <c r="EN514" s="542"/>
      <c r="EO514" s="542"/>
      <c r="EP514" s="542"/>
      <c r="EQ514" s="542"/>
      <c r="ER514" s="19"/>
      <c r="ES514" s="542"/>
    </row>
    <row r="515" spans="139:149" x14ac:dyDescent="0.2">
      <c r="EI515" s="542"/>
      <c r="EJ515" s="542"/>
      <c r="EK515" s="542"/>
      <c r="EL515" s="542"/>
      <c r="EM515" s="542"/>
      <c r="EN515" s="542"/>
      <c r="EO515" s="542"/>
      <c r="EP515" s="542"/>
      <c r="EQ515" s="542"/>
      <c r="ER515" s="19"/>
      <c r="ES515" s="542"/>
    </row>
    <row r="516" spans="139:149" x14ac:dyDescent="0.2">
      <c r="EI516" s="542"/>
      <c r="EJ516" s="542"/>
      <c r="EK516" s="542"/>
      <c r="EL516" s="542"/>
      <c r="EM516" s="542"/>
      <c r="EN516" s="542"/>
      <c r="EO516" s="542"/>
      <c r="EP516" s="542"/>
      <c r="EQ516" s="542"/>
      <c r="ER516" s="19"/>
      <c r="ES516" s="542"/>
    </row>
    <row r="517" spans="139:149" x14ac:dyDescent="0.2">
      <c r="EI517" s="542"/>
      <c r="EJ517" s="542"/>
      <c r="EK517" s="542"/>
      <c r="EL517" s="542"/>
      <c r="EM517" s="542"/>
      <c r="EN517" s="542"/>
      <c r="EO517" s="542"/>
      <c r="EP517" s="542"/>
      <c r="EQ517" s="542"/>
      <c r="ER517" s="19"/>
      <c r="ES517" s="542"/>
    </row>
    <row r="518" spans="139:149" x14ac:dyDescent="0.2">
      <c r="EI518" s="542"/>
      <c r="EJ518" s="542"/>
      <c r="EK518" s="542"/>
      <c r="EL518" s="542"/>
      <c r="EM518" s="542"/>
      <c r="EN518" s="542"/>
      <c r="EO518" s="542"/>
      <c r="EP518" s="542"/>
      <c r="EQ518" s="542"/>
      <c r="ER518" s="19"/>
      <c r="ES518" s="542"/>
    </row>
    <row r="519" spans="139:149" x14ac:dyDescent="0.2">
      <c r="EI519" s="542"/>
      <c r="EJ519" s="542"/>
      <c r="EK519" s="542"/>
      <c r="EL519" s="542"/>
      <c r="EM519" s="542"/>
      <c r="EN519" s="542"/>
      <c r="EO519" s="542"/>
      <c r="EP519" s="542"/>
      <c r="EQ519" s="542"/>
      <c r="ER519" s="19"/>
      <c r="ES519" s="542"/>
    </row>
    <row r="520" spans="139:149" x14ac:dyDescent="0.2">
      <c r="EI520" s="542"/>
      <c r="EJ520" s="542"/>
      <c r="EK520" s="542"/>
      <c r="EL520" s="542"/>
      <c r="EM520" s="542"/>
      <c r="EN520" s="542"/>
      <c r="EO520" s="542"/>
      <c r="EP520" s="542"/>
      <c r="EQ520" s="542"/>
      <c r="ER520" s="19"/>
      <c r="ES520" s="542"/>
    </row>
    <row r="521" spans="139:149" x14ac:dyDescent="0.2">
      <c r="EI521" s="542"/>
      <c r="EJ521" s="542"/>
      <c r="EK521" s="542"/>
      <c r="EL521" s="542"/>
      <c r="EM521" s="542"/>
      <c r="EN521" s="542"/>
      <c r="EO521" s="542"/>
      <c r="EP521" s="542"/>
      <c r="EQ521" s="542"/>
      <c r="ER521" s="19"/>
      <c r="ES521" s="542"/>
    </row>
    <row r="522" spans="139:149" x14ac:dyDescent="0.2">
      <c r="EI522" s="542"/>
      <c r="EJ522" s="542"/>
      <c r="EK522" s="542"/>
      <c r="EL522" s="542"/>
      <c r="EM522" s="542"/>
      <c r="EN522" s="542"/>
      <c r="EO522" s="542"/>
      <c r="EP522" s="542"/>
      <c r="EQ522" s="542"/>
      <c r="ER522" s="19"/>
      <c r="ES522" s="542"/>
    </row>
    <row r="523" spans="139:149" x14ac:dyDescent="0.2">
      <c r="EI523" s="542"/>
      <c r="EJ523" s="542"/>
      <c r="EK523" s="542"/>
      <c r="EL523" s="542"/>
      <c r="EM523" s="542"/>
      <c r="EN523" s="542"/>
      <c r="EO523" s="542"/>
      <c r="EP523" s="542"/>
      <c r="EQ523" s="542"/>
      <c r="ER523" s="19"/>
      <c r="ES523" s="542"/>
    </row>
    <row r="524" spans="139:149" x14ac:dyDescent="0.2">
      <c r="EI524" s="542"/>
      <c r="EJ524" s="542"/>
      <c r="EK524" s="542"/>
      <c r="EL524" s="542"/>
      <c r="EM524" s="542"/>
      <c r="EN524" s="542"/>
      <c r="EO524" s="542"/>
      <c r="EP524" s="542"/>
      <c r="EQ524" s="542"/>
      <c r="ER524" s="19"/>
      <c r="ES524" s="542"/>
    </row>
    <row r="525" spans="139:149" x14ac:dyDescent="0.2">
      <c r="EI525" s="542"/>
      <c r="EJ525" s="542"/>
      <c r="EK525" s="542"/>
      <c r="EL525" s="542"/>
      <c r="EM525" s="542"/>
      <c r="EN525" s="542"/>
      <c r="EO525" s="542"/>
      <c r="EP525" s="542"/>
      <c r="EQ525" s="542"/>
      <c r="ER525" s="19"/>
      <c r="ES525" s="542"/>
    </row>
    <row r="526" spans="139:149" x14ac:dyDescent="0.2">
      <c r="EI526" s="542"/>
      <c r="EJ526" s="542"/>
      <c r="EK526" s="542"/>
      <c r="EL526" s="542"/>
      <c r="EM526" s="542"/>
      <c r="EN526" s="542"/>
      <c r="EO526" s="542"/>
      <c r="EP526" s="542"/>
      <c r="EQ526" s="542"/>
      <c r="ER526" s="19"/>
      <c r="ES526" s="542"/>
    </row>
    <row r="527" spans="139:149" x14ac:dyDescent="0.2">
      <c r="EI527" s="542"/>
      <c r="EJ527" s="542"/>
      <c r="EK527" s="542"/>
      <c r="EL527" s="542"/>
      <c r="EM527" s="542"/>
      <c r="EN527" s="542"/>
      <c r="EO527" s="542"/>
      <c r="EP527" s="542"/>
      <c r="EQ527" s="542"/>
      <c r="ER527" s="19"/>
      <c r="ES527" s="542"/>
    </row>
    <row r="528" spans="139:149" x14ac:dyDescent="0.2">
      <c r="EI528" s="542"/>
      <c r="EJ528" s="542"/>
      <c r="EK528" s="542"/>
      <c r="EL528" s="542"/>
      <c r="EM528" s="542"/>
      <c r="EN528" s="542"/>
      <c r="EO528" s="542"/>
      <c r="EP528" s="542"/>
      <c r="EQ528" s="542"/>
      <c r="ER528" s="19"/>
      <c r="ES528" s="542"/>
    </row>
    <row r="529" spans="139:149" x14ac:dyDescent="0.2">
      <c r="EI529" s="542"/>
      <c r="EJ529" s="542"/>
      <c r="EK529" s="542"/>
      <c r="EL529" s="542"/>
      <c r="EM529" s="542"/>
      <c r="EN529" s="542"/>
      <c r="EO529" s="542"/>
      <c r="EP529" s="542"/>
      <c r="EQ529" s="542"/>
      <c r="ER529" s="554"/>
      <c r="ES529" s="542"/>
    </row>
    <row r="530" spans="139:149" x14ac:dyDescent="0.2">
      <c r="EI530" s="542"/>
      <c r="EJ530" s="542"/>
      <c r="EK530" s="542"/>
      <c r="EL530" s="542"/>
      <c r="EM530" s="542"/>
      <c r="EN530" s="542"/>
      <c r="EO530" s="542"/>
      <c r="EP530" s="542"/>
      <c r="EQ530" s="542"/>
      <c r="ER530" s="19"/>
      <c r="ES530" s="542"/>
    </row>
    <row r="531" spans="139:149" x14ac:dyDescent="0.2">
      <c r="EI531" s="542"/>
      <c r="EJ531" s="542"/>
      <c r="EK531" s="542"/>
      <c r="EL531" s="542"/>
      <c r="EM531" s="542"/>
      <c r="EN531" s="542"/>
      <c r="EO531" s="542"/>
      <c r="EP531" s="542"/>
      <c r="EQ531" s="542"/>
      <c r="ER531" s="19"/>
      <c r="ES531" s="542"/>
    </row>
    <row r="532" spans="139:149" x14ac:dyDescent="0.2">
      <c r="EI532" s="542"/>
      <c r="EJ532" s="542"/>
      <c r="EK532" s="542"/>
      <c r="EL532" s="542"/>
      <c r="EM532" s="542"/>
      <c r="EN532" s="542"/>
      <c r="EO532" s="542"/>
      <c r="EP532" s="542"/>
      <c r="EQ532" s="542"/>
      <c r="ER532" s="19"/>
      <c r="ES532" s="542"/>
    </row>
    <row r="533" spans="139:149" x14ac:dyDescent="0.2">
      <c r="EI533" s="542"/>
      <c r="EJ533" s="542"/>
      <c r="EK533" s="542"/>
      <c r="EL533" s="542"/>
      <c r="EM533" s="542"/>
      <c r="EN533" s="542"/>
      <c r="EO533" s="542"/>
      <c r="EP533" s="542"/>
      <c r="EQ533" s="542"/>
      <c r="ER533" s="19"/>
      <c r="ES533" s="542"/>
    </row>
    <row r="534" spans="139:149" x14ac:dyDescent="0.2">
      <c r="EI534" s="542"/>
      <c r="EJ534" s="542"/>
      <c r="EK534" s="542"/>
      <c r="EL534" s="542"/>
      <c r="EM534" s="542"/>
      <c r="EN534" s="542"/>
      <c r="EO534" s="542"/>
      <c r="EP534" s="542"/>
      <c r="EQ534" s="542"/>
      <c r="ER534" s="19"/>
      <c r="ES534" s="542"/>
    </row>
    <row r="535" spans="139:149" x14ac:dyDescent="0.2">
      <c r="EI535" s="542"/>
      <c r="EJ535" s="542"/>
      <c r="EK535" s="542"/>
      <c r="EL535" s="542"/>
      <c r="EM535" s="542"/>
      <c r="EN535" s="542"/>
      <c r="EO535" s="542"/>
      <c r="EP535" s="542"/>
      <c r="EQ535" s="542"/>
      <c r="ER535" s="19"/>
      <c r="ES535" s="542"/>
    </row>
    <row r="536" spans="139:149" x14ac:dyDescent="0.2">
      <c r="EI536" s="542"/>
      <c r="EJ536" s="542"/>
      <c r="EK536" s="542"/>
      <c r="EL536" s="542"/>
      <c r="EM536" s="542"/>
      <c r="EN536" s="542"/>
      <c r="EO536" s="542"/>
      <c r="EP536" s="542"/>
      <c r="EQ536" s="542"/>
      <c r="ER536" s="19"/>
      <c r="ES536" s="542"/>
    </row>
    <row r="537" spans="139:149" x14ac:dyDescent="0.2">
      <c r="EI537" s="542"/>
      <c r="EJ537" s="542"/>
      <c r="EK537" s="542"/>
      <c r="EL537" s="542"/>
      <c r="EM537" s="542"/>
      <c r="EN537" s="542"/>
      <c r="EO537" s="542"/>
      <c r="EP537" s="542"/>
      <c r="EQ537" s="542"/>
      <c r="ER537" s="19"/>
      <c r="ES537" s="542"/>
    </row>
    <row r="538" spans="139:149" x14ac:dyDescent="0.2">
      <c r="EI538" s="542"/>
      <c r="EJ538" s="542"/>
      <c r="EK538" s="542"/>
      <c r="EL538" s="542"/>
      <c r="EM538" s="542"/>
      <c r="EN538" s="542"/>
      <c r="EO538" s="542"/>
      <c r="EP538" s="542"/>
      <c r="EQ538" s="542"/>
      <c r="ER538" s="19"/>
      <c r="ES538" s="542"/>
    </row>
    <row r="539" spans="139:149" x14ac:dyDescent="0.2">
      <c r="EI539" s="542"/>
      <c r="EJ539" s="542"/>
      <c r="EK539" s="542"/>
      <c r="EL539" s="542"/>
      <c r="EM539" s="542"/>
      <c r="EN539" s="542"/>
      <c r="EO539" s="542"/>
      <c r="EP539" s="542"/>
      <c r="EQ539" s="542"/>
      <c r="ER539" s="19"/>
      <c r="ES539" s="542"/>
    </row>
    <row r="540" spans="139:149" x14ac:dyDescent="0.2">
      <c r="EI540" s="542"/>
      <c r="EJ540" s="542"/>
      <c r="EK540" s="542"/>
      <c r="EL540" s="542"/>
      <c r="EM540" s="542"/>
      <c r="EN540" s="542"/>
      <c r="EO540" s="542"/>
      <c r="EP540" s="542"/>
      <c r="EQ540" s="542"/>
      <c r="ER540" s="19"/>
      <c r="ES540" s="542"/>
    </row>
    <row r="541" spans="139:149" x14ac:dyDescent="0.2">
      <c r="EI541" s="542"/>
      <c r="EJ541" s="542"/>
      <c r="EK541" s="542"/>
      <c r="EL541" s="542"/>
      <c r="EM541" s="542"/>
      <c r="EN541" s="542"/>
      <c r="EO541" s="542"/>
      <c r="EP541" s="542"/>
      <c r="EQ541" s="542"/>
      <c r="ER541" s="19"/>
      <c r="ES541" s="542"/>
    </row>
    <row r="542" spans="139:149" x14ac:dyDescent="0.2">
      <c r="EI542" s="542"/>
      <c r="EJ542" s="542"/>
      <c r="EK542" s="542"/>
      <c r="EL542" s="542"/>
      <c r="EM542" s="542"/>
      <c r="EN542" s="542"/>
      <c r="EO542" s="542"/>
      <c r="EP542" s="542"/>
      <c r="EQ542" s="542"/>
      <c r="ER542" s="19"/>
      <c r="ES542" s="542"/>
    </row>
    <row r="543" spans="139:149" x14ac:dyDescent="0.2">
      <c r="EI543" s="542"/>
      <c r="EJ543" s="542"/>
      <c r="EK543" s="542"/>
      <c r="EL543" s="542"/>
      <c r="EM543" s="542"/>
      <c r="EN543" s="542"/>
      <c r="EO543" s="542"/>
      <c r="EP543" s="542"/>
      <c r="EQ543" s="542"/>
      <c r="ER543" s="19"/>
      <c r="ES543" s="542"/>
    </row>
    <row r="544" spans="139:149" x14ac:dyDescent="0.2">
      <c r="EI544" s="542"/>
      <c r="EJ544" s="542"/>
      <c r="EK544" s="542"/>
      <c r="EL544" s="542"/>
      <c r="EM544" s="542"/>
      <c r="EN544" s="542"/>
      <c r="EO544" s="542"/>
      <c r="EP544" s="542"/>
      <c r="EQ544" s="542"/>
      <c r="ER544" s="19"/>
      <c r="ES544" s="542"/>
    </row>
    <row r="545" spans="139:149" x14ac:dyDescent="0.2">
      <c r="EI545" s="542"/>
      <c r="EJ545" s="542"/>
      <c r="EK545" s="542"/>
      <c r="EL545" s="542"/>
      <c r="EM545" s="542"/>
      <c r="EN545" s="542"/>
      <c r="EO545" s="542"/>
      <c r="EP545" s="542"/>
      <c r="EQ545" s="542"/>
      <c r="ER545" s="19"/>
      <c r="ES545" s="542"/>
    </row>
    <row r="546" spans="139:149" x14ac:dyDescent="0.2">
      <c r="EI546" s="542"/>
      <c r="EJ546" s="542"/>
      <c r="EK546" s="542"/>
      <c r="EL546" s="542"/>
      <c r="EM546" s="542"/>
      <c r="EN546" s="542"/>
      <c r="EO546" s="542"/>
      <c r="EP546" s="542"/>
      <c r="EQ546" s="542"/>
      <c r="ER546" s="19"/>
      <c r="ES546" s="542"/>
    </row>
    <row r="547" spans="139:149" x14ac:dyDescent="0.2">
      <c r="EI547" s="542"/>
      <c r="EJ547" s="542"/>
      <c r="EK547" s="542"/>
      <c r="EL547" s="542"/>
      <c r="EM547" s="542"/>
      <c r="EN547" s="542"/>
      <c r="EO547" s="542"/>
      <c r="EP547" s="542"/>
      <c r="EQ547" s="542"/>
      <c r="ER547" s="19"/>
      <c r="ES547" s="542"/>
    </row>
    <row r="548" spans="139:149" x14ac:dyDescent="0.2">
      <c r="EI548" s="542"/>
      <c r="EJ548" s="542"/>
      <c r="EK548" s="542"/>
      <c r="EL548" s="542"/>
      <c r="EM548" s="542"/>
      <c r="EN548" s="542"/>
      <c r="EO548" s="542"/>
      <c r="EP548" s="542"/>
      <c r="EQ548" s="542"/>
      <c r="ER548" s="19"/>
      <c r="ES548" s="542"/>
    </row>
    <row r="549" spans="139:149" x14ac:dyDescent="0.2">
      <c r="EI549" s="542"/>
      <c r="EJ549" s="542"/>
      <c r="EK549" s="542"/>
      <c r="EL549" s="542"/>
      <c r="EM549" s="542"/>
      <c r="EN549" s="542"/>
      <c r="EO549" s="542"/>
      <c r="EP549" s="542"/>
      <c r="EQ549" s="542"/>
      <c r="ER549" s="19"/>
      <c r="ES549" s="542"/>
    </row>
    <row r="550" spans="139:149" x14ac:dyDescent="0.2">
      <c r="EI550" s="542"/>
      <c r="EJ550" s="542"/>
      <c r="EK550" s="542"/>
      <c r="EL550" s="542"/>
      <c r="EM550" s="542"/>
      <c r="EN550" s="542"/>
      <c r="EO550" s="542"/>
      <c r="EP550" s="542"/>
      <c r="EQ550" s="542"/>
      <c r="ER550" s="19"/>
      <c r="ES550" s="542"/>
    </row>
    <row r="551" spans="139:149" x14ac:dyDescent="0.2">
      <c r="EI551" s="542"/>
      <c r="EJ551" s="542"/>
      <c r="EK551" s="542"/>
      <c r="EL551" s="542"/>
      <c r="EM551" s="542"/>
      <c r="EN551" s="542"/>
      <c r="EO551" s="542"/>
      <c r="EP551" s="542"/>
      <c r="EQ551" s="542"/>
      <c r="ER551" s="19"/>
      <c r="ES551" s="542"/>
    </row>
    <row r="552" spans="139:149" x14ac:dyDescent="0.2">
      <c r="EI552" s="542"/>
      <c r="EJ552" s="542"/>
      <c r="EK552" s="542"/>
      <c r="EL552" s="542"/>
      <c r="EM552" s="542"/>
      <c r="EN552" s="542"/>
      <c r="EO552" s="542"/>
      <c r="EP552" s="542"/>
      <c r="EQ552" s="542"/>
      <c r="ER552" s="19"/>
      <c r="ES552" s="542"/>
    </row>
    <row r="553" spans="139:149" x14ac:dyDescent="0.2">
      <c r="EI553" s="542"/>
      <c r="EJ553" s="542"/>
      <c r="EK553" s="542"/>
      <c r="EL553" s="542"/>
      <c r="EM553" s="542"/>
      <c r="EN553" s="542"/>
      <c r="EO553" s="542"/>
      <c r="EP553" s="542"/>
      <c r="EQ553" s="542"/>
      <c r="ER553" s="19"/>
      <c r="ES553" s="560"/>
    </row>
    <row r="554" spans="139:149" x14ac:dyDescent="0.2">
      <c r="EI554" s="542"/>
      <c r="EJ554" s="542"/>
      <c r="EK554" s="542"/>
      <c r="EL554" s="542"/>
      <c r="EM554" s="542"/>
      <c r="EN554" s="542"/>
      <c r="EO554" s="542"/>
      <c r="EP554" s="542"/>
      <c r="EQ554" s="542"/>
      <c r="ER554" s="19"/>
      <c r="ES554" s="560"/>
    </row>
    <row r="555" spans="139:149" x14ac:dyDescent="0.2">
      <c r="EI555" s="542"/>
      <c r="EJ555" s="542"/>
      <c r="EK555" s="542"/>
      <c r="EL555" s="542"/>
      <c r="EM555" s="542"/>
      <c r="EN555" s="542"/>
      <c r="EO555" s="542"/>
      <c r="EP555" s="542"/>
      <c r="EQ555" s="542"/>
      <c r="ER555" s="19"/>
      <c r="ES555" s="560"/>
    </row>
    <row r="556" spans="139:149" x14ac:dyDescent="0.2">
      <c r="EI556" s="542"/>
      <c r="EJ556" s="542"/>
      <c r="EK556" s="542"/>
      <c r="EL556" s="542"/>
      <c r="EM556" s="542"/>
      <c r="EN556" s="542"/>
      <c r="EO556" s="542"/>
      <c r="EP556" s="542"/>
      <c r="EQ556" s="542"/>
      <c r="ER556" s="19"/>
    </row>
    <row r="557" spans="139:149" x14ac:dyDescent="0.2">
      <c r="EI557" s="542"/>
      <c r="EJ557" s="542"/>
      <c r="EK557" s="542"/>
      <c r="EL557" s="542"/>
      <c r="EM557" s="542"/>
      <c r="EN557" s="542"/>
      <c r="EO557" s="542"/>
      <c r="EP557" s="542"/>
      <c r="EQ557" s="542"/>
      <c r="ER557" s="19"/>
    </row>
    <row r="558" spans="139:149" x14ac:dyDescent="0.2">
      <c r="EI558" s="542"/>
      <c r="EJ558" s="542"/>
      <c r="EK558" s="542"/>
      <c r="EL558" s="542"/>
      <c r="EM558" s="542"/>
      <c r="EN558" s="542"/>
      <c r="EO558" s="542"/>
      <c r="EP558" s="542"/>
      <c r="EQ558" s="542"/>
      <c r="ER558" s="19"/>
    </row>
    <row r="559" spans="139:149" x14ac:dyDescent="0.2">
      <c r="EI559" s="542"/>
      <c r="EJ559" s="542"/>
      <c r="EK559" s="542"/>
      <c r="EL559" s="542"/>
      <c r="EM559" s="542"/>
      <c r="EN559" s="542"/>
      <c r="EO559" s="542"/>
      <c r="EP559" s="542"/>
      <c r="EQ559" s="542"/>
      <c r="ER559" s="19"/>
    </row>
    <row r="560" spans="139:149" x14ac:dyDescent="0.2">
      <c r="EI560" s="542"/>
      <c r="EJ560" s="542"/>
      <c r="EK560" s="542"/>
      <c r="EL560" s="542"/>
      <c r="EM560" s="542"/>
      <c r="EN560" s="542"/>
      <c r="EO560" s="542"/>
      <c r="EP560" s="542"/>
      <c r="EQ560" s="542"/>
      <c r="ER560" s="19"/>
    </row>
    <row r="561" spans="139:148" x14ac:dyDescent="0.2">
      <c r="EI561" s="542"/>
      <c r="EJ561" s="542"/>
      <c r="EK561" s="542"/>
      <c r="EL561" s="542"/>
      <c r="EM561" s="542"/>
      <c r="EN561" s="542"/>
      <c r="EO561" s="542"/>
      <c r="EP561" s="542"/>
      <c r="EQ561" s="542"/>
      <c r="ER561" s="19"/>
    </row>
    <row r="562" spans="139:148" x14ac:dyDescent="0.2">
      <c r="EI562" s="542"/>
      <c r="EJ562" s="542"/>
      <c r="EK562" s="542"/>
      <c r="EL562" s="542"/>
      <c r="EM562" s="542"/>
      <c r="EN562" s="542"/>
      <c r="EO562" s="542"/>
      <c r="EP562" s="542"/>
      <c r="EQ562" s="542"/>
      <c r="ER562" s="19"/>
    </row>
    <row r="563" spans="139:148" x14ac:dyDescent="0.2">
      <c r="EI563" s="542"/>
      <c r="EJ563" s="542"/>
      <c r="EK563" s="542"/>
      <c r="EL563" s="542"/>
      <c r="EM563" s="542"/>
      <c r="EN563" s="542"/>
      <c r="EO563" s="542"/>
      <c r="EP563" s="542"/>
      <c r="EQ563" s="542"/>
      <c r="ER563" s="19"/>
    </row>
    <row r="564" spans="139:148" x14ac:dyDescent="0.2">
      <c r="EI564" s="542"/>
      <c r="EJ564" s="542"/>
      <c r="EK564" s="542"/>
      <c r="EL564" s="542"/>
      <c r="EM564" s="542"/>
      <c r="EN564" s="542"/>
      <c r="EO564" s="542"/>
      <c r="EP564" s="542"/>
      <c r="EQ564" s="542"/>
      <c r="ER564" s="19"/>
    </row>
    <row r="565" spans="139:148" x14ac:dyDescent="0.2">
      <c r="EI565" s="542"/>
      <c r="EJ565" s="542"/>
      <c r="EK565" s="542"/>
      <c r="EL565" s="542"/>
      <c r="EM565" s="542"/>
      <c r="EN565" s="542"/>
      <c r="EO565" s="542"/>
      <c r="EP565" s="542"/>
      <c r="EQ565" s="542"/>
      <c r="ER565" s="19"/>
    </row>
    <row r="566" spans="139:148" x14ac:dyDescent="0.2">
      <c r="EI566" s="542"/>
      <c r="EJ566" s="542"/>
      <c r="EK566" s="542"/>
      <c r="EL566" s="542"/>
      <c r="EM566" s="542"/>
      <c r="EN566" s="542"/>
      <c r="EO566" s="542"/>
      <c r="EP566" s="542"/>
      <c r="EQ566" s="542"/>
      <c r="ER566" s="19"/>
    </row>
    <row r="567" spans="139:148" x14ac:dyDescent="0.2">
      <c r="EI567" s="542"/>
      <c r="EJ567" s="542"/>
      <c r="EK567" s="542"/>
      <c r="EL567" s="542"/>
      <c r="EM567" s="542"/>
      <c r="EN567" s="542"/>
      <c r="EO567" s="542"/>
      <c r="EP567" s="542"/>
      <c r="EQ567" s="542"/>
      <c r="ER567" s="19"/>
    </row>
    <row r="568" spans="139:148" x14ac:dyDescent="0.2">
      <c r="EI568" s="542"/>
      <c r="EJ568" s="542"/>
      <c r="EK568" s="542"/>
      <c r="EL568" s="542"/>
      <c r="EM568" s="542"/>
      <c r="EN568" s="542"/>
      <c r="EO568" s="542"/>
      <c r="EP568" s="542"/>
      <c r="EQ568" s="542"/>
      <c r="ER568" s="19"/>
    </row>
    <row r="569" spans="139:148" x14ac:dyDescent="0.2">
      <c r="EI569" s="542"/>
      <c r="EJ569" s="542"/>
      <c r="EK569" s="542"/>
      <c r="EL569" s="542"/>
      <c r="EM569" s="542"/>
      <c r="EN569" s="542"/>
      <c r="EO569" s="542"/>
      <c r="EP569" s="542"/>
      <c r="EQ569" s="542"/>
      <c r="ER569" s="19"/>
    </row>
    <row r="570" spans="139:148" x14ac:dyDescent="0.2">
      <c r="EI570" s="542"/>
      <c r="EJ570" s="542"/>
      <c r="EK570" s="542"/>
      <c r="EL570" s="542"/>
      <c r="EM570" s="542"/>
      <c r="EN570" s="542"/>
      <c r="EO570" s="542"/>
      <c r="EP570" s="542"/>
      <c r="EQ570" s="542"/>
      <c r="ER570" s="19"/>
    </row>
    <row r="571" spans="139:148" x14ac:dyDescent="0.2">
      <c r="EI571" s="542"/>
      <c r="EJ571" s="542"/>
      <c r="EK571" s="542"/>
      <c r="EL571" s="542"/>
      <c r="EM571" s="542"/>
      <c r="EN571" s="542"/>
      <c r="EO571" s="542"/>
      <c r="EP571" s="542"/>
      <c r="EQ571" s="542"/>
      <c r="ER571" s="19"/>
    </row>
    <row r="572" spans="139:148" x14ac:dyDescent="0.2">
      <c r="EI572" s="542"/>
      <c r="EJ572" s="542"/>
      <c r="EK572" s="542"/>
      <c r="EL572" s="542"/>
      <c r="EM572" s="542"/>
      <c r="EN572" s="542"/>
      <c r="EO572" s="542"/>
      <c r="EP572" s="542"/>
      <c r="EQ572" s="542"/>
      <c r="ER572" s="19"/>
    </row>
    <row r="573" spans="139:148" x14ac:dyDescent="0.2">
      <c r="EI573" s="542"/>
      <c r="EJ573" s="542"/>
      <c r="EK573" s="542"/>
      <c r="EL573" s="542"/>
      <c r="EM573" s="542"/>
      <c r="EN573" s="542"/>
      <c r="EO573" s="542"/>
      <c r="EP573" s="542"/>
      <c r="EQ573" s="542"/>
      <c r="ER573" s="19"/>
    </row>
    <row r="574" spans="139:148" x14ac:dyDescent="0.2">
      <c r="EI574" s="542"/>
      <c r="EJ574" s="542"/>
      <c r="EK574" s="542"/>
      <c r="EL574" s="542"/>
      <c r="EM574" s="542"/>
      <c r="EN574" s="542"/>
      <c r="EO574" s="542"/>
      <c r="EP574" s="542"/>
      <c r="EQ574" s="542"/>
      <c r="ER574" s="19"/>
    </row>
    <row r="575" spans="139:148" x14ac:dyDescent="0.2">
      <c r="EI575" s="542"/>
      <c r="EJ575" s="542"/>
      <c r="EK575" s="542"/>
      <c r="EL575" s="542"/>
      <c r="EM575" s="542"/>
      <c r="EN575" s="542"/>
      <c r="EO575" s="542"/>
      <c r="EP575" s="542"/>
      <c r="EQ575" s="542"/>
      <c r="ER575" s="19"/>
    </row>
    <row r="576" spans="139:148" x14ac:dyDescent="0.2">
      <c r="EI576" s="542"/>
      <c r="EJ576" s="542"/>
      <c r="EK576" s="542"/>
      <c r="EL576" s="542"/>
      <c r="EM576" s="542"/>
      <c r="EN576" s="542"/>
      <c r="EO576" s="542"/>
      <c r="EP576" s="542"/>
      <c r="EQ576" s="542"/>
      <c r="ER576" s="19"/>
    </row>
    <row r="577" spans="139:148" x14ac:dyDescent="0.2">
      <c r="EI577" s="542"/>
      <c r="EJ577" s="542"/>
      <c r="EK577" s="542"/>
      <c r="EL577" s="542"/>
      <c r="EM577" s="542"/>
      <c r="EN577" s="542"/>
      <c r="EO577" s="542"/>
      <c r="EP577" s="542"/>
      <c r="EQ577" s="542"/>
      <c r="ER577" s="19"/>
    </row>
    <row r="578" spans="139:148" x14ac:dyDescent="0.2">
      <c r="EI578" s="542"/>
      <c r="EJ578" s="542"/>
      <c r="EK578" s="542"/>
      <c r="EL578" s="542"/>
      <c r="EM578" s="542"/>
      <c r="EN578" s="542"/>
      <c r="EO578" s="542"/>
      <c r="EP578" s="542"/>
      <c r="EQ578" s="542"/>
      <c r="ER578" s="19"/>
    </row>
    <row r="579" spans="139:148" x14ac:dyDescent="0.2">
      <c r="EI579" s="542"/>
      <c r="EJ579" s="542"/>
      <c r="EK579" s="542"/>
      <c r="EL579" s="542"/>
      <c r="EM579" s="542"/>
      <c r="EN579" s="542"/>
      <c r="EO579" s="542"/>
      <c r="EP579" s="542"/>
      <c r="EQ579" s="542"/>
      <c r="ER579" s="19"/>
    </row>
    <row r="580" spans="139:148" x14ac:dyDescent="0.2">
      <c r="EI580" s="542"/>
      <c r="EJ580" s="542"/>
      <c r="EK580" s="542"/>
      <c r="EL580" s="542"/>
      <c r="EM580" s="542"/>
      <c r="EN580" s="542"/>
      <c r="EO580" s="542"/>
      <c r="EP580" s="542"/>
      <c r="EQ580" s="542"/>
      <c r="ER580" s="19"/>
    </row>
    <row r="581" spans="139:148" x14ac:dyDescent="0.2">
      <c r="EI581" s="542"/>
      <c r="EJ581" s="542"/>
      <c r="EK581" s="542"/>
      <c r="EL581" s="542"/>
      <c r="EM581" s="542"/>
      <c r="EN581" s="542"/>
      <c r="EO581" s="542"/>
      <c r="EP581" s="542"/>
      <c r="EQ581" s="542"/>
      <c r="ER581" s="19"/>
    </row>
    <row r="582" spans="139:148" x14ac:dyDescent="0.2">
      <c r="EI582" s="542"/>
      <c r="EJ582" s="542"/>
      <c r="EK582" s="542"/>
      <c r="EL582" s="542"/>
      <c r="EM582" s="542"/>
      <c r="EN582" s="542"/>
      <c r="EO582" s="542"/>
      <c r="EP582" s="542"/>
      <c r="EQ582" s="542"/>
      <c r="ER582" s="554"/>
    </row>
    <row r="583" spans="139:148" x14ac:dyDescent="0.2">
      <c r="EI583" s="542"/>
      <c r="EJ583" s="542"/>
      <c r="EK583" s="542"/>
      <c r="EL583" s="542"/>
      <c r="EM583" s="542"/>
      <c r="EN583" s="542"/>
      <c r="EO583" s="542"/>
      <c r="EP583" s="542"/>
      <c r="EQ583" s="542"/>
      <c r="ER583" s="19"/>
    </row>
    <row r="584" spans="139:148" x14ac:dyDescent="0.2">
      <c r="EI584" s="542"/>
      <c r="EJ584" s="542"/>
      <c r="EK584" s="542"/>
      <c r="EL584" s="542"/>
      <c r="EM584" s="542"/>
      <c r="EN584" s="542"/>
      <c r="EO584" s="542"/>
      <c r="EP584" s="542"/>
      <c r="EQ584" s="542"/>
      <c r="ER584" s="19"/>
    </row>
    <row r="585" spans="139:148" x14ac:dyDescent="0.2">
      <c r="EI585" s="542"/>
      <c r="EJ585" s="542"/>
      <c r="EK585" s="542"/>
      <c r="EL585" s="542"/>
      <c r="EM585" s="542"/>
      <c r="EN585" s="542"/>
      <c r="EO585" s="542"/>
      <c r="EP585" s="542"/>
      <c r="EQ585" s="542"/>
      <c r="ER585" s="19"/>
    </row>
    <row r="586" spans="139:148" x14ac:dyDescent="0.2">
      <c r="EI586" s="542"/>
      <c r="EJ586" s="542"/>
      <c r="EK586" s="542"/>
      <c r="EL586" s="542"/>
      <c r="EM586" s="542"/>
      <c r="EN586" s="542"/>
      <c r="EO586" s="542"/>
      <c r="EP586" s="542"/>
      <c r="EQ586" s="542"/>
      <c r="ER586" s="19"/>
    </row>
    <row r="587" spans="139:148" x14ac:dyDescent="0.2">
      <c r="EI587" s="542"/>
      <c r="EJ587" s="542"/>
      <c r="EK587" s="542"/>
      <c r="EL587" s="542"/>
      <c r="EM587" s="542"/>
      <c r="EN587" s="542"/>
      <c r="EO587" s="542"/>
      <c r="EP587" s="542"/>
      <c r="EQ587" s="542"/>
      <c r="ER587" s="19"/>
    </row>
    <row r="588" spans="139:148" x14ac:dyDescent="0.2">
      <c r="EI588" s="542"/>
      <c r="EJ588" s="542"/>
      <c r="EK588" s="542"/>
      <c r="EL588" s="542"/>
      <c r="EM588" s="542"/>
      <c r="EN588" s="542"/>
      <c r="EO588" s="542"/>
      <c r="EP588" s="542"/>
      <c r="EQ588" s="542"/>
      <c r="ER588" s="19"/>
    </row>
    <row r="589" spans="139:148" x14ac:dyDescent="0.2">
      <c r="EI589" s="542"/>
      <c r="EJ589" s="542"/>
      <c r="EK589" s="542"/>
      <c r="EL589" s="542"/>
      <c r="EM589" s="542"/>
      <c r="EN589" s="542"/>
      <c r="EO589" s="542"/>
      <c r="EP589" s="542"/>
      <c r="EQ589" s="542"/>
      <c r="ER589" s="19"/>
    </row>
    <row r="590" spans="139:148" x14ac:dyDescent="0.2">
      <c r="EI590" s="542"/>
      <c r="EJ590" s="542"/>
      <c r="EK590" s="542"/>
      <c r="EL590" s="542"/>
      <c r="EM590" s="542"/>
      <c r="EN590" s="542"/>
      <c r="EO590" s="542"/>
      <c r="EP590" s="542"/>
      <c r="EQ590" s="542"/>
      <c r="ER590" s="19"/>
    </row>
    <row r="591" spans="139:148" x14ac:dyDescent="0.2">
      <c r="EI591" s="542"/>
      <c r="EJ591" s="542"/>
      <c r="EK591" s="542"/>
      <c r="EL591" s="542"/>
      <c r="EM591" s="542"/>
      <c r="EN591" s="542"/>
      <c r="EO591" s="542"/>
      <c r="EP591" s="542"/>
      <c r="EQ591" s="542"/>
      <c r="ER591" s="19"/>
    </row>
    <row r="592" spans="139:148" x14ac:dyDescent="0.2">
      <c r="EI592" s="542"/>
      <c r="EJ592" s="542"/>
      <c r="EK592" s="542"/>
      <c r="EL592" s="542"/>
      <c r="EM592" s="542"/>
      <c r="EN592" s="542"/>
      <c r="EO592" s="542"/>
      <c r="EP592" s="542"/>
      <c r="EQ592" s="542"/>
      <c r="ER592" s="19"/>
    </row>
    <row r="593" spans="139:148" x14ac:dyDescent="0.2">
      <c r="EI593" s="542"/>
      <c r="EJ593" s="542"/>
      <c r="EK593" s="542"/>
      <c r="EL593" s="542"/>
      <c r="EM593" s="542"/>
      <c r="EN593" s="542"/>
      <c r="EO593" s="542"/>
      <c r="EP593" s="542"/>
      <c r="EQ593" s="542"/>
      <c r="ER593" s="19"/>
    </row>
    <row r="594" spans="139:148" x14ac:dyDescent="0.2">
      <c r="EI594" s="542"/>
      <c r="EJ594" s="542"/>
      <c r="EK594" s="542"/>
      <c r="EL594" s="542"/>
      <c r="EM594" s="542"/>
      <c r="EN594" s="542"/>
      <c r="EO594" s="542"/>
      <c r="EP594" s="542"/>
      <c r="EQ594" s="542"/>
      <c r="ER594" s="19"/>
    </row>
    <row r="595" spans="139:148" x14ac:dyDescent="0.2">
      <c r="EI595" s="542"/>
      <c r="EJ595" s="542"/>
      <c r="EK595" s="542"/>
      <c r="EL595" s="542"/>
      <c r="EM595" s="542"/>
      <c r="EN595" s="542"/>
      <c r="EO595" s="542"/>
      <c r="EP595" s="542"/>
      <c r="EQ595" s="542"/>
      <c r="ER595" s="19"/>
    </row>
    <row r="596" spans="139:148" x14ac:dyDescent="0.2">
      <c r="EI596" s="542"/>
      <c r="EJ596" s="542"/>
      <c r="EK596" s="542"/>
      <c r="EL596" s="542"/>
      <c r="EM596" s="542"/>
      <c r="EN596" s="542"/>
      <c r="EO596" s="542"/>
      <c r="EP596" s="542"/>
      <c r="EQ596" s="542"/>
      <c r="ER596" s="19"/>
    </row>
    <row r="597" spans="139:148" x14ac:dyDescent="0.2">
      <c r="EI597" s="542"/>
      <c r="EJ597" s="542"/>
      <c r="EK597" s="542"/>
      <c r="EL597" s="542"/>
      <c r="EM597" s="542"/>
      <c r="EN597" s="542"/>
      <c r="EO597" s="542"/>
      <c r="EP597" s="542"/>
      <c r="EQ597" s="542"/>
      <c r="ER597" s="19"/>
    </row>
    <row r="598" spans="139:148" x14ac:dyDescent="0.2">
      <c r="EI598" s="542"/>
      <c r="EJ598" s="542"/>
      <c r="EK598" s="542"/>
      <c r="EL598" s="542"/>
      <c r="EM598" s="542"/>
      <c r="EN598" s="542"/>
      <c r="EO598" s="542"/>
      <c r="EP598" s="542"/>
      <c r="EQ598" s="542"/>
      <c r="ER598" s="19"/>
    </row>
    <row r="599" spans="139:148" x14ac:dyDescent="0.2">
      <c r="EI599" s="542"/>
      <c r="EJ599" s="542"/>
      <c r="EK599" s="542"/>
      <c r="EL599" s="542"/>
      <c r="EM599" s="542"/>
      <c r="EN599" s="542"/>
      <c r="EO599" s="542"/>
      <c r="EP599" s="542"/>
      <c r="EQ599" s="542"/>
      <c r="ER599" s="19"/>
    </row>
    <row r="600" spans="139:148" x14ac:dyDescent="0.2">
      <c r="EI600" s="542"/>
      <c r="EJ600" s="542"/>
      <c r="EK600" s="542"/>
      <c r="EL600" s="542"/>
      <c r="EM600" s="542"/>
      <c r="EN600" s="542"/>
      <c r="EO600" s="542"/>
      <c r="EP600" s="542"/>
      <c r="EQ600" s="542"/>
      <c r="ER600" s="19"/>
    </row>
    <row r="601" spans="139:148" x14ac:dyDescent="0.2">
      <c r="EI601" s="542"/>
      <c r="EJ601" s="542"/>
      <c r="EK601" s="542"/>
      <c r="EL601" s="542"/>
      <c r="EM601" s="542"/>
      <c r="EN601" s="542"/>
      <c r="EO601" s="542"/>
      <c r="EP601" s="542"/>
      <c r="EQ601" s="542"/>
      <c r="ER601" s="19"/>
    </row>
    <row r="602" spans="139:148" x14ac:dyDescent="0.2">
      <c r="EI602" s="542"/>
      <c r="EJ602" s="542"/>
      <c r="EK602" s="542"/>
      <c r="EL602" s="542"/>
      <c r="EM602" s="542"/>
      <c r="EN602" s="542"/>
      <c r="EO602" s="542"/>
      <c r="EP602" s="542"/>
      <c r="EQ602" s="542"/>
      <c r="ER602" s="19"/>
    </row>
    <row r="603" spans="139:148" x14ac:dyDescent="0.2">
      <c r="EI603" s="542"/>
      <c r="EJ603" s="542"/>
      <c r="EK603" s="542"/>
      <c r="EL603" s="542"/>
      <c r="EM603" s="542"/>
      <c r="EN603" s="542"/>
      <c r="EO603" s="542"/>
      <c r="EP603" s="542"/>
      <c r="EQ603" s="542"/>
      <c r="ER603" s="19"/>
    </row>
    <row r="604" spans="139:148" x14ac:dyDescent="0.2">
      <c r="EI604" s="542"/>
      <c r="EJ604" s="542"/>
      <c r="EK604" s="542"/>
      <c r="EL604" s="542"/>
      <c r="EM604" s="542"/>
      <c r="EN604" s="542"/>
      <c r="EO604" s="542"/>
      <c r="EP604" s="542"/>
      <c r="EQ604" s="542"/>
      <c r="ER604" s="19"/>
    </row>
    <row r="605" spans="139:148" x14ac:dyDescent="0.2">
      <c r="EI605" s="542"/>
      <c r="EJ605" s="542"/>
      <c r="EK605" s="542"/>
      <c r="EL605" s="542"/>
      <c r="EM605" s="542"/>
      <c r="EN605" s="542"/>
      <c r="EO605" s="542"/>
      <c r="EP605" s="542"/>
      <c r="EQ605" s="542"/>
      <c r="ER605" s="19"/>
    </row>
    <row r="606" spans="139:148" x14ac:dyDescent="0.2">
      <c r="EI606" s="542"/>
      <c r="EJ606" s="542"/>
      <c r="EK606" s="542"/>
      <c r="EL606" s="542"/>
      <c r="EM606" s="542"/>
      <c r="EN606" s="542"/>
      <c r="EO606" s="542"/>
      <c r="EP606" s="542"/>
      <c r="EQ606" s="542"/>
      <c r="ER606" s="19"/>
    </row>
    <row r="607" spans="139:148" x14ac:dyDescent="0.2">
      <c r="EI607" s="542"/>
      <c r="EJ607" s="542"/>
      <c r="EK607" s="542"/>
      <c r="EL607" s="542"/>
      <c r="EM607" s="542"/>
      <c r="EN607" s="542"/>
      <c r="EO607" s="542"/>
      <c r="EP607" s="542"/>
      <c r="EQ607" s="542"/>
      <c r="ER607" s="19"/>
    </row>
    <row r="608" spans="139:148" x14ac:dyDescent="0.2">
      <c r="EI608" s="542"/>
      <c r="EJ608" s="542"/>
      <c r="EK608" s="542"/>
      <c r="EL608" s="542"/>
      <c r="EM608" s="542"/>
      <c r="EN608" s="542"/>
      <c r="EO608" s="542"/>
      <c r="EP608" s="542"/>
      <c r="EQ608" s="542"/>
      <c r="ER608" s="19"/>
    </row>
    <row r="609" spans="139:148" x14ac:dyDescent="0.2">
      <c r="EI609" s="542"/>
      <c r="EJ609" s="542"/>
      <c r="EK609" s="542"/>
      <c r="EL609" s="542"/>
      <c r="EM609" s="542"/>
      <c r="EN609" s="542"/>
      <c r="EO609" s="542"/>
      <c r="EP609" s="542"/>
      <c r="EQ609" s="542"/>
      <c r="ER609" s="19"/>
    </row>
    <row r="610" spans="139:148" x14ac:dyDescent="0.2">
      <c r="EI610" s="542"/>
      <c r="EJ610" s="542"/>
      <c r="EK610" s="542"/>
      <c r="EL610" s="542"/>
      <c r="EM610" s="542"/>
      <c r="EN610" s="542"/>
      <c r="EO610" s="542"/>
      <c r="EP610" s="542"/>
      <c r="EQ610" s="542"/>
      <c r="ER610" s="19"/>
    </row>
    <row r="611" spans="139:148" x14ac:dyDescent="0.2">
      <c r="EI611" s="542"/>
      <c r="EJ611" s="542"/>
      <c r="EK611" s="542"/>
      <c r="EL611" s="542"/>
      <c r="EM611" s="542"/>
      <c r="EN611" s="542"/>
      <c r="EO611" s="542"/>
      <c r="EP611" s="542"/>
      <c r="EQ611" s="542"/>
      <c r="ER611" s="19"/>
    </row>
    <row r="612" spans="139:148" x14ac:dyDescent="0.2">
      <c r="EI612" s="542"/>
      <c r="EJ612" s="542"/>
      <c r="EK612" s="542"/>
      <c r="EL612" s="542"/>
      <c r="EM612" s="542"/>
      <c r="EN612" s="542"/>
      <c r="EO612" s="542"/>
      <c r="EP612" s="542"/>
      <c r="EQ612" s="542"/>
      <c r="ER612" s="19"/>
    </row>
    <row r="613" spans="139:148" x14ac:dyDescent="0.2">
      <c r="EI613" s="542"/>
      <c r="EJ613" s="542"/>
      <c r="EK613" s="542"/>
      <c r="EL613" s="542"/>
      <c r="EM613" s="542"/>
      <c r="EN613" s="542"/>
      <c r="EO613" s="542"/>
      <c r="EP613" s="542"/>
      <c r="EQ613" s="542"/>
      <c r="ER613" s="19"/>
    </row>
    <row r="614" spans="139:148" x14ac:dyDescent="0.2">
      <c r="EI614" s="542"/>
      <c r="EJ614" s="542"/>
      <c r="EK614" s="542"/>
      <c r="EL614" s="542"/>
      <c r="EM614" s="542"/>
      <c r="EN614" s="542"/>
      <c r="EO614" s="542"/>
      <c r="EP614" s="542"/>
      <c r="EQ614" s="542"/>
      <c r="ER614" s="19"/>
    </row>
    <row r="615" spans="139:148" x14ac:dyDescent="0.2">
      <c r="EI615" s="542"/>
      <c r="EJ615" s="542"/>
      <c r="EK615" s="542"/>
      <c r="EL615" s="542"/>
      <c r="EM615" s="542"/>
      <c r="EN615" s="542"/>
      <c r="EO615" s="542"/>
      <c r="EP615" s="542"/>
      <c r="EQ615" s="542"/>
      <c r="ER615" s="19"/>
    </row>
    <row r="616" spans="139:148" x14ac:dyDescent="0.2">
      <c r="EI616" s="542"/>
      <c r="EJ616" s="542"/>
      <c r="EK616" s="542"/>
      <c r="EL616" s="542"/>
      <c r="EM616" s="542"/>
      <c r="EN616" s="542"/>
      <c r="EO616" s="542"/>
      <c r="EP616" s="542"/>
      <c r="EQ616" s="542"/>
      <c r="ER616" s="19"/>
    </row>
    <row r="617" spans="139:148" x14ac:dyDescent="0.2">
      <c r="EI617" s="542"/>
      <c r="EJ617" s="542"/>
      <c r="EK617" s="542"/>
      <c r="EL617" s="542"/>
      <c r="EM617" s="542"/>
      <c r="EN617" s="542"/>
      <c r="EO617" s="542"/>
      <c r="EP617" s="542"/>
      <c r="EQ617" s="542"/>
      <c r="ER617" s="19"/>
    </row>
    <row r="618" spans="139:148" x14ac:dyDescent="0.2">
      <c r="EI618" s="542"/>
      <c r="EJ618" s="542"/>
      <c r="EK618" s="542"/>
      <c r="EL618" s="542"/>
      <c r="EM618" s="542"/>
      <c r="EN618" s="542"/>
      <c r="EO618" s="542"/>
      <c r="EP618" s="542"/>
      <c r="EQ618" s="542"/>
      <c r="ER618" s="19"/>
    </row>
    <row r="619" spans="139:148" x14ac:dyDescent="0.2">
      <c r="EI619" s="542"/>
      <c r="EJ619" s="542"/>
      <c r="EK619" s="542"/>
      <c r="EL619" s="542"/>
      <c r="EM619" s="542"/>
      <c r="EN619" s="542"/>
      <c r="EO619" s="542"/>
      <c r="EP619" s="542"/>
      <c r="EQ619" s="542"/>
      <c r="ER619" s="19"/>
    </row>
    <row r="620" spans="139:148" x14ac:dyDescent="0.2">
      <c r="EI620" s="542"/>
      <c r="EJ620" s="542"/>
      <c r="EK620" s="542"/>
      <c r="EL620" s="542"/>
      <c r="EM620" s="542"/>
      <c r="EN620" s="542"/>
      <c r="EO620" s="542"/>
      <c r="EP620" s="542"/>
      <c r="EQ620" s="542"/>
      <c r="ER620" s="19"/>
    </row>
    <row r="621" spans="139:148" x14ac:dyDescent="0.2">
      <c r="EI621" s="542"/>
      <c r="EJ621" s="542"/>
      <c r="EK621" s="542"/>
      <c r="EL621" s="542"/>
      <c r="EM621" s="542"/>
      <c r="EN621" s="542"/>
      <c r="EO621" s="542"/>
      <c r="EP621" s="542"/>
      <c r="EQ621" s="542"/>
      <c r="ER621" s="554"/>
    </row>
    <row r="622" spans="139:148" x14ac:dyDescent="0.2">
      <c r="EI622" s="542"/>
      <c r="EJ622" s="542"/>
      <c r="EK622" s="542"/>
      <c r="EL622" s="542"/>
      <c r="EM622" s="542"/>
      <c r="EN622" s="542"/>
      <c r="EO622" s="542"/>
      <c r="EP622" s="542"/>
      <c r="EQ622" s="542"/>
      <c r="ER622" s="19"/>
    </row>
    <row r="623" spans="139:148" x14ac:dyDescent="0.2">
      <c r="EI623" s="542"/>
      <c r="EJ623" s="542"/>
      <c r="EK623" s="542"/>
      <c r="EL623" s="542"/>
      <c r="EM623" s="542"/>
      <c r="EN623" s="542"/>
      <c r="EO623" s="542"/>
      <c r="EP623" s="542"/>
      <c r="EQ623" s="542"/>
      <c r="ER623" s="19"/>
    </row>
    <row r="624" spans="139:148" x14ac:dyDescent="0.2">
      <c r="EI624" s="542"/>
      <c r="EJ624" s="542"/>
      <c r="EK624" s="542"/>
      <c r="EL624" s="542"/>
      <c r="EM624" s="542"/>
      <c r="EN624" s="542"/>
      <c r="EO624" s="542"/>
      <c r="EP624" s="542"/>
      <c r="EQ624" s="542"/>
      <c r="ER624" s="19"/>
    </row>
    <row r="625" spans="139:148" x14ac:dyDescent="0.2">
      <c r="EI625" s="542"/>
      <c r="EJ625" s="542"/>
      <c r="EK625" s="542"/>
      <c r="EL625" s="542"/>
      <c r="EM625" s="542"/>
      <c r="EN625" s="542"/>
      <c r="EO625" s="542"/>
      <c r="EP625" s="542"/>
      <c r="EQ625" s="542"/>
      <c r="ER625" s="19"/>
    </row>
    <row r="626" spans="139:148" x14ac:dyDescent="0.2">
      <c r="EI626" s="542"/>
      <c r="EJ626" s="542"/>
      <c r="EK626" s="542"/>
      <c r="EL626" s="542"/>
      <c r="EM626" s="542"/>
      <c r="EN626" s="542"/>
      <c r="EO626" s="542"/>
      <c r="EP626" s="542"/>
      <c r="EQ626" s="542"/>
      <c r="ER626" s="19"/>
    </row>
    <row r="627" spans="139:148" x14ac:dyDescent="0.2">
      <c r="EI627" s="542"/>
      <c r="EJ627" s="542"/>
      <c r="EK627" s="542"/>
      <c r="EL627" s="542"/>
      <c r="EM627" s="542"/>
      <c r="EN627" s="542"/>
      <c r="EO627" s="542"/>
      <c r="EP627" s="542"/>
      <c r="EQ627" s="542"/>
      <c r="ER627" s="19"/>
    </row>
    <row r="628" spans="139:148" x14ac:dyDescent="0.2">
      <c r="EI628" s="542"/>
      <c r="EJ628" s="542"/>
      <c r="EK628" s="542"/>
      <c r="EL628" s="542"/>
      <c r="EM628" s="542"/>
      <c r="EN628" s="542"/>
      <c r="EO628" s="542"/>
      <c r="EP628" s="542"/>
      <c r="EQ628" s="542"/>
      <c r="ER628" s="19"/>
    </row>
    <row r="629" spans="139:148" x14ac:dyDescent="0.2">
      <c r="EI629" s="542"/>
      <c r="EJ629" s="542"/>
      <c r="EK629" s="542"/>
      <c r="EL629" s="542"/>
      <c r="EM629" s="542"/>
      <c r="EN629" s="542"/>
      <c r="EO629" s="542"/>
      <c r="EP629" s="542"/>
      <c r="EQ629" s="542"/>
      <c r="ER629" s="19"/>
    </row>
    <row r="630" spans="139:148" x14ac:dyDescent="0.2">
      <c r="EI630" s="542"/>
      <c r="EJ630" s="542"/>
      <c r="EK630" s="542"/>
      <c r="EL630" s="542"/>
      <c r="EM630" s="542"/>
      <c r="EN630" s="542"/>
      <c r="EO630" s="542"/>
      <c r="EP630" s="542"/>
      <c r="EQ630" s="542"/>
      <c r="ER630" s="19"/>
    </row>
    <row r="631" spans="139:148" x14ac:dyDescent="0.2">
      <c r="EI631" s="542"/>
      <c r="EJ631" s="542"/>
      <c r="EK631" s="542"/>
      <c r="EL631" s="542"/>
      <c r="EM631" s="542"/>
      <c r="EN631" s="542"/>
      <c r="EO631" s="542"/>
      <c r="EP631" s="542"/>
      <c r="EQ631" s="542"/>
      <c r="ER631" s="19"/>
    </row>
    <row r="632" spans="139:148" x14ac:dyDescent="0.2">
      <c r="EI632" s="542"/>
      <c r="EJ632" s="542"/>
      <c r="EK632" s="542"/>
      <c r="EL632" s="542"/>
      <c r="EM632" s="542"/>
      <c r="EN632" s="542"/>
      <c r="EO632" s="542"/>
      <c r="EP632" s="542"/>
      <c r="EQ632" s="542"/>
      <c r="ER632" s="19"/>
    </row>
    <row r="633" spans="139:148" x14ac:dyDescent="0.2">
      <c r="EI633" s="542"/>
      <c r="EJ633" s="542"/>
      <c r="EK633" s="542"/>
      <c r="EL633" s="542"/>
      <c r="EM633" s="542"/>
      <c r="EN633" s="542"/>
      <c r="EO633" s="542"/>
      <c r="EP633" s="542"/>
      <c r="EQ633" s="542"/>
      <c r="ER633" s="19"/>
    </row>
    <row r="634" spans="139:148" x14ac:dyDescent="0.2">
      <c r="EI634" s="542"/>
      <c r="EJ634" s="542"/>
      <c r="EK634" s="542"/>
      <c r="EL634" s="542"/>
      <c r="EM634" s="542"/>
      <c r="EN634" s="542"/>
      <c r="EO634" s="542"/>
      <c r="EP634" s="542"/>
      <c r="EQ634" s="542"/>
      <c r="ER634" s="19"/>
    </row>
    <row r="635" spans="139:148" x14ac:dyDescent="0.2">
      <c r="EI635" s="542"/>
      <c r="EJ635" s="542"/>
      <c r="EK635" s="542"/>
      <c r="EL635" s="542"/>
      <c r="EM635" s="542"/>
      <c r="EN635" s="542"/>
      <c r="EO635" s="542"/>
      <c r="EP635" s="542"/>
      <c r="EQ635" s="542"/>
      <c r="ER635" s="19"/>
    </row>
    <row r="636" spans="139:148" x14ac:dyDescent="0.2">
      <c r="EI636" s="542"/>
      <c r="EJ636" s="542"/>
      <c r="EK636" s="542"/>
      <c r="EL636" s="542"/>
      <c r="EM636" s="542"/>
      <c r="EN636" s="542"/>
      <c r="EO636" s="542"/>
      <c r="EP636" s="542"/>
      <c r="EQ636" s="542"/>
      <c r="ER636" s="19"/>
    </row>
    <row r="637" spans="139:148" x14ac:dyDescent="0.2">
      <c r="EI637" s="542"/>
      <c r="EJ637" s="542"/>
      <c r="EK637" s="542"/>
      <c r="EL637" s="542"/>
      <c r="EM637" s="542"/>
      <c r="EN637" s="542"/>
      <c r="EO637" s="542"/>
      <c r="EP637" s="542"/>
      <c r="EQ637" s="542"/>
      <c r="ER637" s="19"/>
    </row>
    <row r="638" spans="139:148" x14ac:dyDescent="0.2">
      <c r="EI638" s="542"/>
      <c r="EJ638" s="542"/>
      <c r="EK638" s="542"/>
      <c r="EL638" s="542"/>
      <c r="EM638" s="542"/>
      <c r="EN638" s="542"/>
      <c r="EO638" s="542"/>
      <c r="EP638" s="542"/>
      <c r="EQ638" s="542"/>
      <c r="ER638" s="19"/>
    </row>
    <row r="639" spans="139:148" x14ac:dyDescent="0.2">
      <c r="EI639" s="542"/>
      <c r="EJ639" s="542"/>
      <c r="EK639" s="542"/>
      <c r="EL639" s="542"/>
      <c r="EM639" s="542"/>
      <c r="EN639" s="542"/>
      <c r="EO639" s="542"/>
      <c r="EP639" s="542"/>
      <c r="EQ639" s="542"/>
      <c r="ER639" s="19"/>
    </row>
    <row r="640" spans="139:148" x14ac:dyDescent="0.2">
      <c r="EI640" s="542"/>
      <c r="EJ640" s="542"/>
      <c r="EK640" s="542"/>
      <c r="EL640" s="542"/>
      <c r="EM640" s="542"/>
      <c r="EN640" s="542"/>
      <c r="EO640" s="542"/>
      <c r="EP640" s="542"/>
      <c r="EQ640" s="542"/>
      <c r="ER640" s="19"/>
    </row>
    <row r="641" spans="139:148" x14ac:dyDescent="0.2">
      <c r="EI641" s="542"/>
      <c r="EJ641" s="542"/>
      <c r="EK641" s="542"/>
      <c r="EL641" s="542"/>
      <c r="EM641" s="542"/>
      <c r="EN641" s="542"/>
      <c r="EO641" s="542"/>
      <c r="EP641" s="542"/>
      <c r="EQ641" s="542"/>
      <c r="ER641" s="19"/>
    </row>
    <row r="642" spans="139:148" x14ac:dyDescent="0.2">
      <c r="EI642" s="542"/>
      <c r="EJ642" s="542"/>
      <c r="EK642" s="542"/>
      <c r="EL642" s="542"/>
      <c r="EM642" s="542"/>
      <c r="EN642" s="542"/>
      <c r="EO642" s="542"/>
      <c r="EP642" s="542"/>
      <c r="EQ642" s="542"/>
      <c r="ER642" s="19"/>
    </row>
    <row r="643" spans="139:148" x14ac:dyDescent="0.2">
      <c r="EI643" s="542"/>
      <c r="EJ643" s="542"/>
      <c r="EK643" s="542"/>
      <c r="EL643" s="542"/>
      <c r="EM643" s="542"/>
      <c r="EN643" s="542"/>
      <c r="EO643" s="542"/>
      <c r="EP643" s="542"/>
      <c r="EQ643" s="542"/>
      <c r="ER643" s="19"/>
    </row>
    <row r="644" spans="139:148" x14ac:dyDescent="0.2">
      <c r="EI644" s="542"/>
      <c r="EJ644" s="542"/>
      <c r="EK644" s="542"/>
      <c r="EL644" s="542"/>
      <c r="EM644" s="542"/>
      <c r="EN644" s="542"/>
      <c r="EO644" s="542"/>
      <c r="EP644" s="542"/>
      <c r="EQ644" s="542"/>
      <c r="ER644" s="19"/>
    </row>
    <row r="645" spans="139:148" x14ac:dyDescent="0.2">
      <c r="EI645" s="542"/>
      <c r="EJ645" s="542"/>
      <c r="EK645" s="542"/>
      <c r="EL645" s="542"/>
      <c r="EM645" s="542"/>
      <c r="EN645" s="542"/>
      <c r="EO645" s="542"/>
      <c r="EP645" s="542"/>
      <c r="EQ645" s="542"/>
      <c r="ER645" s="19"/>
    </row>
    <row r="646" spans="139:148" x14ac:dyDescent="0.2">
      <c r="EI646" s="542"/>
      <c r="EJ646" s="542"/>
      <c r="EK646" s="542"/>
      <c r="EL646" s="542"/>
      <c r="EM646" s="542"/>
      <c r="EN646" s="542"/>
      <c r="EO646" s="542"/>
      <c r="EP646" s="542"/>
      <c r="EQ646" s="542"/>
      <c r="ER646" s="19"/>
    </row>
    <row r="647" spans="139:148" x14ac:dyDescent="0.2">
      <c r="EI647" s="542"/>
      <c r="EJ647" s="542"/>
      <c r="EK647" s="542"/>
      <c r="EL647" s="542"/>
      <c r="EM647" s="542"/>
      <c r="EN647" s="542"/>
      <c r="EO647" s="542"/>
      <c r="EP647" s="542"/>
      <c r="EQ647" s="542"/>
      <c r="ER647" s="19"/>
    </row>
    <row r="648" spans="139:148" x14ac:dyDescent="0.2">
      <c r="EI648" s="542"/>
      <c r="EJ648" s="542"/>
      <c r="EK648" s="542"/>
      <c r="EL648" s="542"/>
      <c r="EM648" s="542"/>
      <c r="EN648" s="542"/>
      <c r="EO648" s="542"/>
      <c r="EP648" s="542"/>
      <c r="EQ648" s="542"/>
      <c r="ER648" s="19"/>
    </row>
    <row r="649" spans="139:148" x14ac:dyDescent="0.2">
      <c r="EI649" s="542"/>
      <c r="EJ649" s="542"/>
      <c r="EK649" s="542"/>
      <c r="EL649" s="542"/>
      <c r="EM649" s="542"/>
      <c r="EN649" s="542"/>
      <c r="EO649" s="542"/>
      <c r="EP649" s="542"/>
      <c r="EQ649" s="542"/>
      <c r="ER649" s="19"/>
    </row>
    <row r="650" spans="139:148" x14ac:dyDescent="0.2">
      <c r="EI650" s="542"/>
      <c r="EJ650" s="542"/>
      <c r="EK650" s="542"/>
      <c r="EL650" s="542"/>
      <c r="EM650" s="542"/>
      <c r="EN650" s="542"/>
      <c r="EO650" s="542"/>
      <c r="EP650" s="542"/>
      <c r="EQ650" s="542"/>
      <c r="ER650" s="19"/>
    </row>
    <row r="651" spans="139:148" x14ac:dyDescent="0.2">
      <c r="EI651" s="542"/>
      <c r="EJ651" s="542"/>
      <c r="EK651" s="542"/>
      <c r="EL651" s="542"/>
      <c r="EM651" s="542"/>
      <c r="EN651" s="542"/>
      <c r="EO651" s="542"/>
      <c r="EP651" s="542"/>
      <c r="EQ651" s="542"/>
      <c r="ER651" s="19"/>
    </row>
    <row r="652" spans="139:148" x14ac:dyDescent="0.2">
      <c r="EI652" s="542"/>
      <c r="EJ652" s="542"/>
      <c r="EK652" s="542"/>
      <c r="EL652" s="542"/>
      <c r="EM652" s="542"/>
      <c r="EN652" s="542"/>
      <c r="EO652" s="542"/>
      <c r="EP652" s="542"/>
      <c r="EQ652" s="542"/>
      <c r="ER652" s="19"/>
    </row>
    <row r="653" spans="139:148" x14ac:dyDescent="0.2">
      <c r="EI653" s="542"/>
      <c r="EJ653" s="542"/>
      <c r="EK653" s="542"/>
      <c r="EL653" s="542"/>
      <c r="EM653" s="542"/>
      <c r="EN653" s="542"/>
      <c r="EO653" s="542"/>
      <c r="EP653" s="542"/>
      <c r="EQ653" s="542"/>
      <c r="ER653" s="19"/>
    </row>
    <row r="654" spans="139:148" x14ac:dyDescent="0.2">
      <c r="EI654" s="542"/>
      <c r="EJ654" s="542"/>
      <c r="EK654" s="542"/>
      <c r="EL654" s="542"/>
      <c r="EM654" s="542"/>
      <c r="EN654" s="542"/>
      <c r="EO654" s="542"/>
      <c r="EP654" s="542"/>
      <c r="EQ654" s="542"/>
      <c r="ER654" s="19"/>
    </row>
    <row r="655" spans="139:148" x14ac:dyDescent="0.2">
      <c r="EI655" s="542"/>
      <c r="EJ655" s="542"/>
      <c r="EK655" s="542"/>
      <c r="EL655" s="542"/>
      <c r="EM655" s="542"/>
      <c r="EN655" s="542"/>
      <c r="EO655" s="542"/>
      <c r="EP655" s="542"/>
      <c r="EQ655" s="542"/>
      <c r="ER655" s="19"/>
    </row>
    <row r="656" spans="139:148" x14ac:dyDescent="0.2">
      <c r="EI656" s="542"/>
      <c r="EJ656" s="542"/>
      <c r="EK656" s="542"/>
      <c r="EL656" s="542"/>
      <c r="EM656" s="542"/>
      <c r="EN656" s="542"/>
      <c r="EO656" s="542"/>
      <c r="EP656" s="542"/>
      <c r="EQ656" s="542"/>
      <c r="ER656" s="19"/>
    </row>
    <row r="657" spans="139:148" x14ac:dyDescent="0.2">
      <c r="EI657" s="542"/>
      <c r="EJ657" s="542"/>
      <c r="EK657" s="542"/>
      <c r="EL657" s="542"/>
      <c r="EM657" s="542"/>
      <c r="EN657" s="542"/>
      <c r="EO657" s="542"/>
      <c r="EP657" s="542"/>
      <c r="EQ657" s="542"/>
      <c r="ER657" s="19"/>
    </row>
    <row r="658" spans="139:148" x14ac:dyDescent="0.2">
      <c r="EI658" s="542"/>
      <c r="EJ658" s="542"/>
      <c r="EK658" s="542"/>
      <c r="EL658" s="542"/>
      <c r="EM658" s="542"/>
      <c r="EN658" s="542"/>
      <c r="EO658" s="542"/>
      <c r="EP658" s="542"/>
      <c r="EQ658" s="542"/>
      <c r="ER658" s="19"/>
    </row>
    <row r="659" spans="139:148" x14ac:dyDescent="0.2">
      <c r="EI659" s="542"/>
      <c r="EJ659" s="542"/>
      <c r="EK659" s="542"/>
      <c r="EL659" s="542"/>
      <c r="EM659" s="542"/>
      <c r="EN659" s="542"/>
      <c r="EO659" s="542"/>
      <c r="EP659" s="542"/>
      <c r="EQ659" s="542"/>
      <c r="ER659" s="19"/>
    </row>
    <row r="660" spans="139:148" x14ac:dyDescent="0.2">
      <c r="EI660" s="542"/>
      <c r="EJ660" s="542"/>
      <c r="EK660" s="542"/>
      <c r="EL660" s="542"/>
      <c r="EM660" s="542"/>
      <c r="EN660" s="542"/>
      <c r="EO660" s="542"/>
      <c r="EP660" s="542"/>
      <c r="EQ660" s="542"/>
      <c r="ER660" s="19"/>
    </row>
    <row r="661" spans="139:148" x14ac:dyDescent="0.2">
      <c r="EI661" s="542"/>
      <c r="EJ661" s="542"/>
      <c r="EK661" s="542"/>
      <c r="EL661" s="542"/>
      <c r="EM661" s="542"/>
      <c r="EN661" s="542"/>
      <c r="EO661" s="542"/>
      <c r="EP661" s="542"/>
      <c r="EQ661" s="542"/>
      <c r="ER661" s="19"/>
    </row>
    <row r="662" spans="139:148" x14ac:dyDescent="0.2">
      <c r="EI662" s="542"/>
      <c r="EJ662" s="542"/>
      <c r="EK662" s="542"/>
      <c r="EL662" s="542"/>
      <c r="EM662" s="542"/>
      <c r="EN662" s="542"/>
      <c r="EO662" s="542"/>
      <c r="EP662" s="542"/>
      <c r="EQ662" s="542"/>
      <c r="ER662" s="19"/>
    </row>
    <row r="663" spans="139:148" x14ac:dyDescent="0.2">
      <c r="EI663" s="542"/>
      <c r="EJ663" s="542"/>
      <c r="EK663" s="542"/>
      <c r="EL663" s="542"/>
      <c r="EM663" s="542"/>
      <c r="EN663" s="542"/>
      <c r="EO663" s="542"/>
      <c r="EP663" s="542"/>
      <c r="EQ663" s="542"/>
      <c r="ER663" s="19"/>
    </row>
    <row r="664" spans="139:148" x14ac:dyDescent="0.2">
      <c r="EI664" s="542"/>
      <c r="EJ664" s="542"/>
      <c r="EK664" s="542"/>
      <c r="EL664" s="542"/>
      <c r="EM664" s="542"/>
      <c r="EN664" s="542"/>
      <c r="EO664" s="542"/>
      <c r="EP664" s="542"/>
      <c r="EQ664" s="542"/>
      <c r="ER664" s="19"/>
    </row>
    <row r="665" spans="139:148" x14ac:dyDescent="0.2">
      <c r="EI665" s="542"/>
      <c r="EJ665" s="542"/>
      <c r="EK665" s="542"/>
      <c r="EL665" s="542"/>
      <c r="EM665" s="542"/>
      <c r="EN665" s="542"/>
      <c r="EO665" s="542"/>
      <c r="EP665" s="542"/>
      <c r="EQ665" s="542"/>
      <c r="ER665" s="19"/>
    </row>
    <row r="666" spans="139:148" x14ac:dyDescent="0.2">
      <c r="EI666" s="542"/>
      <c r="EJ666" s="542"/>
      <c r="EK666" s="542"/>
      <c r="EL666" s="542"/>
      <c r="EM666" s="542"/>
      <c r="EN666" s="542"/>
      <c r="EO666" s="542"/>
      <c r="EP666" s="542"/>
      <c r="EQ666" s="542"/>
      <c r="ER666" s="19"/>
    </row>
    <row r="667" spans="139:148" x14ac:dyDescent="0.2">
      <c r="EI667" s="542"/>
      <c r="EJ667" s="542"/>
      <c r="EK667" s="542"/>
      <c r="EL667" s="542"/>
      <c r="EM667" s="542"/>
      <c r="EN667" s="542"/>
      <c r="EO667" s="542"/>
      <c r="EP667" s="542"/>
      <c r="EQ667" s="542"/>
      <c r="ER667" s="19"/>
    </row>
    <row r="668" spans="139:148" x14ac:dyDescent="0.2">
      <c r="EI668" s="542"/>
      <c r="EJ668" s="542"/>
      <c r="EK668" s="542"/>
      <c r="EL668" s="542"/>
      <c r="EM668" s="542"/>
      <c r="EN668" s="542"/>
      <c r="EO668" s="542"/>
      <c r="EP668" s="542"/>
      <c r="EQ668" s="542"/>
      <c r="ER668" s="19"/>
    </row>
    <row r="669" spans="139:148" x14ac:dyDescent="0.2">
      <c r="EI669" s="542"/>
      <c r="EJ669" s="542"/>
      <c r="EK669" s="542"/>
      <c r="EL669" s="542"/>
      <c r="EM669" s="542"/>
      <c r="EN669" s="542"/>
      <c r="EO669" s="542"/>
      <c r="EP669" s="542"/>
      <c r="EQ669" s="542"/>
      <c r="ER669" s="19"/>
    </row>
    <row r="670" spans="139:148" x14ac:dyDescent="0.2">
      <c r="EI670" s="542"/>
      <c r="EJ670" s="542"/>
      <c r="EK670" s="542"/>
      <c r="EL670" s="542"/>
      <c r="EM670" s="542"/>
      <c r="EN670" s="542"/>
      <c r="EO670" s="542"/>
      <c r="EP670" s="542"/>
      <c r="EQ670" s="542"/>
      <c r="ER670" s="19"/>
    </row>
    <row r="671" spans="139:148" x14ac:dyDescent="0.2">
      <c r="EI671" s="542"/>
      <c r="EJ671" s="542"/>
      <c r="EK671" s="542"/>
      <c r="EL671" s="542"/>
      <c r="EM671" s="542"/>
      <c r="EN671" s="542"/>
      <c r="EO671" s="542"/>
      <c r="EP671" s="542"/>
      <c r="EQ671" s="542"/>
      <c r="ER671" s="19"/>
    </row>
    <row r="672" spans="139:148" x14ac:dyDescent="0.2">
      <c r="EI672" s="542"/>
      <c r="EJ672" s="542"/>
      <c r="EK672" s="542"/>
      <c r="EL672" s="542"/>
      <c r="EM672" s="542"/>
      <c r="EN672" s="542"/>
      <c r="EO672" s="542"/>
      <c r="EP672" s="542"/>
      <c r="EQ672" s="542"/>
      <c r="ER672" s="19"/>
    </row>
    <row r="673" spans="139:148" x14ac:dyDescent="0.2">
      <c r="EI673" s="542"/>
      <c r="EJ673" s="542"/>
      <c r="EK673" s="542"/>
      <c r="EL673" s="542"/>
      <c r="EM673" s="542"/>
      <c r="EN673" s="542"/>
      <c r="EO673" s="542"/>
      <c r="EP673" s="542"/>
      <c r="EQ673" s="542"/>
      <c r="ER673" s="19"/>
    </row>
    <row r="674" spans="139:148" x14ac:dyDescent="0.2">
      <c r="EI674" s="542"/>
      <c r="EJ674" s="542"/>
      <c r="EK674" s="542"/>
      <c r="EL674" s="542"/>
      <c r="EM674" s="542"/>
      <c r="EN674" s="542"/>
      <c r="EO674" s="542"/>
      <c r="EP674" s="542"/>
      <c r="EQ674" s="542"/>
      <c r="ER674" s="19"/>
    </row>
    <row r="675" spans="139:148" x14ac:dyDescent="0.2">
      <c r="EI675" s="542"/>
      <c r="EJ675" s="542"/>
      <c r="EK675" s="542"/>
      <c r="EL675" s="542"/>
      <c r="EM675" s="542"/>
      <c r="EN675" s="542"/>
      <c r="EO675" s="542"/>
      <c r="EP675" s="542"/>
      <c r="EQ675" s="542"/>
      <c r="ER675" s="19"/>
    </row>
    <row r="676" spans="139:148" x14ac:dyDescent="0.2">
      <c r="ER676" s="19"/>
    </row>
  </sheetData>
  <sheetProtection password="9376" sheet="1"/>
  <mergeCells count="2">
    <mergeCell ref="A1:C1"/>
    <mergeCell ref="ES1:ET1"/>
  </mergeCells>
  <phoneticPr fontId="0" type="noConversion"/>
  <conditionalFormatting sqref="A276">
    <cfRule type="duplicateValues" dxfId="1" priority="2"/>
  </conditionalFormatting>
  <conditionalFormatting sqref="ES276">
    <cfRule type="duplicateValues" dxfId="0" priority="1"/>
  </conditionalFormatting>
  <hyperlinks>
    <hyperlink ref="EI3:EI489" location="lease_id" display="lease_id"/>
    <hyperlink ref="EI3:EI666" location="lease_id" display="lease_id"/>
    <hyperlink ref="A388:A396" location="start" display="start"/>
    <hyperlink ref="ES3:ES555" location="lease_id" display="lease_id"/>
    <hyperlink ref="A3:A287" location="start" display="start"/>
    <hyperlink ref="ES3:ES431" location="lease_id" display="lease_id"/>
  </hyperlinks>
  <printOptions horizontalCentered="1"/>
  <pageMargins left="0.75" right="0.75" top="1" bottom="1" header="0.5" footer="0.5"/>
  <pageSetup scale="12"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42"/>
  <sheetViews>
    <sheetView zoomScale="80" zoomScaleNormal="80" workbookViewId="0">
      <selection activeCell="E1" sqref="E1"/>
    </sheetView>
  </sheetViews>
  <sheetFormatPr defaultRowHeight="12.75" x14ac:dyDescent="0.2"/>
  <cols>
    <col min="2" max="2" width="34.42578125" customWidth="1"/>
    <col min="5" max="5" width="35.42578125" customWidth="1"/>
    <col min="7" max="7" width="35.28515625" customWidth="1"/>
    <col min="9" max="9" width="35.5703125" customWidth="1"/>
  </cols>
  <sheetData>
    <row r="1" spans="1:10" x14ac:dyDescent="0.2">
      <c r="A1" s="1"/>
      <c r="B1" s="1"/>
      <c r="C1" s="1"/>
      <c r="D1" s="1"/>
      <c r="E1" s="3" t="s">
        <v>163</v>
      </c>
      <c r="F1" s="1"/>
      <c r="G1" s="1"/>
      <c r="H1" s="1"/>
      <c r="I1" s="1"/>
      <c r="J1" s="1"/>
    </row>
    <row r="2" spans="1:10" x14ac:dyDescent="0.2">
      <c r="A2" s="1"/>
      <c r="B2" s="1"/>
      <c r="C2" s="1"/>
      <c r="D2" s="1"/>
      <c r="E2" s="1"/>
      <c r="F2" s="1"/>
      <c r="G2" s="1"/>
      <c r="H2" s="1"/>
      <c r="I2" s="1"/>
      <c r="J2" s="1"/>
    </row>
    <row r="3" spans="1:10" x14ac:dyDescent="0.2">
      <c r="A3" s="1"/>
      <c r="B3" s="1"/>
      <c r="C3" s="1"/>
      <c r="D3" s="1"/>
      <c r="E3" s="1"/>
      <c r="F3" s="1"/>
      <c r="G3" s="1"/>
      <c r="H3" s="1"/>
      <c r="I3" s="1"/>
      <c r="J3" s="1"/>
    </row>
    <row r="4" spans="1:10" x14ac:dyDescent="0.2">
      <c r="A4" s="1"/>
      <c r="B4" s="1"/>
      <c r="C4" s="1"/>
      <c r="D4" s="1"/>
      <c r="E4" s="4" t="s">
        <v>505</v>
      </c>
      <c r="F4" s="5"/>
      <c r="G4" s="4" t="s">
        <v>506</v>
      </c>
      <c r="H4" s="5"/>
      <c r="I4" s="4" t="s">
        <v>507</v>
      </c>
      <c r="J4" s="5"/>
    </row>
    <row r="5" spans="1:10" x14ac:dyDescent="0.2">
      <c r="A5" s="1"/>
      <c r="B5" s="1"/>
      <c r="C5" s="1"/>
      <c r="D5" s="1"/>
      <c r="E5" s="6" t="s">
        <v>162</v>
      </c>
      <c r="F5" s="7">
        <v>54</v>
      </c>
      <c r="G5" s="6" t="s">
        <v>508</v>
      </c>
      <c r="H5" s="7">
        <v>166</v>
      </c>
      <c r="I5" s="6" t="s">
        <v>509</v>
      </c>
      <c r="J5" s="8">
        <v>183</v>
      </c>
    </row>
    <row r="6" spans="1:10" x14ac:dyDescent="0.2">
      <c r="A6" s="1"/>
      <c r="B6" s="1"/>
      <c r="C6" s="1"/>
      <c r="D6" s="1"/>
      <c r="E6" s="9" t="s">
        <v>161</v>
      </c>
      <c r="F6" s="2">
        <v>58</v>
      </c>
      <c r="G6" s="9" t="s">
        <v>510</v>
      </c>
      <c r="H6" s="2">
        <v>167</v>
      </c>
      <c r="I6" s="9" t="s">
        <v>511</v>
      </c>
      <c r="J6" s="10">
        <v>184</v>
      </c>
    </row>
    <row r="7" spans="1:10" x14ac:dyDescent="0.2">
      <c r="A7" s="1"/>
      <c r="B7" s="1"/>
      <c r="C7" s="1"/>
      <c r="D7" s="1"/>
      <c r="E7" s="9" t="s">
        <v>512</v>
      </c>
      <c r="F7" s="2">
        <v>164</v>
      </c>
      <c r="G7" s="9" t="s">
        <v>513</v>
      </c>
      <c r="H7" s="2">
        <v>168</v>
      </c>
      <c r="I7" s="9" t="s">
        <v>514</v>
      </c>
      <c r="J7" s="10">
        <v>185</v>
      </c>
    </row>
    <row r="8" spans="1:10" x14ac:dyDescent="0.2">
      <c r="A8" s="1"/>
      <c r="B8" s="1"/>
      <c r="C8" s="1"/>
      <c r="D8" s="1"/>
      <c r="E8" s="9" t="s">
        <v>515</v>
      </c>
      <c r="F8" s="2">
        <v>165</v>
      </c>
      <c r="G8" s="9" t="s">
        <v>516</v>
      </c>
      <c r="H8" s="2">
        <v>169</v>
      </c>
      <c r="I8" s="9" t="s">
        <v>517</v>
      </c>
      <c r="J8" s="10">
        <v>63</v>
      </c>
    </row>
    <row r="9" spans="1:10" x14ac:dyDescent="0.2">
      <c r="A9" s="1"/>
      <c r="B9" s="1"/>
      <c r="C9" s="1"/>
      <c r="D9" s="1"/>
      <c r="E9" s="11" t="s">
        <v>518</v>
      </c>
      <c r="F9" s="12">
        <v>120</v>
      </c>
      <c r="G9" s="9" t="s">
        <v>519</v>
      </c>
      <c r="H9" s="2">
        <v>123</v>
      </c>
      <c r="I9" s="9" t="s">
        <v>520</v>
      </c>
      <c r="J9" s="10">
        <v>64</v>
      </c>
    </row>
    <row r="10" spans="1:10" x14ac:dyDescent="0.2">
      <c r="A10" s="1"/>
      <c r="B10" s="4" t="s">
        <v>521</v>
      </c>
      <c r="C10" s="13"/>
      <c r="D10" s="1"/>
      <c r="E10" s="1"/>
      <c r="F10" s="1"/>
      <c r="G10" s="11" t="s">
        <v>522</v>
      </c>
      <c r="H10" s="12">
        <v>170</v>
      </c>
      <c r="I10" s="9" t="s">
        <v>523</v>
      </c>
      <c r="J10" s="10">
        <v>53</v>
      </c>
    </row>
    <row r="11" spans="1:10" x14ac:dyDescent="0.2">
      <c r="A11" s="1"/>
      <c r="B11" s="1" t="s">
        <v>524</v>
      </c>
      <c r="C11" s="1">
        <v>200</v>
      </c>
      <c r="D11" s="1"/>
      <c r="E11" s="1"/>
      <c r="F11" s="1"/>
      <c r="G11" s="1"/>
      <c r="H11" s="1"/>
      <c r="I11" s="9" t="s">
        <v>525</v>
      </c>
      <c r="J11" s="10">
        <v>186</v>
      </c>
    </row>
    <row r="12" spans="1:10" x14ac:dyDescent="0.2">
      <c r="A12" s="1"/>
      <c r="B12" s="1" t="s">
        <v>526</v>
      </c>
      <c r="C12" s="1">
        <v>201</v>
      </c>
      <c r="D12" s="1"/>
      <c r="E12" s="1"/>
      <c r="F12" s="1"/>
      <c r="G12" s="1"/>
      <c r="H12" s="1"/>
      <c r="I12" s="9" t="s">
        <v>180</v>
      </c>
      <c r="J12" s="10">
        <v>57</v>
      </c>
    </row>
    <row r="13" spans="1:10" x14ac:dyDescent="0.2">
      <c r="A13" s="1"/>
      <c r="B13" s="1"/>
      <c r="C13" s="1"/>
      <c r="D13" s="1"/>
      <c r="E13" s="1"/>
      <c r="F13" s="1"/>
      <c r="G13" s="1"/>
      <c r="H13" s="1"/>
      <c r="I13" s="9" t="s">
        <v>527</v>
      </c>
      <c r="J13" s="10">
        <v>187</v>
      </c>
    </row>
    <row r="14" spans="1:10" x14ac:dyDescent="0.2">
      <c r="A14" s="1"/>
      <c r="B14" s="4" t="s">
        <v>528</v>
      </c>
      <c r="C14" s="13"/>
      <c r="D14" s="1"/>
      <c r="E14" s="1"/>
      <c r="F14" s="1"/>
      <c r="G14" s="4" t="s">
        <v>529</v>
      </c>
      <c r="H14" s="14"/>
      <c r="I14" s="9" t="s">
        <v>530</v>
      </c>
      <c r="J14" s="10">
        <v>188</v>
      </c>
    </row>
    <row r="15" spans="1:10" x14ac:dyDescent="0.2">
      <c r="A15" s="1"/>
      <c r="B15" s="1" t="s">
        <v>531</v>
      </c>
      <c r="C15" s="1">
        <v>55</v>
      </c>
      <c r="D15" s="1"/>
      <c r="E15" s="1"/>
      <c r="F15" s="1"/>
      <c r="G15" s="6" t="s">
        <v>532</v>
      </c>
      <c r="H15" s="7">
        <v>171</v>
      </c>
      <c r="I15" s="9" t="s">
        <v>533</v>
      </c>
      <c r="J15" s="10">
        <v>189</v>
      </c>
    </row>
    <row r="16" spans="1:10" x14ac:dyDescent="0.2">
      <c r="A16" s="1"/>
      <c r="B16" s="1" t="s">
        <v>534</v>
      </c>
      <c r="C16" s="1">
        <v>203</v>
      </c>
      <c r="D16" s="1"/>
      <c r="E16" s="1"/>
      <c r="F16" s="1"/>
      <c r="G16" s="9" t="s">
        <v>535</v>
      </c>
      <c r="H16" s="2">
        <v>92</v>
      </c>
      <c r="I16" s="9" t="s">
        <v>536</v>
      </c>
      <c r="J16" s="10">
        <v>59</v>
      </c>
    </row>
    <row r="17" spans="1:10" x14ac:dyDescent="0.2">
      <c r="A17" s="1"/>
      <c r="B17" s="1"/>
      <c r="C17" s="1"/>
      <c r="D17" s="1"/>
      <c r="E17" s="1"/>
      <c r="F17" s="1"/>
      <c r="G17" s="9" t="s">
        <v>537</v>
      </c>
      <c r="H17" s="2">
        <v>93</v>
      </c>
      <c r="I17" s="9" t="s">
        <v>538</v>
      </c>
      <c r="J17" s="10">
        <v>60</v>
      </c>
    </row>
    <row r="18" spans="1:10" x14ac:dyDescent="0.2">
      <c r="A18" s="1"/>
      <c r="B18" s="4" t="s">
        <v>539</v>
      </c>
      <c r="C18" s="13"/>
      <c r="D18" s="1"/>
      <c r="E18" s="1"/>
      <c r="F18" s="1"/>
      <c r="G18" s="9" t="s">
        <v>540</v>
      </c>
      <c r="H18" s="2">
        <v>95</v>
      </c>
      <c r="I18" s="9" t="s">
        <v>541</v>
      </c>
      <c r="J18" s="10">
        <v>190</v>
      </c>
    </row>
    <row r="19" spans="1:10" x14ac:dyDescent="0.2">
      <c r="A19" s="1"/>
      <c r="B19" s="1" t="s">
        <v>542</v>
      </c>
      <c r="C19" s="1">
        <v>204</v>
      </c>
      <c r="D19" s="1"/>
      <c r="E19" s="1"/>
      <c r="F19" s="1"/>
      <c r="G19" s="9" t="s">
        <v>543</v>
      </c>
      <c r="H19" s="2">
        <v>94</v>
      </c>
      <c r="I19" s="9" t="s">
        <v>544</v>
      </c>
      <c r="J19" s="10">
        <v>191</v>
      </c>
    </row>
    <row r="20" spans="1:10" x14ac:dyDescent="0.2">
      <c r="A20" s="1"/>
      <c r="B20" s="1" t="s">
        <v>545</v>
      </c>
      <c r="C20" s="1">
        <v>205</v>
      </c>
      <c r="D20" s="1"/>
      <c r="E20" s="1"/>
      <c r="F20" s="1"/>
      <c r="G20" s="9" t="s">
        <v>546</v>
      </c>
      <c r="H20" s="2">
        <v>172</v>
      </c>
      <c r="I20" s="9" t="s">
        <v>176</v>
      </c>
      <c r="J20" s="10">
        <v>89</v>
      </c>
    </row>
    <row r="21" spans="1:10" x14ac:dyDescent="0.2">
      <c r="A21" s="1"/>
      <c r="B21" s="1" t="s">
        <v>547</v>
      </c>
      <c r="C21" s="1">
        <v>206</v>
      </c>
      <c r="D21" s="1"/>
      <c r="E21" s="1"/>
      <c r="F21" s="1"/>
      <c r="G21" s="9" t="s">
        <v>548</v>
      </c>
      <c r="H21" s="2">
        <v>56</v>
      </c>
      <c r="I21" s="9" t="s">
        <v>549</v>
      </c>
      <c r="J21" s="10">
        <v>192</v>
      </c>
    </row>
    <row r="22" spans="1:10" x14ac:dyDescent="0.2">
      <c r="A22" s="1"/>
      <c r="B22" s="1" t="s">
        <v>550</v>
      </c>
      <c r="C22" s="1">
        <v>207</v>
      </c>
      <c r="D22" s="1"/>
      <c r="E22" s="1"/>
      <c r="F22" s="1"/>
      <c r="G22" s="9" t="s">
        <v>551</v>
      </c>
      <c r="H22" s="2">
        <v>108</v>
      </c>
      <c r="I22" s="9" t="s">
        <v>552</v>
      </c>
      <c r="J22" s="10">
        <v>67</v>
      </c>
    </row>
    <row r="23" spans="1:10" x14ac:dyDescent="0.2">
      <c r="A23" s="1"/>
      <c r="B23" s="1"/>
      <c r="C23" s="1"/>
      <c r="D23" s="1"/>
      <c r="E23" s="1"/>
      <c r="F23" s="1"/>
      <c r="G23" s="9" t="s">
        <v>553</v>
      </c>
      <c r="H23" s="2">
        <v>97</v>
      </c>
      <c r="I23" s="9" t="s">
        <v>554</v>
      </c>
      <c r="J23" s="10">
        <v>68</v>
      </c>
    </row>
    <row r="24" spans="1:10" x14ac:dyDescent="0.2">
      <c r="A24" s="1"/>
      <c r="B24" s="1"/>
      <c r="C24" s="1"/>
      <c r="D24" s="1"/>
      <c r="E24" s="1"/>
      <c r="F24" s="1"/>
      <c r="G24" s="9" t="s">
        <v>555</v>
      </c>
      <c r="H24" s="2">
        <v>173</v>
      </c>
      <c r="I24" s="9" t="s">
        <v>556</v>
      </c>
      <c r="J24" s="10">
        <v>61</v>
      </c>
    </row>
    <row r="25" spans="1:10" x14ac:dyDescent="0.2">
      <c r="A25" s="1"/>
      <c r="B25" s="1"/>
      <c r="C25" s="1"/>
      <c r="D25" s="1"/>
      <c r="E25" s="1"/>
      <c r="F25" s="1"/>
      <c r="G25" s="9" t="s">
        <v>557</v>
      </c>
      <c r="H25" s="2">
        <v>98</v>
      </c>
      <c r="I25" s="9" t="s">
        <v>558</v>
      </c>
      <c r="J25" s="10">
        <v>62</v>
      </c>
    </row>
    <row r="26" spans="1:10" x14ac:dyDescent="0.2">
      <c r="A26" s="1"/>
      <c r="B26" s="4" t="s">
        <v>559</v>
      </c>
      <c r="C26" s="13"/>
      <c r="D26" s="1"/>
      <c r="E26" s="1"/>
      <c r="F26" s="1"/>
      <c r="G26" s="9" t="s">
        <v>560</v>
      </c>
      <c r="H26" s="2">
        <v>174</v>
      </c>
      <c r="I26" s="9" t="s">
        <v>561</v>
      </c>
      <c r="J26" s="10">
        <v>102</v>
      </c>
    </row>
    <row r="27" spans="1:10" x14ac:dyDescent="0.2">
      <c r="A27" s="1"/>
      <c r="B27" s="1" t="s">
        <v>562</v>
      </c>
      <c r="C27" s="1">
        <v>208</v>
      </c>
      <c r="D27" s="1"/>
      <c r="E27" s="1"/>
      <c r="F27" s="1"/>
      <c r="G27" s="9" t="s">
        <v>563</v>
      </c>
      <c r="H27" s="2">
        <v>100</v>
      </c>
      <c r="I27" s="9" t="s">
        <v>564</v>
      </c>
      <c r="J27" s="10">
        <v>193</v>
      </c>
    </row>
    <row r="28" spans="1:10" x14ac:dyDescent="0.2">
      <c r="A28" s="1"/>
      <c r="B28" s="1" t="s">
        <v>565</v>
      </c>
      <c r="C28" s="1">
        <v>209</v>
      </c>
      <c r="D28" s="1"/>
      <c r="E28" s="1"/>
      <c r="F28" s="1"/>
      <c r="G28" s="9" t="s">
        <v>566</v>
      </c>
      <c r="H28" s="2">
        <v>175</v>
      </c>
      <c r="I28" s="9" t="s">
        <v>567</v>
      </c>
      <c r="J28" s="10">
        <v>65</v>
      </c>
    </row>
    <row r="29" spans="1:10" x14ac:dyDescent="0.2">
      <c r="A29" s="1"/>
      <c r="B29" s="1"/>
      <c r="C29" s="1"/>
      <c r="D29" s="1"/>
      <c r="E29" s="1"/>
      <c r="F29" s="1"/>
      <c r="G29" s="9" t="s">
        <v>568</v>
      </c>
      <c r="H29" s="2">
        <v>101</v>
      </c>
      <c r="I29" s="9" t="s">
        <v>569</v>
      </c>
      <c r="J29" s="10">
        <v>66</v>
      </c>
    </row>
    <row r="30" spans="1:10" x14ac:dyDescent="0.2">
      <c r="A30" s="1"/>
      <c r="B30" s="4" t="s">
        <v>570</v>
      </c>
      <c r="C30" s="13"/>
      <c r="D30" s="1"/>
      <c r="E30" s="1"/>
      <c r="F30" s="1"/>
      <c r="G30" s="9" t="s">
        <v>571</v>
      </c>
      <c r="H30" s="2">
        <v>176</v>
      </c>
      <c r="I30" s="9" t="s">
        <v>572</v>
      </c>
      <c r="J30" s="10">
        <v>69</v>
      </c>
    </row>
    <row r="31" spans="1:10" x14ac:dyDescent="0.2">
      <c r="A31" s="1"/>
      <c r="B31" s="1" t="s">
        <v>573</v>
      </c>
      <c r="C31" s="1">
        <v>210</v>
      </c>
      <c r="D31" s="1"/>
      <c r="E31" s="1"/>
      <c r="F31" s="1"/>
      <c r="G31" s="9" t="s">
        <v>574</v>
      </c>
      <c r="H31" s="2">
        <v>105</v>
      </c>
      <c r="I31" s="11" t="s">
        <v>575</v>
      </c>
      <c r="J31" s="15">
        <v>70</v>
      </c>
    </row>
    <row r="32" spans="1:10" x14ac:dyDescent="0.2">
      <c r="A32" s="1"/>
      <c r="B32" s="1" t="s">
        <v>576</v>
      </c>
      <c r="C32" s="1">
        <v>211</v>
      </c>
      <c r="D32" s="1"/>
      <c r="E32" s="1"/>
      <c r="F32" s="1"/>
      <c r="G32" s="9" t="s">
        <v>577</v>
      </c>
      <c r="H32" s="10">
        <v>177</v>
      </c>
      <c r="I32" s="1"/>
      <c r="J32" s="1"/>
    </row>
    <row r="33" spans="1:10" x14ac:dyDescent="0.2">
      <c r="A33" s="1"/>
      <c r="B33" s="1"/>
      <c r="C33" s="1"/>
      <c r="D33" s="1"/>
      <c r="E33" s="1"/>
      <c r="F33" s="1"/>
      <c r="G33" s="9" t="s">
        <v>578</v>
      </c>
      <c r="H33" s="10">
        <v>178</v>
      </c>
      <c r="I33" s="1"/>
      <c r="J33" s="1"/>
    </row>
    <row r="34" spans="1:10" x14ac:dyDescent="0.2">
      <c r="A34" s="1"/>
      <c r="B34" s="1"/>
      <c r="C34" s="1"/>
      <c r="D34" s="1"/>
      <c r="E34" s="1"/>
      <c r="F34" s="1"/>
      <c r="G34" s="9" t="s">
        <v>579</v>
      </c>
      <c r="H34" s="10">
        <v>179</v>
      </c>
      <c r="I34" s="1"/>
      <c r="J34" s="1"/>
    </row>
    <row r="35" spans="1:10" x14ac:dyDescent="0.2">
      <c r="A35" s="1"/>
      <c r="B35" s="1"/>
      <c r="C35" s="1"/>
      <c r="D35" s="1"/>
      <c r="E35" s="1"/>
      <c r="F35" s="1"/>
      <c r="G35" s="9" t="s">
        <v>580</v>
      </c>
      <c r="H35" s="10">
        <v>180</v>
      </c>
      <c r="I35" s="1"/>
      <c r="J35" s="1"/>
    </row>
    <row r="36" spans="1:10" x14ac:dyDescent="0.2">
      <c r="A36" s="1"/>
      <c r="B36" s="1"/>
      <c r="C36" s="1"/>
      <c r="D36" s="1"/>
      <c r="E36" s="1"/>
      <c r="F36" s="1"/>
      <c r="G36" s="9" t="s">
        <v>581</v>
      </c>
      <c r="H36" s="10">
        <v>181</v>
      </c>
      <c r="I36" s="1"/>
      <c r="J36" s="1"/>
    </row>
    <row r="37" spans="1:10" x14ac:dyDescent="0.2">
      <c r="A37" s="1"/>
      <c r="B37" s="1"/>
      <c r="C37" s="1"/>
      <c r="D37" s="1"/>
      <c r="E37" s="1"/>
      <c r="F37" s="1"/>
      <c r="G37" s="9" t="s">
        <v>582</v>
      </c>
      <c r="H37" s="10">
        <v>122</v>
      </c>
      <c r="I37" s="1"/>
      <c r="J37" s="1"/>
    </row>
    <row r="38" spans="1:10" x14ac:dyDescent="0.2">
      <c r="A38" s="1"/>
      <c r="B38" s="1"/>
      <c r="C38" s="1"/>
      <c r="D38" s="1"/>
      <c r="E38" s="1"/>
      <c r="F38" s="1"/>
      <c r="G38" s="9" t="s">
        <v>583</v>
      </c>
      <c r="H38" s="10">
        <v>110</v>
      </c>
      <c r="I38" s="1"/>
      <c r="J38" s="1"/>
    </row>
    <row r="39" spans="1:10" x14ac:dyDescent="0.2">
      <c r="A39" s="1"/>
      <c r="B39" s="1"/>
      <c r="C39" s="1"/>
      <c r="D39" s="1"/>
      <c r="E39" s="1"/>
      <c r="F39" s="1"/>
      <c r="G39" s="9" t="s">
        <v>584</v>
      </c>
      <c r="H39" s="10">
        <v>103</v>
      </c>
      <c r="I39" s="1"/>
      <c r="J39" s="1"/>
    </row>
    <row r="40" spans="1:10" x14ac:dyDescent="0.2">
      <c r="A40" s="1"/>
      <c r="B40" s="1"/>
      <c r="C40" s="1"/>
      <c r="D40" s="1"/>
      <c r="E40" s="1"/>
      <c r="F40" s="1"/>
      <c r="G40" s="9" t="s">
        <v>585</v>
      </c>
      <c r="H40" s="10">
        <v>104</v>
      </c>
      <c r="I40" s="1"/>
      <c r="J40" s="1"/>
    </row>
    <row r="41" spans="1:10" x14ac:dyDescent="0.2">
      <c r="A41" s="1"/>
      <c r="B41" s="1"/>
      <c r="C41" s="1"/>
      <c r="D41" s="1"/>
      <c r="E41" s="1"/>
      <c r="F41" s="1"/>
      <c r="G41" s="11" t="s">
        <v>586</v>
      </c>
      <c r="H41" s="15">
        <v>182</v>
      </c>
      <c r="I41" s="1"/>
      <c r="J41" s="1"/>
    </row>
    <row r="42" spans="1:10" x14ac:dyDescent="0.2">
      <c r="A42" s="1"/>
      <c r="B42" s="1"/>
      <c r="C42" s="1"/>
      <c r="D42" s="1"/>
      <c r="E42" s="1"/>
      <c r="F42" s="1"/>
      <c r="G42" s="1"/>
      <c r="H42" s="1"/>
      <c r="I42" s="1"/>
      <c r="J42" s="1"/>
    </row>
  </sheetData>
  <sheetProtection sheet="1"/>
  <pageMargins left="0.75" right="0.75" top="1" bottom="1" header="0.5" footer="0.5"/>
  <pageSetup scale="46"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7"/>
  <sheetViews>
    <sheetView workbookViewId="0">
      <selection activeCell="B1" sqref="B1:C1"/>
    </sheetView>
  </sheetViews>
  <sheetFormatPr defaultColWidth="8.85546875" defaultRowHeight="12.75" x14ac:dyDescent="0.2"/>
  <cols>
    <col min="1" max="1" width="4.5703125" style="93" customWidth="1"/>
    <col min="2" max="2" width="8.85546875" style="92"/>
    <col min="3" max="3" width="23.42578125" style="93" customWidth="1"/>
    <col min="4" max="5" width="10.42578125" style="93" hidden="1" customWidth="1"/>
    <col min="6" max="7" width="11.7109375" style="93" customWidth="1"/>
    <col min="8" max="8" width="11.42578125" style="93" customWidth="1"/>
    <col min="9" max="9" width="8.42578125" style="93" customWidth="1"/>
    <col min="10" max="16384" width="8.85546875" style="93"/>
  </cols>
  <sheetData>
    <row r="1" spans="1:9" ht="26.45" customHeight="1" thickBot="1" x14ac:dyDescent="0.25">
      <c r="A1" s="92" t="s">
        <v>22</v>
      </c>
      <c r="B1" s="638" t="str">
        <f>CONCATENATE("HCCIS ID: ",'Demog Contact'!D5)</f>
        <v xml:space="preserve">HCCIS ID: </v>
      </c>
      <c r="C1" s="638"/>
      <c r="D1" s="93" t="s">
        <v>303</v>
      </c>
      <c r="E1" s="93" t="s">
        <v>302</v>
      </c>
      <c r="F1" s="94" t="s">
        <v>83</v>
      </c>
      <c r="G1" s="95" t="s">
        <v>480</v>
      </c>
      <c r="H1" s="95" t="s">
        <v>481</v>
      </c>
      <c r="I1" s="96" t="s">
        <v>163</v>
      </c>
    </row>
    <row r="2" spans="1:9" x14ac:dyDescent="0.2">
      <c r="B2" s="635" t="s">
        <v>444</v>
      </c>
      <c r="C2" s="636"/>
      <c r="D2" s="636"/>
      <c r="E2" s="636"/>
      <c r="F2" s="636"/>
      <c r="G2" s="636"/>
      <c r="H2" s="637"/>
    </row>
    <row r="3" spans="1:9" x14ac:dyDescent="0.2">
      <c r="A3" s="93">
        <v>108</v>
      </c>
      <c r="B3" s="97" t="s">
        <v>447</v>
      </c>
      <c r="C3" s="98" t="s">
        <v>384</v>
      </c>
      <c r="D3" s="99" t="e">
        <f>AccredExpl!C7</f>
        <v>#N/A</v>
      </c>
      <c r="E3" s="99" t="e">
        <f>'Accred (2)'!C7</f>
        <v>#N/A</v>
      </c>
      <c r="F3" s="99" t="e">
        <f>IF(EXACT(D3,E3),"",D3)</f>
        <v>#N/A</v>
      </c>
      <c r="G3" s="100">
        <v>125</v>
      </c>
      <c r="H3" s="101">
        <v>128</v>
      </c>
    </row>
    <row r="4" spans="1:9" x14ac:dyDescent="0.2">
      <c r="A4" s="93">
        <v>109</v>
      </c>
      <c r="B4" s="97" t="s">
        <v>447</v>
      </c>
      <c r="C4" s="98" t="s">
        <v>445</v>
      </c>
      <c r="D4" s="104" t="e">
        <f>AccredExpl!C8</f>
        <v>#N/A</v>
      </c>
      <c r="E4" s="104" t="e">
        <f>'Accred (2)'!C8</f>
        <v>#N/A</v>
      </c>
      <c r="F4" s="102" t="e">
        <f>IF(EXACT(D4,E4),"",D4)</f>
        <v>#N/A</v>
      </c>
      <c r="G4" s="100"/>
      <c r="H4" s="101"/>
    </row>
    <row r="5" spans="1:9" x14ac:dyDescent="0.2">
      <c r="A5" s="93">
        <v>110</v>
      </c>
      <c r="B5" s="97" t="s">
        <v>447</v>
      </c>
      <c r="C5" s="98" t="s">
        <v>385</v>
      </c>
      <c r="D5" s="99" t="e">
        <f>AccredExpl!D7</f>
        <v>#N/A</v>
      </c>
      <c r="E5" s="99" t="e">
        <f>'Accred (2)'!D7</f>
        <v>#N/A</v>
      </c>
      <c r="F5" s="100" t="e">
        <f t="shared" ref="F5:F47" si="0">IF(EXACT(D5,E5),"",D5)</f>
        <v>#N/A</v>
      </c>
      <c r="G5" s="100">
        <v>125</v>
      </c>
      <c r="H5" s="101">
        <v>131</v>
      </c>
    </row>
    <row r="6" spans="1:9" x14ac:dyDescent="0.2">
      <c r="A6" s="93">
        <v>111</v>
      </c>
      <c r="B6" s="97" t="s">
        <v>447</v>
      </c>
      <c r="C6" s="98" t="s">
        <v>446</v>
      </c>
      <c r="D6" s="104" t="e">
        <f>AccredExpl!D8</f>
        <v>#N/A</v>
      </c>
      <c r="E6" s="104" t="e">
        <f>'Accred (2)'!D8</f>
        <v>#N/A</v>
      </c>
      <c r="F6" s="102" t="e">
        <f t="shared" si="0"/>
        <v>#N/A</v>
      </c>
      <c r="G6" s="100"/>
      <c r="H6" s="101"/>
    </row>
    <row r="7" spans="1:9" x14ac:dyDescent="0.2">
      <c r="A7" s="93">
        <v>112</v>
      </c>
      <c r="B7" s="97" t="s">
        <v>447</v>
      </c>
      <c r="C7" s="98" t="s">
        <v>382</v>
      </c>
      <c r="D7" s="99" t="e">
        <f>AccredExpl!E7</f>
        <v>#N/A</v>
      </c>
      <c r="E7" s="99" t="e">
        <f>'Accred (2)'!E7</f>
        <v>#N/A</v>
      </c>
      <c r="F7" s="100" t="e">
        <f t="shared" si="0"/>
        <v>#N/A</v>
      </c>
      <c r="G7" s="100">
        <v>125</v>
      </c>
      <c r="H7" s="101">
        <v>129</v>
      </c>
    </row>
    <row r="8" spans="1:9" x14ac:dyDescent="0.2">
      <c r="A8" s="93">
        <v>113</v>
      </c>
      <c r="B8" s="97" t="s">
        <v>447</v>
      </c>
      <c r="C8" s="98" t="s">
        <v>448</v>
      </c>
      <c r="D8" s="104" t="e">
        <f>AccredExpl!E8</f>
        <v>#N/A</v>
      </c>
      <c r="E8" s="104" t="e">
        <f>'Accred (2)'!E8</f>
        <v>#N/A</v>
      </c>
      <c r="F8" s="102" t="e">
        <f t="shared" si="0"/>
        <v>#N/A</v>
      </c>
      <c r="G8" s="103"/>
      <c r="H8" s="101"/>
    </row>
    <row r="9" spans="1:9" x14ac:dyDescent="0.2">
      <c r="A9" s="93">
        <v>114</v>
      </c>
      <c r="B9" s="97" t="s">
        <v>447</v>
      </c>
      <c r="C9" s="98" t="s">
        <v>386</v>
      </c>
      <c r="D9" s="99" t="e">
        <f>AccredExpl!F7</f>
        <v>#N/A</v>
      </c>
      <c r="E9" s="99" t="e">
        <f>'Accred (2)'!F7</f>
        <v>#N/A</v>
      </c>
      <c r="F9" s="100" t="e">
        <f t="shared" si="0"/>
        <v>#N/A</v>
      </c>
      <c r="G9" s="100">
        <v>125</v>
      </c>
      <c r="H9" s="101">
        <v>130</v>
      </c>
    </row>
    <row r="10" spans="1:9" x14ac:dyDescent="0.2">
      <c r="A10" s="93">
        <v>115</v>
      </c>
      <c r="B10" s="97" t="s">
        <v>447</v>
      </c>
      <c r="C10" s="98" t="s">
        <v>449</v>
      </c>
      <c r="D10" s="104" t="e">
        <f>AccredExpl!F8</f>
        <v>#N/A</v>
      </c>
      <c r="E10" s="104" t="e">
        <f>'Accred (2)'!F8</f>
        <v>#N/A</v>
      </c>
      <c r="F10" s="102" t="e">
        <f t="shared" si="0"/>
        <v>#N/A</v>
      </c>
      <c r="G10" s="103"/>
      <c r="H10" s="101"/>
    </row>
    <row r="11" spans="1:9" x14ac:dyDescent="0.2">
      <c r="B11" s="97"/>
      <c r="C11" s="98"/>
      <c r="D11" s="99"/>
      <c r="E11" s="99"/>
      <c r="F11" s="100"/>
      <c r="G11" s="100"/>
      <c r="H11" s="101"/>
    </row>
    <row r="12" spans="1:9" x14ac:dyDescent="0.2">
      <c r="A12" s="93">
        <v>116</v>
      </c>
      <c r="B12" s="97" t="s">
        <v>450</v>
      </c>
      <c r="C12" s="98" t="s">
        <v>460</v>
      </c>
      <c r="D12" s="99" t="e">
        <f>AccredExpl!C10</f>
        <v>#N/A</v>
      </c>
      <c r="E12" s="99" t="e">
        <f>'Accred (2)'!C10</f>
        <v>#N/A</v>
      </c>
      <c r="F12" s="100" t="e">
        <f t="shared" si="0"/>
        <v>#N/A</v>
      </c>
      <c r="G12" s="100">
        <v>126</v>
      </c>
      <c r="H12" s="101">
        <v>132</v>
      </c>
    </row>
    <row r="13" spans="1:9" x14ac:dyDescent="0.2">
      <c r="A13" s="93">
        <v>117</v>
      </c>
      <c r="B13" s="97" t="s">
        <v>450</v>
      </c>
      <c r="C13" s="98" t="s">
        <v>461</v>
      </c>
      <c r="D13" s="104" t="e">
        <f>AccredExpl!C11</f>
        <v>#N/A</v>
      </c>
      <c r="E13" s="104" t="e">
        <f>'Accred (2)'!C11</f>
        <v>#N/A</v>
      </c>
      <c r="F13" s="102" t="e">
        <f t="shared" si="0"/>
        <v>#N/A</v>
      </c>
      <c r="G13" s="103"/>
      <c r="H13" s="101"/>
    </row>
    <row r="14" spans="1:9" x14ac:dyDescent="0.2">
      <c r="A14" s="93">
        <v>118</v>
      </c>
      <c r="B14" s="97" t="s">
        <v>450</v>
      </c>
      <c r="C14" s="98" t="s">
        <v>462</v>
      </c>
      <c r="D14" s="99" t="e">
        <f>AccredExpl!D10</f>
        <v>#N/A</v>
      </c>
      <c r="E14" s="99" t="e">
        <f>'Accred (2)'!D10</f>
        <v>#N/A</v>
      </c>
      <c r="F14" s="100" t="e">
        <f t="shared" si="0"/>
        <v>#N/A</v>
      </c>
      <c r="G14" s="103">
        <v>126</v>
      </c>
      <c r="H14" s="101">
        <v>133</v>
      </c>
    </row>
    <row r="15" spans="1:9" x14ac:dyDescent="0.2">
      <c r="A15" s="93">
        <v>119</v>
      </c>
      <c r="B15" s="97" t="s">
        <v>450</v>
      </c>
      <c r="C15" s="98" t="s">
        <v>463</v>
      </c>
      <c r="D15" s="104" t="e">
        <f>AccredExpl!D11</f>
        <v>#N/A</v>
      </c>
      <c r="E15" s="104" t="e">
        <f>'Accred (2)'!D11</f>
        <v>#N/A</v>
      </c>
      <c r="F15" s="102" t="e">
        <f t="shared" si="0"/>
        <v>#N/A</v>
      </c>
      <c r="G15" s="103"/>
      <c r="H15" s="101"/>
    </row>
    <row r="16" spans="1:9" x14ac:dyDescent="0.2">
      <c r="A16" s="93">
        <v>120</v>
      </c>
      <c r="B16" s="97" t="s">
        <v>450</v>
      </c>
      <c r="C16" s="98" t="s">
        <v>464</v>
      </c>
      <c r="D16" s="99" t="e">
        <f>AccredExpl!E10</f>
        <v>#N/A</v>
      </c>
      <c r="E16" s="99" t="e">
        <f>'Accred (2)'!E10</f>
        <v>#N/A</v>
      </c>
      <c r="F16" s="100" t="e">
        <f t="shared" si="0"/>
        <v>#N/A</v>
      </c>
      <c r="G16" s="103">
        <v>126</v>
      </c>
      <c r="H16" s="101">
        <v>134</v>
      </c>
    </row>
    <row r="17" spans="1:8" x14ac:dyDescent="0.2">
      <c r="A17" s="93">
        <v>121</v>
      </c>
      <c r="B17" s="97" t="s">
        <v>450</v>
      </c>
      <c r="C17" s="98" t="s">
        <v>465</v>
      </c>
      <c r="D17" s="104" t="e">
        <f>AccredExpl!E11</f>
        <v>#N/A</v>
      </c>
      <c r="E17" s="104" t="e">
        <f>'Accred (2)'!E11</f>
        <v>#N/A</v>
      </c>
      <c r="F17" s="102" t="e">
        <f t="shared" si="0"/>
        <v>#N/A</v>
      </c>
      <c r="G17" s="103"/>
      <c r="H17" s="101"/>
    </row>
    <row r="18" spans="1:8" x14ac:dyDescent="0.2">
      <c r="A18" s="561" t="s">
        <v>1980</v>
      </c>
      <c r="B18" s="97" t="s">
        <v>450</v>
      </c>
      <c r="C18" s="98" t="s">
        <v>503</v>
      </c>
      <c r="D18" s="99">
        <f>AccredExpl!F10</f>
        <v>0</v>
      </c>
      <c r="E18" s="99">
        <f>'Accred (2)'!F10</f>
        <v>0</v>
      </c>
      <c r="F18" s="100" t="str">
        <f t="shared" si="0"/>
        <v/>
      </c>
      <c r="G18" s="103">
        <v>126</v>
      </c>
      <c r="H18" s="101">
        <v>146</v>
      </c>
    </row>
    <row r="19" spans="1:8" x14ac:dyDescent="0.2">
      <c r="A19" s="561" t="s">
        <v>1980</v>
      </c>
      <c r="B19" s="97" t="s">
        <v>450</v>
      </c>
      <c r="C19" s="98" t="s">
        <v>504</v>
      </c>
      <c r="D19" s="104">
        <f>AccredExpl!F11</f>
        <v>0</v>
      </c>
      <c r="E19" s="104">
        <f>'Accred (2)'!F11</f>
        <v>0</v>
      </c>
      <c r="F19" s="104" t="str">
        <f t="shared" si="0"/>
        <v/>
      </c>
      <c r="G19" s="103"/>
      <c r="H19" s="101"/>
    </row>
    <row r="20" spans="1:8" x14ac:dyDescent="0.2">
      <c r="B20" s="97"/>
      <c r="C20" s="98"/>
      <c r="D20" s="99"/>
      <c r="E20" s="99"/>
      <c r="F20" s="100"/>
      <c r="G20" s="100"/>
      <c r="H20" s="101"/>
    </row>
    <row r="21" spans="1:8" x14ac:dyDescent="0.2">
      <c r="A21" s="93">
        <v>140</v>
      </c>
      <c r="B21" s="97" t="s">
        <v>1971</v>
      </c>
      <c r="C21" s="98" t="s">
        <v>1972</v>
      </c>
      <c r="D21" s="99" t="e">
        <f>AccredExpl!C13</f>
        <v>#N/A</v>
      </c>
      <c r="E21" s="99" t="e">
        <f>'Accred (2)'!C13</f>
        <v>#N/A</v>
      </c>
      <c r="F21" s="99" t="e">
        <f>IF(EXACT(D21,E21),"",D21)</f>
        <v>#N/A</v>
      </c>
      <c r="G21" s="100">
        <v>223</v>
      </c>
      <c r="H21" s="101">
        <v>215</v>
      </c>
    </row>
    <row r="22" spans="1:8" x14ac:dyDescent="0.2">
      <c r="A22" s="93">
        <v>141</v>
      </c>
      <c r="B22" s="97" t="s">
        <v>1971</v>
      </c>
      <c r="C22" s="98" t="s">
        <v>1973</v>
      </c>
      <c r="D22" s="104" t="e">
        <f>AccredExpl!C14</f>
        <v>#N/A</v>
      </c>
      <c r="E22" s="104" t="e">
        <f>'Accred (2)'!C14</f>
        <v>#N/A</v>
      </c>
      <c r="F22" s="102" t="e">
        <f>IF(EXACT(D22,E22),"",D22)</f>
        <v>#N/A</v>
      </c>
      <c r="G22" s="100"/>
      <c r="H22" s="101"/>
    </row>
    <row r="23" spans="1:8" x14ac:dyDescent="0.2">
      <c r="A23" s="93">
        <v>142</v>
      </c>
      <c r="B23" s="97" t="s">
        <v>1971</v>
      </c>
      <c r="C23" s="98" t="s">
        <v>1974</v>
      </c>
      <c r="D23" s="99" t="e">
        <f>AccredExpl!D13</f>
        <v>#N/A</v>
      </c>
      <c r="E23" s="99" t="e">
        <f>'Accred (2)'!D13</f>
        <v>#N/A</v>
      </c>
      <c r="F23" s="100" t="e">
        <f t="shared" ref="F23:F28" si="1">IF(EXACT(D23,E23),"",D23)</f>
        <v>#N/A</v>
      </c>
      <c r="G23" s="100">
        <v>223</v>
      </c>
      <c r="H23" s="101">
        <v>216</v>
      </c>
    </row>
    <row r="24" spans="1:8" x14ac:dyDescent="0.2">
      <c r="A24" s="93">
        <v>143</v>
      </c>
      <c r="B24" s="97" t="s">
        <v>1971</v>
      </c>
      <c r="C24" s="98" t="s">
        <v>1975</v>
      </c>
      <c r="D24" s="104" t="e">
        <f>AccredExpl!D14</f>
        <v>#N/A</v>
      </c>
      <c r="E24" s="104" t="e">
        <f>'Accred (2)'!D14</f>
        <v>#N/A</v>
      </c>
      <c r="F24" s="102" t="e">
        <f t="shared" si="1"/>
        <v>#N/A</v>
      </c>
      <c r="G24" s="100"/>
      <c r="H24" s="101"/>
    </row>
    <row r="25" spans="1:8" x14ac:dyDescent="0.2">
      <c r="A25" s="93">
        <v>144</v>
      </c>
      <c r="B25" s="97" t="s">
        <v>1971</v>
      </c>
      <c r="C25" s="98" t="s">
        <v>1976</v>
      </c>
      <c r="D25" s="99" t="e">
        <f>AccredExpl!E13</f>
        <v>#N/A</v>
      </c>
      <c r="E25" s="99" t="e">
        <f>'Accred (2)'!E13</f>
        <v>#N/A</v>
      </c>
      <c r="F25" s="100" t="e">
        <f t="shared" si="1"/>
        <v>#N/A</v>
      </c>
      <c r="G25" s="100">
        <v>223</v>
      </c>
      <c r="H25" s="101">
        <v>217</v>
      </c>
    </row>
    <row r="26" spans="1:8" x14ac:dyDescent="0.2">
      <c r="A26" s="93">
        <v>145</v>
      </c>
      <c r="B26" s="97" t="s">
        <v>1971</v>
      </c>
      <c r="C26" s="98" t="s">
        <v>1977</v>
      </c>
      <c r="D26" s="104" t="e">
        <f>AccredExpl!E14</f>
        <v>#N/A</v>
      </c>
      <c r="E26" s="104" t="e">
        <f>'Accred (2)'!E14</f>
        <v>#N/A</v>
      </c>
      <c r="F26" s="102" t="e">
        <f t="shared" si="1"/>
        <v>#N/A</v>
      </c>
      <c r="G26" s="100"/>
      <c r="H26" s="101"/>
    </row>
    <row r="27" spans="1:8" x14ac:dyDescent="0.2">
      <c r="A27" s="93">
        <v>146</v>
      </c>
      <c r="B27" s="97" t="s">
        <v>1971</v>
      </c>
      <c r="C27" s="98" t="s">
        <v>1978</v>
      </c>
      <c r="D27" s="99" t="e">
        <f>AccredExpl!F13</f>
        <v>#N/A</v>
      </c>
      <c r="E27" s="99" t="e">
        <f>'Accred (2)'!F13</f>
        <v>#N/A</v>
      </c>
      <c r="F27" s="100" t="e">
        <f t="shared" si="1"/>
        <v>#N/A</v>
      </c>
      <c r="G27" s="100">
        <v>223</v>
      </c>
      <c r="H27" s="101">
        <v>218</v>
      </c>
    </row>
    <row r="28" spans="1:8" x14ac:dyDescent="0.2">
      <c r="A28" s="93">
        <v>147</v>
      </c>
      <c r="B28" s="97" t="s">
        <v>1971</v>
      </c>
      <c r="C28" s="98" t="s">
        <v>1979</v>
      </c>
      <c r="D28" s="104" t="e">
        <f>AccredExpl!F14</f>
        <v>#N/A</v>
      </c>
      <c r="E28" s="104" t="e">
        <f>'Accred (2)'!F14</f>
        <v>#N/A</v>
      </c>
      <c r="F28" s="102" t="e">
        <f t="shared" si="1"/>
        <v>#N/A</v>
      </c>
      <c r="G28" s="100"/>
      <c r="H28" s="101"/>
    </row>
    <row r="29" spans="1:8" x14ac:dyDescent="0.2">
      <c r="B29" s="97"/>
      <c r="C29" s="98"/>
      <c r="D29" s="99"/>
      <c r="E29" s="99"/>
      <c r="F29" s="100"/>
      <c r="G29" s="100"/>
      <c r="H29" s="101"/>
    </row>
    <row r="30" spans="1:8" x14ac:dyDescent="0.2">
      <c r="A30" s="93">
        <v>122</v>
      </c>
      <c r="B30" s="97" t="s">
        <v>466</v>
      </c>
      <c r="C30" s="98" t="s">
        <v>388</v>
      </c>
      <c r="D30" s="99" t="e">
        <f>AccredExpl!C16</f>
        <v>#N/A</v>
      </c>
      <c r="E30" s="99" t="e">
        <f>'Accred (2)'!C16</f>
        <v>#N/A</v>
      </c>
      <c r="F30" s="100" t="e">
        <f t="shared" si="0"/>
        <v>#N/A</v>
      </c>
      <c r="G30" s="100">
        <v>127</v>
      </c>
      <c r="H30" s="101">
        <v>140</v>
      </c>
    </row>
    <row r="31" spans="1:8" x14ac:dyDescent="0.2">
      <c r="A31" s="93">
        <v>123</v>
      </c>
      <c r="B31" s="97" t="s">
        <v>466</v>
      </c>
      <c r="C31" s="98" t="s">
        <v>467</v>
      </c>
      <c r="D31" s="104" t="e">
        <f>AccredExpl!C17</f>
        <v>#N/A</v>
      </c>
      <c r="E31" s="104" t="e">
        <f>'Accred (2)'!C17</f>
        <v>#N/A</v>
      </c>
      <c r="F31" s="102" t="e">
        <f t="shared" si="0"/>
        <v>#N/A</v>
      </c>
      <c r="G31" s="103"/>
      <c r="H31" s="101"/>
    </row>
    <row r="32" spans="1:8" x14ac:dyDescent="0.2">
      <c r="A32" s="93">
        <v>124</v>
      </c>
      <c r="B32" s="97" t="s">
        <v>466</v>
      </c>
      <c r="C32" s="98" t="s">
        <v>273</v>
      </c>
      <c r="D32" s="99" t="e">
        <f>AccredExpl!D16</f>
        <v>#N/A</v>
      </c>
      <c r="E32" s="99" t="e">
        <f>'Accred (2)'!D16</f>
        <v>#N/A</v>
      </c>
      <c r="F32" s="100" t="e">
        <f t="shared" si="0"/>
        <v>#N/A</v>
      </c>
      <c r="G32" s="103">
        <v>127</v>
      </c>
      <c r="H32" s="101">
        <v>141</v>
      </c>
    </row>
    <row r="33" spans="1:8" x14ac:dyDescent="0.2">
      <c r="A33" s="93">
        <v>125</v>
      </c>
      <c r="B33" s="97" t="s">
        <v>466</v>
      </c>
      <c r="C33" s="98" t="s">
        <v>468</v>
      </c>
      <c r="D33" s="575" t="e">
        <f>AccredExpl!D17</f>
        <v>#N/A</v>
      </c>
      <c r="E33" s="575" t="e">
        <f>'Accred (2)'!D17</f>
        <v>#N/A</v>
      </c>
      <c r="F33" s="102" t="e">
        <f t="shared" si="0"/>
        <v>#N/A</v>
      </c>
      <c r="G33" s="103"/>
      <c r="H33" s="101"/>
    </row>
    <row r="34" spans="1:8" x14ac:dyDescent="0.2">
      <c r="A34" s="93">
        <v>126</v>
      </c>
      <c r="B34" s="97" t="s">
        <v>466</v>
      </c>
      <c r="C34" s="98" t="s">
        <v>274</v>
      </c>
      <c r="D34" s="99" t="e">
        <f>AccredExpl!E16</f>
        <v>#N/A</v>
      </c>
      <c r="E34" s="99" t="e">
        <f>'Accred (2)'!E16</f>
        <v>#N/A</v>
      </c>
      <c r="F34" s="100" t="e">
        <f t="shared" si="0"/>
        <v>#N/A</v>
      </c>
      <c r="G34" s="100">
        <v>127</v>
      </c>
      <c r="H34" s="101">
        <v>143</v>
      </c>
    </row>
    <row r="35" spans="1:8" x14ac:dyDescent="0.2">
      <c r="A35" s="93">
        <v>127</v>
      </c>
      <c r="B35" s="97" t="s">
        <v>466</v>
      </c>
      <c r="C35" s="98" t="s">
        <v>469</v>
      </c>
      <c r="D35" s="104" t="e">
        <f>AccredExpl!E17</f>
        <v>#N/A</v>
      </c>
      <c r="E35" s="104" t="e">
        <f>'Accred (2)'!E17</f>
        <v>#N/A</v>
      </c>
      <c r="F35" s="102" t="e">
        <f t="shared" si="0"/>
        <v>#N/A</v>
      </c>
      <c r="G35" s="100"/>
      <c r="H35" s="101"/>
    </row>
    <row r="36" spans="1:8" x14ac:dyDescent="0.2">
      <c r="A36" s="93">
        <v>128</v>
      </c>
      <c r="B36" s="97" t="s">
        <v>466</v>
      </c>
      <c r="C36" s="98" t="s">
        <v>276</v>
      </c>
      <c r="D36" s="99" t="e">
        <f>AccredExpl!F16</f>
        <v>#N/A</v>
      </c>
      <c r="E36" s="99" t="e">
        <f>'Accred (2)'!F16</f>
        <v>#N/A</v>
      </c>
      <c r="F36" s="100" t="e">
        <f t="shared" si="0"/>
        <v>#N/A</v>
      </c>
      <c r="G36" s="100">
        <v>127</v>
      </c>
      <c r="H36" s="101">
        <v>135</v>
      </c>
    </row>
    <row r="37" spans="1:8" x14ac:dyDescent="0.2">
      <c r="A37" s="93">
        <v>129</v>
      </c>
      <c r="B37" s="97" t="s">
        <v>466</v>
      </c>
      <c r="C37" s="98" t="s">
        <v>470</v>
      </c>
      <c r="D37" s="104" t="e">
        <f>AccredExpl!F17</f>
        <v>#N/A</v>
      </c>
      <c r="E37" s="104" t="e">
        <f>'Accred (2)'!F17</f>
        <v>#N/A</v>
      </c>
      <c r="F37" s="102" t="e">
        <f t="shared" si="0"/>
        <v>#N/A</v>
      </c>
      <c r="G37" s="100"/>
      <c r="H37" s="101"/>
    </row>
    <row r="38" spans="1:8" x14ac:dyDescent="0.2">
      <c r="A38" s="93">
        <v>130</v>
      </c>
      <c r="B38" s="97" t="s">
        <v>466</v>
      </c>
      <c r="C38" s="98" t="s">
        <v>387</v>
      </c>
      <c r="D38" s="99" t="e">
        <f>AccredExpl!G16</f>
        <v>#N/A</v>
      </c>
      <c r="E38" s="99" t="e">
        <f>'Accred (2)'!G16</f>
        <v>#N/A</v>
      </c>
      <c r="F38" s="100" t="e">
        <f t="shared" si="0"/>
        <v>#N/A</v>
      </c>
      <c r="G38" s="100">
        <v>127</v>
      </c>
      <c r="H38" s="101">
        <v>136</v>
      </c>
    </row>
    <row r="39" spans="1:8" x14ac:dyDescent="0.2">
      <c r="A39" s="93">
        <v>131</v>
      </c>
      <c r="B39" s="97" t="s">
        <v>466</v>
      </c>
      <c r="C39" s="98" t="s">
        <v>471</v>
      </c>
      <c r="D39" s="104" t="e">
        <f>AccredExpl!G17</f>
        <v>#N/A</v>
      </c>
      <c r="E39" s="104" t="e">
        <f>'Accred (2)'!G17</f>
        <v>#N/A</v>
      </c>
      <c r="F39" s="102" t="e">
        <f t="shared" si="0"/>
        <v>#N/A</v>
      </c>
      <c r="G39" s="100"/>
      <c r="H39" s="101"/>
    </row>
    <row r="40" spans="1:8" x14ac:dyDescent="0.2">
      <c r="A40" s="93">
        <v>132</v>
      </c>
      <c r="B40" s="97" t="s">
        <v>466</v>
      </c>
      <c r="C40" s="98" t="s">
        <v>472</v>
      </c>
      <c r="D40" s="99" t="e">
        <f>AccredExpl!H16</f>
        <v>#N/A</v>
      </c>
      <c r="E40" s="99" t="e">
        <f>'Accred (2)'!H16</f>
        <v>#N/A</v>
      </c>
      <c r="F40" s="100" t="e">
        <f t="shared" si="0"/>
        <v>#N/A</v>
      </c>
      <c r="G40" s="100">
        <v>127</v>
      </c>
      <c r="H40" s="101">
        <v>137</v>
      </c>
    </row>
    <row r="41" spans="1:8" x14ac:dyDescent="0.2">
      <c r="A41" s="93">
        <v>133</v>
      </c>
      <c r="B41" s="97" t="s">
        <v>466</v>
      </c>
      <c r="C41" s="98" t="s">
        <v>473</v>
      </c>
      <c r="D41" s="104" t="e">
        <f>AccredExpl!H17</f>
        <v>#N/A</v>
      </c>
      <c r="E41" s="104" t="e">
        <f>'Accred (2)'!H17</f>
        <v>#N/A</v>
      </c>
      <c r="F41" s="102" t="e">
        <f t="shared" si="0"/>
        <v>#N/A</v>
      </c>
      <c r="G41" s="100"/>
      <c r="H41" s="101"/>
    </row>
    <row r="42" spans="1:8" x14ac:dyDescent="0.2">
      <c r="A42" s="93">
        <v>134</v>
      </c>
      <c r="B42" s="97" t="s">
        <v>466</v>
      </c>
      <c r="C42" s="98" t="s">
        <v>1981</v>
      </c>
      <c r="D42" s="99" t="e">
        <f>AccredExpl!I16</f>
        <v>#N/A</v>
      </c>
      <c r="E42" s="99" t="e">
        <f>'Accred (2)'!I16</f>
        <v>#N/A</v>
      </c>
      <c r="F42" s="100" t="e">
        <f t="shared" si="0"/>
        <v>#N/A</v>
      </c>
      <c r="G42" s="100">
        <v>127</v>
      </c>
      <c r="H42" s="101">
        <v>142</v>
      </c>
    </row>
    <row r="43" spans="1:8" x14ac:dyDescent="0.2">
      <c r="A43" s="93">
        <v>135</v>
      </c>
      <c r="B43" s="97" t="s">
        <v>466</v>
      </c>
      <c r="C43" s="98" t="s">
        <v>474</v>
      </c>
      <c r="D43" s="104" t="e">
        <f>AccredExpl!I17</f>
        <v>#N/A</v>
      </c>
      <c r="E43" s="104" t="e">
        <f>'Accred (2)'!I17</f>
        <v>#N/A</v>
      </c>
      <c r="F43" s="102" t="e">
        <f t="shared" si="0"/>
        <v>#N/A</v>
      </c>
      <c r="G43" s="100"/>
      <c r="H43" s="101"/>
    </row>
    <row r="44" spans="1:8" x14ac:dyDescent="0.2">
      <c r="A44" s="93">
        <v>136</v>
      </c>
      <c r="B44" s="97" t="s">
        <v>466</v>
      </c>
      <c r="C44" s="98" t="s">
        <v>475</v>
      </c>
      <c r="D44" s="99" t="e">
        <f>AccredExpl!J16</f>
        <v>#N/A</v>
      </c>
      <c r="E44" s="99" t="e">
        <f>'Accred (2)'!J16</f>
        <v>#N/A</v>
      </c>
      <c r="F44" s="100" t="e">
        <f t="shared" si="0"/>
        <v>#N/A</v>
      </c>
      <c r="G44" s="100">
        <v>127</v>
      </c>
      <c r="H44" s="101">
        <v>138</v>
      </c>
    </row>
    <row r="45" spans="1:8" x14ac:dyDescent="0.2">
      <c r="A45" s="93">
        <v>137</v>
      </c>
      <c r="B45" s="97" t="s">
        <v>466</v>
      </c>
      <c r="C45" s="98" t="s">
        <v>476</v>
      </c>
      <c r="D45" s="104" t="e">
        <f>AccredExpl!J17</f>
        <v>#N/A</v>
      </c>
      <c r="E45" s="104" t="e">
        <f>'Accred (2)'!J17</f>
        <v>#N/A</v>
      </c>
      <c r="F45" s="102" t="e">
        <f t="shared" si="0"/>
        <v>#N/A</v>
      </c>
      <c r="G45" s="100"/>
      <c r="H45" s="101"/>
    </row>
    <row r="46" spans="1:8" x14ac:dyDescent="0.2">
      <c r="A46" s="93">
        <v>138</v>
      </c>
      <c r="B46" s="97" t="s">
        <v>466</v>
      </c>
      <c r="C46" s="98" t="s">
        <v>477</v>
      </c>
      <c r="D46" s="99" t="e">
        <f>AccredExpl!K16</f>
        <v>#N/A</v>
      </c>
      <c r="E46" s="99" t="e">
        <f>'Accred (2)'!K16</f>
        <v>#N/A</v>
      </c>
      <c r="F46" s="100" t="e">
        <f t="shared" si="0"/>
        <v>#N/A</v>
      </c>
      <c r="G46" s="100">
        <v>127</v>
      </c>
      <c r="H46" s="101">
        <v>139</v>
      </c>
    </row>
    <row r="47" spans="1:8" ht="13.5" thickBot="1" x14ac:dyDescent="0.25">
      <c r="A47" s="93">
        <v>139</v>
      </c>
      <c r="B47" s="105" t="s">
        <v>466</v>
      </c>
      <c r="C47" s="106" t="s">
        <v>478</v>
      </c>
      <c r="D47" s="576" t="e">
        <f>AccredExpl!K17</f>
        <v>#N/A</v>
      </c>
      <c r="E47" s="576" t="e">
        <f>'Accred (2)'!K17</f>
        <v>#N/A</v>
      </c>
      <c r="F47" s="107" t="e">
        <f t="shared" si="0"/>
        <v>#N/A</v>
      </c>
      <c r="G47" s="108"/>
      <c r="H47" s="109"/>
    </row>
  </sheetData>
  <sheetProtection sheet="1"/>
  <mergeCells count="2">
    <mergeCell ref="B2:H2"/>
    <mergeCell ref="B1:C1"/>
  </mergeCells>
  <pageMargins left="0.75" right="0.75" top="1" bottom="1" header="0.5" footer="0.5"/>
  <pageSetup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41"/>
  <sheetViews>
    <sheetView zoomScaleNormal="100" workbookViewId="0">
      <selection activeCell="A2" sqref="A2:F340"/>
    </sheetView>
  </sheetViews>
  <sheetFormatPr defaultColWidth="8.85546875" defaultRowHeight="12.75" x14ac:dyDescent="0.2"/>
  <cols>
    <col min="1" max="5" width="8.85546875" style="19"/>
    <col min="6" max="6" width="18" style="19" bestFit="1" customWidth="1"/>
    <col min="7" max="11" width="8.85546875" style="19"/>
    <col min="12" max="13" width="10.140625" style="19" customWidth="1"/>
    <col min="14" max="16384" width="8.85546875" style="19"/>
  </cols>
  <sheetData>
    <row r="1" spans="1:18" s="20" customFormat="1" ht="50.25" customHeight="1" x14ac:dyDescent="0.2">
      <c r="A1" s="20" t="s">
        <v>66</v>
      </c>
      <c r="B1" s="20" t="s">
        <v>67</v>
      </c>
      <c r="C1" s="20" t="s">
        <v>68</v>
      </c>
      <c r="D1" s="20" t="s">
        <v>69</v>
      </c>
      <c r="E1" s="20" t="s">
        <v>257</v>
      </c>
      <c r="F1" s="110" t="s">
        <v>25</v>
      </c>
      <c r="H1" s="639" t="s">
        <v>163</v>
      </c>
      <c r="I1" s="639"/>
      <c r="J1" s="111" t="s">
        <v>484</v>
      </c>
      <c r="K1" s="111"/>
    </row>
    <row r="2" spans="1:18" x14ac:dyDescent="0.2">
      <c r="A2" s="19">
        <f>start</f>
        <v>0</v>
      </c>
      <c r="B2" s="19">
        <v>2019</v>
      </c>
      <c r="C2" s="112">
        <f>'Fixed Equip'!B$5</f>
        <v>7708</v>
      </c>
      <c r="D2" s="112" t="str">
        <f>IF(ISBLANK('Fixed Equip'!C$5),"",'Fixed Equip'!C$5)</f>
        <v/>
      </c>
      <c r="E2" s="19">
        <v>20</v>
      </c>
      <c r="F2" s="19" t="str">
        <f>IF(ISBLANK('Fixed Equip'!B$30),"new_ID",start)</f>
        <v>new_ID</v>
      </c>
      <c r="G2" s="113" t="s">
        <v>123</v>
      </c>
      <c r="H2" s="113"/>
      <c r="I2" s="113"/>
      <c r="J2" s="20" t="s">
        <v>488</v>
      </c>
      <c r="K2" s="111" t="s">
        <v>487</v>
      </c>
      <c r="L2" s="111" t="s">
        <v>489</v>
      </c>
      <c r="M2" s="111" t="s">
        <v>491</v>
      </c>
      <c r="N2" s="111" t="s">
        <v>492</v>
      </c>
      <c r="O2" s="113"/>
    </row>
    <row r="3" spans="1:18" x14ac:dyDescent="0.2">
      <c r="A3" s="19">
        <f>start</f>
        <v>0</v>
      </c>
      <c r="B3" s="19">
        <v>2019</v>
      </c>
      <c r="C3" s="112">
        <f>'Fixed Equip'!B$6</f>
        <v>7709</v>
      </c>
      <c r="D3" s="112" t="str">
        <f>IF(ISBLANK('Fixed Equip'!C$6),"",'Fixed Equip'!C$6)</f>
        <v/>
      </c>
      <c r="E3" s="19">
        <v>20</v>
      </c>
      <c r="F3" s="19" t="str">
        <f>IF(ISBLANK('Fixed Equip'!B$30),"new_ID",start)</f>
        <v>new_ID</v>
      </c>
      <c r="G3" s="113" t="s">
        <v>123</v>
      </c>
      <c r="H3" s="113"/>
      <c r="I3" s="113"/>
      <c r="J3" s="113" t="s">
        <v>273</v>
      </c>
      <c r="K3" s="113">
        <v>7914</v>
      </c>
      <c r="L3" s="113">
        <f>IF(ISBLANK('Mobile Equip'!C$19),"",'Mobile Equip'!C$19)</f>
        <v>0</v>
      </c>
      <c r="M3" s="113">
        <f>('Mobile Locations'!E$300)</f>
        <v>0</v>
      </c>
      <c r="N3" s="114">
        <f>('Mobile Locations'!AA$300)</f>
        <v>0</v>
      </c>
      <c r="O3" s="115" t="str">
        <f t="shared" ref="O3:O8" si="0">IF(L3=N3,"","Check")</f>
        <v/>
      </c>
    </row>
    <row r="4" spans="1:18" x14ac:dyDescent="0.2">
      <c r="A4" s="19">
        <f>start</f>
        <v>0</v>
      </c>
      <c r="B4" s="19">
        <v>2019</v>
      </c>
      <c r="C4" s="112">
        <f>'Fixed Equip'!B$7</f>
        <v>7710</v>
      </c>
      <c r="D4" s="112" t="str">
        <f>IF(ISBLANK('Fixed Equip'!C$7),"",'Fixed Equip'!C$7)</f>
        <v/>
      </c>
      <c r="E4" s="19">
        <v>20</v>
      </c>
      <c r="F4" s="19" t="str">
        <f>IF(ISBLANK('Fixed Equip'!B$30),"new_ID",start)</f>
        <v>new_ID</v>
      </c>
      <c r="G4" s="113" t="s">
        <v>123</v>
      </c>
      <c r="H4" s="113"/>
      <c r="I4" s="113"/>
      <c r="J4" s="113" t="s">
        <v>274</v>
      </c>
      <c r="K4" s="113">
        <v>7929</v>
      </c>
      <c r="L4" s="113">
        <f>IF(ISBLANK('Mobile Equip'!F$19),"",'Mobile Equip'!F$19)</f>
        <v>0</v>
      </c>
      <c r="M4" s="113">
        <f>('Mobile Locations'!F$300)</f>
        <v>0</v>
      </c>
      <c r="N4" s="114">
        <f>('Mobile Locations'!AB$300)</f>
        <v>0</v>
      </c>
      <c r="O4" s="115" t="str">
        <f t="shared" si="0"/>
        <v/>
      </c>
    </row>
    <row r="5" spans="1:18" x14ac:dyDescent="0.2">
      <c r="A5" s="19">
        <f>start</f>
        <v>0</v>
      </c>
      <c r="B5" s="19">
        <v>2019</v>
      </c>
      <c r="C5" s="112">
        <f>'Fixed Equip'!B$8</f>
        <v>7711</v>
      </c>
      <c r="D5" s="112" t="str">
        <f>IF(ISBLANK('Fixed Equip'!C$8),"",'Fixed Equip'!C$8)</f>
        <v/>
      </c>
      <c r="E5" s="19">
        <v>20</v>
      </c>
      <c r="F5" s="19" t="str">
        <f>IF(ISBLANK('Fixed Equip'!B$30),"new_ID",start)</f>
        <v>new_ID</v>
      </c>
      <c r="G5" s="113" t="s">
        <v>123</v>
      </c>
      <c r="H5" s="113"/>
      <c r="I5" s="113"/>
      <c r="J5" s="113" t="s">
        <v>485</v>
      </c>
      <c r="K5" s="113">
        <v>7944</v>
      </c>
      <c r="L5" s="113">
        <f>IF(ISBLANK('Mobile Equip'!I$19),"",'Mobile Equip'!I$19)</f>
        <v>0</v>
      </c>
      <c r="M5" s="113">
        <f>('Mobile Locations'!G$300)</f>
        <v>0</v>
      </c>
      <c r="N5" s="114">
        <f>('Mobile Locations'!AC$300)</f>
        <v>0</v>
      </c>
      <c r="O5" s="115" t="str">
        <f t="shared" si="0"/>
        <v/>
      </c>
    </row>
    <row r="6" spans="1:18" x14ac:dyDescent="0.2">
      <c r="A6" s="19">
        <f t="shared" ref="A6:A69" si="1">start</f>
        <v>0</v>
      </c>
      <c r="B6" s="19">
        <v>2019</v>
      </c>
      <c r="C6" s="112">
        <f>'Fixed Equip'!B$9</f>
        <v>7712</v>
      </c>
      <c r="D6" s="112" t="str">
        <f>IF(ISBLANK('Fixed Equip'!C$9),"",'Fixed Equip'!C$9)</f>
        <v/>
      </c>
      <c r="E6" s="19">
        <v>20</v>
      </c>
      <c r="F6" s="19" t="str">
        <f>IF(ISBLANK('Fixed Equip'!B$30),"new_ID",start)</f>
        <v>new_ID</v>
      </c>
      <c r="G6" s="113" t="s">
        <v>123</v>
      </c>
      <c r="H6" s="113"/>
      <c r="I6" s="113"/>
      <c r="J6" s="113" t="s">
        <v>276</v>
      </c>
      <c r="K6" s="113">
        <v>7959</v>
      </c>
      <c r="L6" s="113">
        <f>IF(ISBLANK('Mobile Equip'!L$19),"",'Mobile Equip'!L$19)</f>
        <v>0</v>
      </c>
      <c r="M6" s="113">
        <f>('Mobile Locations'!H$300)</f>
        <v>0</v>
      </c>
      <c r="N6" s="114">
        <f>('Mobile Locations'!AD$300)</f>
        <v>0</v>
      </c>
      <c r="O6" s="115" t="str">
        <f t="shared" si="0"/>
        <v/>
      </c>
    </row>
    <row r="7" spans="1:18" x14ac:dyDescent="0.2">
      <c r="A7" s="19">
        <f t="shared" si="1"/>
        <v>0</v>
      </c>
      <c r="B7" s="19">
        <v>2019</v>
      </c>
      <c r="C7" s="112">
        <f>'Fixed Equip'!B$10</f>
        <v>7713</v>
      </c>
      <c r="D7" s="112" t="str">
        <f>IF(ISBLANK('Fixed Equip'!C$10),"",'Fixed Equip'!C$10)</f>
        <v/>
      </c>
      <c r="E7" s="19">
        <v>20</v>
      </c>
      <c r="F7" s="19" t="str">
        <f>IF(ISBLANK('Fixed Equip'!B$30),"new_ID",start)</f>
        <v>new_ID</v>
      </c>
      <c r="G7" s="113" t="s">
        <v>123</v>
      </c>
      <c r="H7" s="113"/>
      <c r="I7" s="113"/>
      <c r="J7" s="113" t="s">
        <v>486</v>
      </c>
      <c r="K7" s="113">
        <v>7974</v>
      </c>
      <c r="L7" s="113">
        <f>IF(ISBLANK('Mobile Equip'!O$19),"",'Mobile Equip'!O$19)</f>
        <v>0</v>
      </c>
      <c r="M7" s="113">
        <f>('Mobile Locations'!I$300)</f>
        <v>0</v>
      </c>
      <c r="N7" s="114">
        <f>('Mobile Locations'!AE$300)</f>
        <v>0</v>
      </c>
      <c r="O7" s="115" t="str">
        <f t="shared" si="0"/>
        <v/>
      </c>
    </row>
    <row r="8" spans="1:18" x14ac:dyDescent="0.2">
      <c r="A8" s="19">
        <f t="shared" si="1"/>
        <v>0</v>
      </c>
      <c r="B8" s="19">
        <v>2019</v>
      </c>
      <c r="C8" s="112">
        <f>'Fixed Equip'!B$11</f>
        <v>7714</v>
      </c>
      <c r="D8" s="112" t="str">
        <f>IF(ISBLANK('Fixed Equip'!C$11),"",'Fixed Equip'!C$11)</f>
        <v/>
      </c>
      <c r="E8" s="19">
        <v>20</v>
      </c>
      <c r="F8" s="19" t="str">
        <f>IF(ISBLANK('Fixed Equip'!B$30),"new_ID",start)</f>
        <v>new_ID</v>
      </c>
      <c r="G8" s="113" t="s">
        <v>123</v>
      </c>
      <c r="H8" s="113"/>
      <c r="I8" s="113"/>
      <c r="J8" s="113" t="s">
        <v>278</v>
      </c>
      <c r="K8" s="113">
        <v>7989</v>
      </c>
      <c r="L8" s="113">
        <f>IF(ISBLANK('Mobile Equip'!R$19),"",'Mobile Equip'!R$19)</f>
        <v>0</v>
      </c>
      <c r="M8" s="113">
        <f>('Mobile Locations'!J$300)</f>
        <v>0</v>
      </c>
      <c r="N8" s="114">
        <f>('Mobile Locations'!AF$300)</f>
        <v>0</v>
      </c>
      <c r="O8" s="115" t="str">
        <f t="shared" si="0"/>
        <v/>
      </c>
    </row>
    <row r="9" spans="1:18" ht="13.15" customHeight="1" x14ac:dyDescent="0.2">
      <c r="A9" s="19">
        <f t="shared" si="1"/>
        <v>0</v>
      </c>
      <c r="B9" s="19">
        <v>2019</v>
      </c>
      <c r="C9" s="112">
        <f>'Fixed Equip'!B$12</f>
        <v>7715</v>
      </c>
      <c r="D9" s="112" t="str">
        <f>IF(ISBLANK('Fixed Equip'!C$12),"",'Fixed Equip'!C$12)</f>
        <v/>
      </c>
      <c r="E9" s="19">
        <v>20</v>
      </c>
      <c r="F9" s="19" t="str">
        <f>IF(ISBLANK('Fixed Equip'!B$30),"new_ID",start)</f>
        <v>new_ID</v>
      </c>
      <c r="G9" s="113" t="s">
        <v>123</v>
      </c>
      <c r="H9" s="113"/>
      <c r="I9" s="113"/>
      <c r="J9" s="113"/>
      <c r="K9" s="113"/>
      <c r="L9" s="116">
        <f>SUM(L3:L8)</f>
        <v>0</v>
      </c>
      <c r="M9" s="113"/>
      <c r="N9" s="116">
        <f>SUM(N3:N8)</f>
        <v>0</v>
      </c>
      <c r="O9" s="117">
        <f>('Mobile Locations'!L$300)</f>
        <v>0</v>
      </c>
      <c r="P9" s="640" t="s">
        <v>490</v>
      </c>
      <c r="Q9" s="640"/>
      <c r="R9" s="640"/>
    </row>
    <row r="10" spans="1:18" x14ac:dyDescent="0.2">
      <c r="A10" s="19">
        <f t="shared" si="1"/>
        <v>0</v>
      </c>
      <c r="B10" s="19">
        <v>2019</v>
      </c>
      <c r="C10" s="112">
        <f>'Fixed Equip'!B$13</f>
        <v>7716</v>
      </c>
      <c r="D10" s="112" t="str">
        <f>IF(ISBLANK('Fixed Equip'!C$13),"",'Fixed Equip'!C$13)</f>
        <v/>
      </c>
      <c r="E10" s="19">
        <v>20</v>
      </c>
      <c r="F10" s="19" t="str">
        <f>IF(ISBLANK('Fixed Equip'!B$30),"new_ID",start)</f>
        <v>new_ID</v>
      </c>
      <c r="G10" s="113" t="s">
        <v>123</v>
      </c>
      <c r="H10" s="113"/>
      <c r="I10" s="113"/>
      <c r="J10" s="113"/>
      <c r="K10" s="113"/>
      <c r="L10" s="113"/>
      <c r="M10" s="113"/>
      <c r="N10" s="113"/>
      <c r="O10" s="118"/>
      <c r="P10" s="640"/>
      <c r="Q10" s="640"/>
      <c r="R10" s="640"/>
    </row>
    <row r="11" spans="1:18" x14ac:dyDescent="0.2">
      <c r="A11" s="19">
        <f t="shared" si="1"/>
        <v>0</v>
      </c>
      <c r="B11" s="19">
        <v>2019</v>
      </c>
      <c r="C11" s="112">
        <f>'Fixed Equip'!B$14</f>
        <v>7717</v>
      </c>
      <c r="D11" s="112" t="str">
        <f>IF(ISBLANK('Fixed Equip'!C$14),"",'Fixed Equip'!C$14)</f>
        <v/>
      </c>
      <c r="E11" s="19">
        <v>20</v>
      </c>
      <c r="F11" s="19" t="str">
        <f>IF(ISBLANK('Fixed Equip'!B$30),"new_ID",start)</f>
        <v>new_ID</v>
      </c>
      <c r="G11" s="113" t="s">
        <v>123</v>
      </c>
      <c r="H11" s="113"/>
      <c r="I11" s="113"/>
      <c r="J11" s="113"/>
      <c r="K11" s="113"/>
      <c r="L11" s="113"/>
      <c r="M11" s="113"/>
      <c r="N11" s="113"/>
      <c r="O11" s="113"/>
    </row>
    <row r="12" spans="1:18" x14ac:dyDescent="0.2">
      <c r="A12" s="19">
        <f t="shared" si="1"/>
        <v>0</v>
      </c>
      <c r="B12" s="19">
        <v>2019</v>
      </c>
      <c r="C12" s="112">
        <f>'Fixed Equip'!B$15</f>
        <v>7718</v>
      </c>
      <c r="D12" s="591" t="str">
        <f>IF(OR('Fixed Equip'!C$15=0,ISBLANK('Fixed Equip'!C$15)),"",'Fixed Equip'!C$15)</f>
        <v/>
      </c>
      <c r="E12" s="19">
        <v>20</v>
      </c>
      <c r="F12" s="19" t="str">
        <f>IF(ISBLANK('Fixed Equip'!B$30),"new_ID",start)</f>
        <v>new_ID</v>
      </c>
      <c r="G12" s="113" t="s">
        <v>123</v>
      </c>
      <c r="H12" s="113"/>
      <c r="I12" s="113"/>
      <c r="J12" s="113"/>
      <c r="K12" s="113"/>
      <c r="L12" s="113"/>
      <c r="M12" s="113"/>
      <c r="N12" s="113"/>
      <c r="O12" s="113"/>
    </row>
    <row r="13" spans="1:18" x14ac:dyDescent="0.2">
      <c r="A13" s="19">
        <f t="shared" si="1"/>
        <v>0</v>
      </c>
      <c r="B13" s="19">
        <v>2019</v>
      </c>
      <c r="C13" s="112">
        <f>'Fixed Equip'!B$16</f>
        <v>7719</v>
      </c>
      <c r="D13" s="112" t="str">
        <f>IF(ISBLANK('Fixed Equip'!C$16),"",'Fixed Equip'!C$16)</f>
        <v/>
      </c>
      <c r="E13" s="19">
        <v>20</v>
      </c>
      <c r="F13" s="19" t="str">
        <f>IF(ISBLANK('Fixed Equip'!B$30),"new_ID",start)</f>
        <v>new_ID</v>
      </c>
      <c r="G13" s="113" t="s">
        <v>123</v>
      </c>
      <c r="H13" s="113"/>
      <c r="I13" s="113"/>
      <c r="J13" s="113"/>
      <c r="K13" s="113"/>
      <c r="L13" s="113"/>
      <c r="M13" s="113"/>
      <c r="N13" s="113"/>
      <c r="O13" s="113"/>
    </row>
    <row r="14" spans="1:18" hidden="1" x14ac:dyDescent="0.2">
      <c r="C14" s="112"/>
      <c r="D14" s="112"/>
      <c r="G14" s="113" t="s">
        <v>123</v>
      </c>
      <c r="H14" s="113"/>
      <c r="I14" s="113"/>
      <c r="J14" s="113"/>
      <c r="K14" s="113"/>
      <c r="L14" s="113"/>
      <c r="M14" s="113"/>
      <c r="N14" s="113"/>
      <c r="O14" s="113"/>
    </row>
    <row r="15" spans="1:18" x14ac:dyDescent="0.2">
      <c r="A15" s="19">
        <f t="shared" si="1"/>
        <v>0</v>
      </c>
      <c r="B15" s="19">
        <v>2019</v>
      </c>
      <c r="C15" s="112">
        <f>'Fixed Equip'!B$18</f>
        <v>7721</v>
      </c>
      <c r="D15" s="112" t="str">
        <f>IF(ISBLANK('Fixed Equip'!C$18),"",'Fixed Equip'!C$18)</f>
        <v/>
      </c>
      <c r="E15" s="19">
        <v>20</v>
      </c>
      <c r="F15" s="19" t="str">
        <f>IF(ISBLANK('Fixed Equip'!B$30),"new_ID",start)</f>
        <v>new_ID</v>
      </c>
      <c r="G15" s="113" t="s">
        <v>123</v>
      </c>
      <c r="H15" s="113"/>
      <c r="I15" s="113"/>
      <c r="J15" s="113"/>
      <c r="K15" s="113"/>
      <c r="L15" s="113"/>
      <c r="M15" s="113"/>
      <c r="N15" s="113"/>
      <c r="O15" s="113"/>
    </row>
    <row r="16" spans="1:18" x14ac:dyDescent="0.2">
      <c r="A16" s="19">
        <f t="shared" si="1"/>
        <v>0</v>
      </c>
      <c r="B16" s="19">
        <v>2019</v>
      </c>
      <c r="C16" s="112">
        <f>'Fixed Equip'!B$19</f>
        <v>7722</v>
      </c>
      <c r="D16" s="591" t="str">
        <f>IF(OR('Fixed Equip'!C$19=0,ISBLANK('Fixed Equip'!C$19)),"",'Fixed Equip'!C$19)</f>
        <v/>
      </c>
      <c r="E16" s="19">
        <v>20</v>
      </c>
      <c r="F16" s="19" t="str">
        <f>IF(ISBLANK('Fixed Equip'!B$30),"new_ID",start)</f>
        <v>new_ID</v>
      </c>
      <c r="G16" s="113" t="s">
        <v>123</v>
      </c>
      <c r="H16" s="113"/>
      <c r="I16" s="113"/>
      <c r="J16" s="113"/>
      <c r="K16" s="113"/>
      <c r="L16" s="113"/>
      <c r="M16" s="113"/>
      <c r="N16" s="113"/>
      <c r="O16" s="113"/>
    </row>
    <row r="17" spans="1:15" x14ac:dyDescent="0.2">
      <c r="A17" s="19">
        <f t="shared" si="1"/>
        <v>0</v>
      </c>
      <c r="B17" s="19">
        <v>2019</v>
      </c>
      <c r="C17" s="112">
        <f>'Fixed Equip'!E$5</f>
        <v>7723</v>
      </c>
      <c r="D17" s="112" t="str">
        <f>IF(ISBLANK('Fixed Equip'!F$5),"",'Fixed Equip'!F$5)</f>
        <v/>
      </c>
      <c r="E17" s="19">
        <v>20</v>
      </c>
      <c r="F17" s="19" t="str">
        <f>IF(ISBLANK('Fixed Equip'!E$30),"new_ID",start)</f>
        <v>new_ID</v>
      </c>
      <c r="G17" s="120" t="s">
        <v>123</v>
      </c>
      <c r="H17" s="113"/>
      <c r="I17" s="113"/>
      <c r="J17" s="113"/>
      <c r="K17" s="113"/>
      <c r="L17" s="113"/>
      <c r="M17" s="113"/>
      <c r="N17" s="113"/>
      <c r="O17" s="113"/>
    </row>
    <row r="18" spans="1:15" x14ac:dyDescent="0.2">
      <c r="A18" s="19">
        <f t="shared" si="1"/>
        <v>0</v>
      </c>
      <c r="B18" s="19">
        <v>2019</v>
      </c>
      <c r="C18" s="112">
        <f>'Fixed Equip'!E$6</f>
        <v>7724</v>
      </c>
      <c r="D18" s="112" t="str">
        <f>IF(ISBLANK('Fixed Equip'!F$6),"",'Fixed Equip'!F$6)</f>
        <v/>
      </c>
      <c r="E18" s="19">
        <v>20</v>
      </c>
      <c r="F18" s="19" t="str">
        <f>IF(ISBLANK('Fixed Equip'!E$30),"new_ID",start)</f>
        <v>new_ID</v>
      </c>
      <c r="G18" s="113" t="s">
        <v>123</v>
      </c>
      <c r="H18" s="113"/>
      <c r="I18" s="113"/>
      <c r="J18" s="113"/>
      <c r="K18" s="113"/>
      <c r="L18" s="113"/>
      <c r="M18" s="113"/>
      <c r="N18" s="113"/>
      <c r="O18" s="113"/>
    </row>
    <row r="19" spans="1:15" x14ac:dyDescent="0.2">
      <c r="A19" s="19">
        <f t="shared" si="1"/>
        <v>0</v>
      </c>
      <c r="B19" s="19">
        <v>2019</v>
      </c>
      <c r="C19" s="112">
        <f>'Fixed Equip'!E$7</f>
        <v>7725</v>
      </c>
      <c r="D19" s="112" t="str">
        <f>IF(ISBLANK('Fixed Equip'!F$7),"",'Fixed Equip'!F$7)</f>
        <v/>
      </c>
      <c r="E19" s="19">
        <v>20</v>
      </c>
      <c r="F19" s="19" t="str">
        <f>IF(ISBLANK('Fixed Equip'!E$30),"new_ID",start)</f>
        <v>new_ID</v>
      </c>
      <c r="G19" s="113" t="s">
        <v>123</v>
      </c>
    </row>
    <row r="20" spans="1:15" x14ac:dyDescent="0.2">
      <c r="A20" s="19">
        <f t="shared" si="1"/>
        <v>0</v>
      </c>
      <c r="B20" s="19">
        <v>2019</v>
      </c>
      <c r="C20" s="112">
        <f>'Fixed Equip'!E$8</f>
        <v>7726</v>
      </c>
      <c r="D20" s="112" t="str">
        <f>IF(ISBLANK('Fixed Equip'!F$8),"",'Fixed Equip'!F$8)</f>
        <v/>
      </c>
      <c r="E20" s="19">
        <v>20</v>
      </c>
      <c r="F20" s="19" t="str">
        <f>IF(ISBLANK('Fixed Equip'!E$30),"new_ID",start)</f>
        <v>new_ID</v>
      </c>
      <c r="G20" s="113" t="s">
        <v>123</v>
      </c>
    </row>
    <row r="21" spans="1:15" x14ac:dyDescent="0.2">
      <c r="A21" s="19">
        <f t="shared" si="1"/>
        <v>0</v>
      </c>
      <c r="B21" s="19">
        <v>2019</v>
      </c>
      <c r="C21" s="112">
        <f>'Fixed Equip'!E$9</f>
        <v>7727</v>
      </c>
      <c r="D21" s="112" t="str">
        <f>IF(ISBLANK('Fixed Equip'!F$9),"",'Fixed Equip'!F$9)</f>
        <v/>
      </c>
      <c r="E21" s="19">
        <v>20</v>
      </c>
      <c r="F21" s="19" t="str">
        <f>IF(ISBLANK('Fixed Equip'!E$30),"new_ID",start)</f>
        <v>new_ID</v>
      </c>
      <c r="G21" s="113" t="s">
        <v>123</v>
      </c>
    </row>
    <row r="22" spans="1:15" x14ac:dyDescent="0.2">
      <c r="A22" s="19">
        <f t="shared" si="1"/>
        <v>0</v>
      </c>
      <c r="B22" s="19">
        <v>2019</v>
      </c>
      <c r="C22" s="112">
        <f>'Fixed Equip'!E$10</f>
        <v>7728</v>
      </c>
      <c r="D22" s="112" t="str">
        <f>IF(ISBLANK('Fixed Equip'!F$10),"",'Fixed Equip'!F$10)</f>
        <v/>
      </c>
      <c r="E22" s="19">
        <v>20</v>
      </c>
      <c r="F22" s="19" t="str">
        <f>IF(ISBLANK('Fixed Equip'!E$30),"new_ID",start)</f>
        <v>new_ID</v>
      </c>
      <c r="G22" s="113" t="s">
        <v>123</v>
      </c>
    </row>
    <row r="23" spans="1:15" x14ac:dyDescent="0.2">
      <c r="A23" s="19">
        <f t="shared" si="1"/>
        <v>0</v>
      </c>
      <c r="B23" s="19">
        <v>2019</v>
      </c>
      <c r="C23" s="112">
        <f>'Fixed Equip'!E$11</f>
        <v>7729</v>
      </c>
      <c r="D23" s="112" t="str">
        <f>IF(ISBLANK('Fixed Equip'!F$11),"",'Fixed Equip'!F$11)</f>
        <v/>
      </c>
      <c r="E23" s="19">
        <v>20</v>
      </c>
      <c r="F23" s="19" t="str">
        <f>IF(ISBLANK('Fixed Equip'!E$30),"new_ID",start)</f>
        <v>new_ID</v>
      </c>
      <c r="G23" s="113" t="s">
        <v>123</v>
      </c>
    </row>
    <row r="24" spans="1:15" x14ac:dyDescent="0.2">
      <c r="A24" s="19">
        <f t="shared" si="1"/>
        <v>0</v>
      </c>
      <c r="B24" s="19">
        <v>2019</v>
      </c>
      <c r="C24" s="112">
        <f>'Fixed Equip'!E$12</f>
        <v>7730</v>
      </c>
      <c r="D24" s="112" t="str">
        <f>IF(ISBLANK('Fixed Equip'!F$12),"",'Fixed Equip'!F$12)</f>
        <v/>
      </c>
      <c r="E24" s="19">
        <v>20</v>
      </c>
      <c r="F24" s="19" t="str">
        <f>IF(ISBLANK('Fixed Equip'!E$30),"new_ID",start)</f>
        <v>new_ID</v>
      </c>
      <c r="G24" s="113" t="s">
        <v>123</v>
      </c>
    </row>
    <row r="25" spans="1:15" x14ac:dyDescent="0.2">
      <c r="A25" s="19">
        <f t="shared" si="1"/>
        <v>0</v>
      </c>
      <c r="B25" s="19">
        <v>2019</v>
      </c>
      <c r="C25" s="112">
        <f>'Fixed Equip'!E$13</f>
        <v>7731</v>
      </c>
      <c r="D25" s="112" t="str">
        <f>IF(ISBLANK('Fixed Equip'!F$13),"",'Fixed Equip'!F$13)</f>
        <v/>
      </c>
      <c r="E25" s="19">
        <v>20</v>
      </c>
      <c r="F25" s="19" t="str">
        <f>IF(ISBLANK('Fixed Equip'!E$30),"new_ID",start)</f>
        <v>new_ID</v>
      </c>
      <c r="G25" s="113" t="s">
        <v>123</v>
      </c>
    </row>
    <row r="26" spans="1:15" x14ac:dyDescent="0.2">
      <c r="A26" s="19">
        <f t="shared" si="1"/>
        <v>0</v>
      </c>
      <c r="B26" s="19">
        <v>2019</v>
      </c>
      <c r="C26" s="112">
        <f>'Fixed Equip'!E$14</f>
        <v>7732</v>
      </c>
      <c r="D26" s="112" t="str">
        <f>IF(ISBLANK('Fixed Equip'!F$14),"",'Fixed Equip'!F$14)</f>
        <v/>
      </c>
      <c r="E26" s="19">
        <v>20</v>
      </c>
      <c r="F26" s="19" t="str">
        <f>IF(ISBLANK('Fixed Equip'!E$30),"new_ID",start)</f>
        <v>new_ID</v>
      </c>
      <c r="G26" s="113" t="s">
        <v>123</v>
      </c>
    </row>
    <row r="27" spans="1:15" x14ac:dyDescent="0.2">
      <c r="A27" s="19">
        <f t="shared" si="1"/>
        <v>0</v>
      </c>
      <c r="B27" s="19">
        <v>2019</v>
      </c>
      <c r="C27" s="112">
        <f>'Fixed Equip'!E$15</f>
        <v>7733</v>
      </c>
      <c r="D27" s="591" t="str">
        <f>IF(OR('Fixed Equip'!F$15=0,ISBLANK('Fixed Equip'!F$15)),"",'Fixed Equip'!F$15)</f>
        <v/>
      </c>
      <c r="E27" s="19">
        <v>20</v>
      </c>
      <c r="F27" s="19" t="str">
        <f>IF(ISBLANK('Fixed Equip'!E$30),"new_ID",start)</f>
        <v>new_ID</v>
      </c>
      <c r="G27" s="113" t="s">
        <v>123</v>
      </c>
    </row>
    <row r="28" spans="1:15" x14ac:dyDescent="0.2">
      <c r="A28" s="19">
        <f t="shared" si="1"/>
        <v>0</v>
      </c>
      <c r="B28" s="19">
        <v>2019</v>
      </c>
      <c r="C28" s="112">
        <f>'Fixed Equip'!E$16</f>
        <v>7734</v>
      </c>
      <c r="D28" s="112" t="str">
        <f>IF(ISBLANK('Fixed Equip'!F$16),"",'Fixed Equip'!F$16)</f>
        <v/>
      </c>
      <c r="E28" s="19">
        <v>20</v>
      </c>
      <c r="F28" s="19" t="str">
        <f>IF(ISBLANK('Fixed Equip'!E$30),"new_ID",start)</f>
        <v>new_ID</v>
      </c>
      <c r="G28" s="113" t="s">
        <v>123</v>
      </c>
    </row>
    <row r="29" spans="1:15" hidden="1" x14ac:dyDescent="0.2">
      <c r="C29" s="112"/>
      <c r="D29" s="112"/>
      <c r="G29" s="113" t="s">
        <v>123</v>
      </c>
    </row>
    <row r="30" spans="1:15" x14ac:dyDescent="0.2">
      <c r="A30" s="19">
        <f t="shared" si="1"/>
        <v>0</v>
      </c>
      <c r="B30" s="19">
        <v>2019</v>
      </c>
      <c r="C30" s="112">
        <f>'Fixed Equip'!E$18</f>
        <v>7736</v>
      </c>
      <c r="D30" s="112" t="str">
        <f>IF(ISBLANK('Fixed Equip'!F$18),"",'Fixed Equip'!F$18)</f>
        <v/>
      </c>
      <c r="E30" s="19">
        <v>20</v>
      </c>
      <c r="F30" s="19" t="str">
        <f>IF(ISBLANK('Fixed Equip'!E$30),"new_ID",start)</f>
        <v>new_ID</v>
      </c>
      <c r="G30" s="113" t="s">
        <v>123</v>
      </c>
    </row>
    <row r="31" spans="1:15" x14ac:dyDescent="0.2">
      <c r="A31" s="19">
        <f t="shared" si="1"/>
        <v>0</v>
      </c>
      <c r="B31" s="19">
        <v>2019</v>
      </c>
      <c r="C31" s="112">
        <f>'Fixed Equip'!E$19</f>
        <v>7737</v>
      </c>
      <c r="D31" s="591" t="str">
        <f>IF(OR('Fixed Equip'!F$19=0,ISBLANK('Fixed Equip'!F$19)),"",'Fixed Equip'!F$19)</f>
        <v/>
      </c>
      <c r="E31" s="19">
        <v>20</v>
      </c>
      <c r="F31" s="19" t="str">
        <f>IF(ISBLANK('Fixed Equip'!E$30),"new_ID",start)</f>
        <v>new_ID</v>
      </c>
      <c r="G31" s="113" t="s">
        <v>123</v>
      </c>
    </row>
    <row r="32" spans="1:15" x14ac:dyDescent="0.2">
      <c r="A32" s="19">
        <f t="shared" si="1"/>
        <v>0</v>
      </c>
      <c r="B32" s="19">
        <v>2019</v>
      </c>
      <c r="C32" s="112">
        <f>'Fixed Equip'!H$5</f>
        <v>7738</v>
      </c>
      <c r="D32" s="112" t="str">
        <f>IF(ISBLANK('Fixed Equip'!I$5),"",'Fixed Equip'!I$5)</f>
        <v/>
      </c>
      <c r="E32" s="19">
        <v>20</v>
      </c>
      <c r="F32" s="19" t="str">
        <f>IF(ISBLANK('Fixed Equip'!H$30),"new_ID",start)</f>
        <v>new_ID</v>
      </c>
      <c r="G32" s="120" t="s">
        <v>123</v>
      </c>
    </row>
    <row r="33" spans="1:7" x14ac:dyDescent="0.2">
      <c r="A33" s="19">
        <f t="shared" si="1"/>
        <v>0</v>
      </c>
      <c r="B33" s="19">
        <v>2019</v>
      </c>
      <c r="C33" s="112">
        <f>'Fixed Equip'!H$6</f>
        <v>7739</v>
      </c>
      <c r="D33" s="112" t="str">
        <f>IF(ISBLANK('Fixed Equip'!I$6),"",'Fixed Equip'!I$6)</f>
        <v/>
      </c>
      <c r="E33" s="19">
        <v>20</v>
      </c>
      <c r="F33" s="19" t="str">
        <f>IF(ISBLANK('Fixed Equip'!H$30),"new_ID",start)</f>
        <v>new_ID</v>
      </c>
      <c r="G33" s="113" t="s">
        <v>123</v>
      </c>
    </row>
    <row r="34" spans="1:7" x14ac:dyDescent="0.2">
      <c r="A34" s="19">
        <f t="shared" si="1"/>
        <v>0</v>
      </c>
      <c r="B34" s="19">
        <v>2019</v>
      </c>
      <c r="C34" s="112">
        <f>'Fixed Equip'!H$7</f>
        <v>7740</v>
      </c>
      <c r="D34" s="112" t="str">
        <f>IF(ISBLANK('Fixed Equip'!I$7),"",'Fixed Equip'!I$7)</f>
        <v/>
      </c>
      <c r="E34" s="19">
        <v>20</v>
      </c>
      <c r="F34" s="19" t="str">
        <f>IF(ISBLANK('Fixed Equip'!H$30),"new_ID",start)</f>
        <v>new_ID</v>
      </c>
      <c r="G34" s="113" t="s">
        <v>123</v>
      </c>
    </row>
    <row r="35" spans="1:7" x14ac:dyDescent="0.2">
      <c r="A35" s="19">
        <f t="shared" si="1"/>
        <v>0</v>
      </c>
      <c r="B35" s="19">
        <v>2019</v>
      </c>
      <c r="C35" s="112">
        <f>'Fixed Equip'!H$8</f>
        <v>7741</v>
      </c>
      <c r="D35" s="112" t="str">
        <f>IF(ISBLANK('Fixed Equip'!I$8),"",'Fixed Equip'!I$8)</f>
        <v/>
      </c>
      <c r="E35" s="19">
        <v>20</v>
      </c>
      <c r="F35" s="19" t="str">
        <f>IF(ISBLANK('Fixed Equip'!H$30),"new_ID",start)</f>
        <v>new_ID</v>
      </c>
      <c r="G35" s="113" t="s">
        <v>123</v>
      </c>
    </row>
    <row r="36" spans="1:7" x14ac:dyDescent="0.2">
      <c r="A36" s="19">
        <f t="shared" si="1"/>
        <v>0</v>
      </c>
      <c r="B36" s="19">
        <v>2019</v>
      </c>
      <c r="C36" s="112">
        <f>'Fixed Equip'!H$9</f>
        <v>7742</v>
      </c>
      <c r="D36" s="112" t="str">
        <f>IF(ISBLANK('Fixed Equip'!I$9),"",'Fixed Equip'!I$9)</f>
        <v/>
      </c>
      <c r="E36" s="19">
        <v>20</v>
      </c>
      <c r="F36" s="19" t="str">
        <f>IF(ISBLANK('Fixed Equip'!H$30),"new_ID",start)</f>
        <v>new_ID</v>
      </c>
      <c r="G36" s="113" t="s">
        <v>123</v>
      </c>
    </row>
    <row r="37" spans="1:7" x14ac:dyDescent="0.2">
      <c r="A37" s="19">
        <f t="shared" si="1"/>
        <v>0</v>
      </c>
      <c r="B37" s="19">
        <v>2019</v>
      </c>
      <c r="C37" s="112">
        <f>'Fixed Equip'!H$10</f>
        <v>7743</v>
      </c>
      <c r="D37" s="112" t="str">
        <f>IF(ISBLANK('Fixed Equip'!I$10),"",'Fixed Equip'!I$10)</f>
        <v/>
      </c>
      <c r="E37" s="19">
        <v>20</v>
      </c>
      <c r="F37" s="19" t="str">
        <f>IF(ISBLANK('Fixed Equip'!H$30),"new_ID",start)</f>
        <v>new_ID</v>
      </c>
      <c r="G37" s="113" t="s">
        <v>123</v>
      </c>
    </row>
    <row r="38" spans="1:7" x14ac:dyDescent="0.2">
      <c r="A38" s="19">
        <f t="shared" si="1"/>
        <v>0</v>
      </c>
      <c r="B38" s="19">
        <v>2019</v>
      </c>
      <c r="C38" s="112">
        <f>'Fixed Equip'!H$11</f>
        <v>7744</v>
      </c>
      <c r="D38" s="112" t="str">
        <f>IF(ISBLANK('Fixed Equip'!I$11),"",'Fixed Equip'!I$11)</f>
        <v/>
      </c>
      <c r="E38" s="19">
        <v>20</v>
      </c>
      <c r="F38" s="19" t="str">
        <f>IF(ISBLANK('Fixed Equip'!H$30),"new_ID",start)</f>
        <v>new_ID</v>
      </c>
      <c r="G38" s="113" t="s">
        <v>123</v>
      </c>
    </row>
    <row r="39" spans="1:7" x14ac:dyDescent="0.2">
      <c r="A39" s="19">
        <f t="shared" si="1"/>
        <v>0</v>
      </c>
      <c r="B39" s="19">
        <v>2019</v>
      </c>
      <c r="C39" s="112">
        <f>'Fixed Equip'!H$12</f>
        <v>7745</v>
      </c>
      <c r="D39" s="112" t="str">
        <f>IF(ISBLANK('Fixed Equip'!I$12),"",'Fixed Equip'!I$12)</f>
        <v/>
      </c>
      <c r="E39" s="19">
        <v>20</v>
      </c>
      <c r="F39" s="19" t="str">
        <f>IF(ISBLANK('Fixed Equip'!H$30),"new_ID",start)</f>
        <v>new_ID</v>
      </c>
      <c r="G39" s="113" t="s">
        <v>123</v>
      </c>
    </row>
    <row r="40" spans="1:7" x14ac:dyDescent="0.2">
      <c r="A40" s="19">
        <f t="shared" si="1"/>
        <v>0</v>
      </c>
      <c r="B40" s="19">
        <v>2019</v>
      </c>
      <c r="C40" s="112">
        <f>'Fixed Equip'!H$13</f>
        <v>7746</v>
      </c>
      <c r="D40" s="112" t="str">
        <f>IF(ISBLANK('Fixed Equip'!I$13),"",'Fixed Equip'!I$13)</f>
        <v/>
      </c>
      <c r="E40" s="19">
        <v>20</v>
      </c>
      <c r="F40" s="19" t="str">
        <f>IF(ISBLANK('Fixed Equip'!H$30),"new_ID",start)</f>
        <v>new_ID</v>
      </c>
      <c r="G40" s="113" t="s">
        <v>123</v>
      </c>
    </row>
    <row r="41" spans="1:7" x14ac:dyDescent="0.2">
      <c r="A41" s="19">
        <f t="shared" si="1"/>
        <v>0</v>
      </c>
      <c r="B41" s="19">
        <v>2019</v>
      </c>
      <c r="C41" s="112">
        <f>'Fixed Equip'!H$14</f>
        <v>7747</v>
      </c>
      <c r="D41" s="112" t="str">
        <f>IF(ISBLANK('Fixed Equip'!I$14),"",'Fixed Equip'!I$14)</f>
        <v/>
      </c>
      <c r="E41" s="19">
        <v>20</v>
      </c>
      <c r="F41" s="19" t="str">
        <f>IF(ISBLANK('Fixed Equip'!H$30),"new_ID",start)</f>
        <v>new_ID</v>
      </c>
      <c r="G41" s="113" t="s">
        <v>123</v>
      </c>
    </row>
    <row r="42" spans="1:7" x14ac:dyDescent="0.2">
      <c r="A42" s="19">
        <f t="shared" si="1"/>
        <v>0</v>
      </c>
      <c r="B42" s="19">
        <v>2019</v>
      </c>
      <c r="C42" s="112">
        <f>'Fixed Equip'!H$15</f>
        <v>7748</v>
      </c>
      <c r="D42" s="591" t="str">
        <f>IF(OR('Fixed Equip'!I$15=0,ISBLANK('Fixed Equip'!I$15)),"",'Fixed Equip'!I$15)</f>
        <v/>
      </c>
      <c r="E42" s="19">
        <v>20</v>
      </c>
      <c r="F42" s="19" t="str">
        <f>IF(ISBLANK('Fixed Equip'!H$30),"new_ID",start)</f>
        <v>new_ID</v>
      </c>
      <c r="G42" s="113" t="s">
        <v>123</v>
      </c>
    </row>
    <row r="43" spans="1:7" x14ac:dyDescent="0.2">
      <c r="A43" s="19">
        <f t="shared" si="1"/>
        <v>0</v>
      </c>
      <c r="B43" s="19">
        <v>2019</v>
      </c>
      <c r="C43" s="112">
        <f>'Fixed Equip'!H$16</f>
        <v>7749</v>
      </c>
      <c r="D43" s="112" t="str">
        <f>IF(ISBLANK('Fixed Equip'!I$16),"",'Fixed Equip'!I$16)</f>
        <v/>
      </c>
      <c r="E43" s="19">
        <v>20</v>
      </c>
      <c r="F43" s="19" t="str">
        <f>IF(ISBLANK('Fixed Equip'!H$30),"new_ID",start)</f>
        <v>new_ID</v>
      </c>
      <c r="G43" s="113" t="s">
        <v>123</v>
      </c>
    </row>
    <row r="44" spans="1:7" hidden="1" x14ac:dyDescent="0.2">
      <c r="C44" s="112"/>
      <c r="D44" s="112"/>
      <c r="G44" s="113" t="s">
        <v>123</v>
      </c>
    </row>
    <row r="45" spans="1:7" x14ac:dyDescent="0.2">
      <c r="A45" s="19">
        <f t="shared" si="1"/>
        <v>0</v>
      </c>
      <c r="B45" s="19">
        <v>2019</v>
      </c>
      <c r="C45" s="112">
        <f>'Fixed Equip'!H$18</f>
        <v>7751</v>
      </c>
      <c r="D45" s="112" t="str">
        <f>IF(ISBLANK('Fixed Equip'!I$18),"",'Fixed Equip'!I$18)</f>
        <v/>
      </c>
      <c r="E45" s="19">
        <v>20</v>
      </c>
      <c r="F45" s="19" t="str">
        <f>IF(ISBLANK('Fixed Equip'!H$30),"new_ID",start)</f>
        <v>new_ID</v>
      </c>
      <c r="G45" s="113" t="s">
        <v>123</v>
      </c>
    </row>
    <row r="46" spans="1:7" x14ac:dyDescent="0.2">
      <c r="A46" s="19">
        <f t="shared" si="1"/>
        <v>0</v>
      </c>
      <c r="B46" s="19">
        <v>2019</v>
      </c>
      <c r="C46" s="112">
        <f>'Fixed Equip'!H$19</f>
        <v>7752</v>
      </c>
      <c r="D46" s="591" t="str">
        <f>IF(OR('Fixed Equip'!I$19=0,ISBLANK('Fixed Equip'!I$19)),"",'Fixed Equip'!I$19)</f>
        <v/>
      </c>
      <c r="E46" s="19">
        <v>20</v>
      </c>
      <c r="F46" s="19" t="str">
        <f>IF(ISBLANK('Fixed Equip'!H$30),"new_ID",start)</f>
        <v>new_ID</v>
      </c>
      <c r="G46" s="113" t="s">
        <v>123</v>
      </c>
    </row>
    <row r="47" spans="1:7" x14ac:dyDescent="0.2">
      <c r="A47" s="19">
        <f t="shared" si="1"/>
        <v>0</v>
      </c>
      <c r="B47" s="19">
        <v>2019</v>
      </c>
      <c r="C47" s="112">
        <f>'Fixed Equip'!K$5</f>
        <v>7753</v>
      </c>
      <c r="D47" s="112" t="str">
        <f>IF(ISBLANK('Fixed Equip'!L$5),"",'Fixed Equip'!L$5)</f>
        <v/>
      </c>
      <c r="E47" s="19">
        <v>20</v>
      </c>
      <c r="F47" s="19" t="str">
        <f>IF(ISBLANK('Fixed Equip'!K$30),"new_ID",start)</f>
        <v>new_ID</v>
      </c>
      <c r="G47" s="120" t="s">
        <v>123</v>
      </c>
    </row>
    <row r="48" spans="1:7" x14ac:dyDescent="0.2">
      <c r="A48" s="19">
        <f t="shared" si="1"/>
        <v>0</v>
      </c>
      <c r="B48" s="19">
        <v>2019</v>
      </c>
      <c r="C48" s="112">
        <f>'Fixed Equip'!K$6</f>
        <v>7754</v>
      </c>
      <c r="D48" s="112" t="str">
        <f>IF(ISBLANK('Fixed Equip'!L$6),"",'Fixed Equip'!L$6)</f>
        <v/>
      </c>
      <c r="E48" s="19">
        <v>20</v>
      </c>
      <c r="F48" s="19" t="str">
        <f>IF(ISBLANK('Fixed Equip'!K$30),"new_ID",start)</f>
        <v>new_ID</v>
      </c>
      <c r="G48" s="113" t="s">
        <v>123</v>
      </c>
    </row>
    <row r="49" spans="1:7" x14ac:dyDescent="0.2">
      <c r="A49" s="19">
        <f t="shared" si="1"/>
        <v>0</v>
      </c>
      <c r="B49" s="19">
        <v>2019</v>
      </c>
      <c r="C49" s="112">
        <f>'Fixed Equip'!K$7</f>
        <v>7755</v>
      </c>
      <c r="D49" s="112" t="str">
        <f>IF(ISBLANK('Fixed Equip'!L$7),"",'Fixed Equip'!L$7)</f>
        <v/>
      </c>
      <c r="E49" s="19">
        <v>20</v>
      </c>
      <c r="F49" s="19" t="str">
        <f>IF(ISBLANK('Fixed Equip'!K$30),"new_ID",start)</f>
        <v>new_ID</v>
      </c>
      <c r="G49" s="113" t="s">
        <v>123</v>
      </c>
    </row>
    <row r="50" spans="1:7" x14ac:dyDescent="0.2">
      <c r="A50" s="19">
        <f t="shared" si="1"/>
        <v>0</v>
      </c>
      <c r="B50" s="19">
        <v>2019</v>
      </c>
      <c r="C50" s="112">
        <f>'Fixed Equip'!K$8</f>
        <v>7756</v>
      </c>
      <c r="D50" s="112" t="str">
        <f>IF(ISBLANK('Fixed Equip'!L$8),"",'Fixed Equip'!L$8)</f>
        <v/>
      </c>
      <c r="E50" s="19">
        <v>20</v>
      </c>
      <c r="F50" s="19" t="str">
        <f>IF(ISBLANK('Fixed Equip'!K$30),"new_ID",start)</f>
        <v>new_ID</v>
      </c>
      <c r="G50" s="113" t="s">
        <v>123</v>
      </c>
    </row>
    <row r="51" spans="1:7" x14ac:dyDescent="0.2">
      <c r="A51" s="19">
        <f t="shared" si="1"/>
        <v>0</v>
      </c>
      <c r="B51" s="19">
        <v>2019</v>
      </c>
      <c r="C51" s="112">
        <f>'Fixed Equip'!K$9</f>
        <v>7757</v>
      </c>
      <c r="D51" s="112" t="str">
        <f>IF(ISBLANK('Fixed Equip'!L$9),"",'Fixed Equip'!L$9)</f>
        <v/>
      </c>
      <c r="E51" s="19">
        <v>20</v>
      </c>
      <c r="F51" s="19" t="str">
        <f>IF(ISBLANK('Fixed Equip'!K$30),"new_ID",start)</f>
        <v>new_ID</v>
      </c>
      <c r="G51" s="113" t="s">
        <v>123</v>
      </c>
    </row>
    <row r="52" spans="1:7" x14ac:dyDescent="0.2">
      <c r="A52" s="19">
        <f t="shared" si="1"/>
        <v>0</v>
      </c>
      <c r="B52" s="19">
        <v>2019</v>
      </c>
      <c r="C52" s="112">
        <f>'Fixed Equip'!K$10</f>
        <v>7758</v>
      </c>
      <c r="D52" s="112" t="str">
        <f>IF(ISBLANK('Fixed Equip'!L$10),"",'Fixed Equip'!L$10)</f>
        <v/>
      </c>
      <c r="E52" s="19">
        <v>20</v>
      </c>
      <c r="F52" s="19" t="str">
        <f>IF(ISBLANK('Fixed Equip'!K$30),"new_ID",start)</f>
        <v>new_ID</v>
      </c>
      <c r="G52" s="113" t="s">
        <v>123</v>
      </c>
    </row>
    <row r="53" spans="1:7" x14ac:dyDescent="0.2">
      <c r="A53" s="19">
        <f t="shared" si="1"/>
        <v>0</v>
      </c>
      <c r="B53" s="19">
        <v>2019</v>
      </c>
      <c r="C53" s="112">
        <f>'Fixed Equip'!K$11</f>
        <v>7759</v>
      </c>
      <c r="D53" s="112" t="str">
        <f>IF(ISBLANK('Fixed Equip'!L$11),"",'Fixed Equip'!L$11)</f>
        <v/>
      </c>
      <c r="E53" s="19">
        <v>20</v>
      </c>
      <c r="F53" s="19" t="str">
        <f>IF(ISBLANK('Fixed Equip'!K$30),"new_ID",start)</f>
        <v>new_ID</v>
      </c>
      <c r="G53" s="113" t="s">
        <v>123</v>
      </c>
    </row>
    <row r="54" spans="1:7" x14ac:dyDescent="0.2">
      <c r="A54" s="19">
        <f t="shared" si="1"/>
        <v>0</v>
      </c>
      <c r="B54" s="19">
        <v>2019</v>
      </c>
      <c r="C54" s="112">
        <f>'Fixed Equip'!K$12</f>
        <v>7760</v>
      </c>
      <c r="D54" s="112" t="str">
        <f>IF(ISBLANK('Fixed Equip'!L$12),"",'Fixed Equip'!L$12)</f>
        <v/>
      </c>
      <c r="E54" s="19">
        <v>20</v>
      </c>
      <c r="F54" s="19" t="str">
        <f>IF(ISBLANK('Fixed Equip'!K$30),"new_ID",start)</f>
        <v>new_ID</v>
      </c>
      <c r="G54" s="113" t="s">
        <v>123</v>
      </c>
    </row>
    <row r="55" spans="1:7" x14ac:dyDescent="0.2">
      <c r="A55" s="19">
        <f t="shared" si="1"/>
        <v>0</v>
      </c>
      <c r="B55" s="19">
        <v>2019</v>
      </c>
      <c r="C55" s="112">
        <f>'Fixed Equip'!K$13</f>
        <v>7761</v>
      </c>
      <c r="D55" s="112" t="str">
        <f>IF(ISBLANK('Fixed Equip'!L$13),"",'Fixed Equip'!L$13)</f>
        <v/>
      </c>
      <c r="E55" s="19">
        <v>20</v>
      </c>
      <c r="F55" s="19" t="str">
        <f>IF(ISBLANK('Fixed Equip'!K$30),"new_ID",start)</f>
        <v>new_ID</v>
      </c>
      <c r="G55" s="113" t="s">
        <v>123</v>
      </c>
    </row>
    <row r="56" spans="1:7" x14ac:dyDescent="0.2">
      <c r="A56" s="19">
        <f t="shared" si="1"/>
        <v>0</v>
      </c>
      <c r="B56" s="19">
        <v>2019</v>
      </c>
      <c r="C56" s="112">
        <f>'Fixed Equip'!K$14</f>
        <v>7762</v>
      </c>
      <c r="D56" s="112" t="str">
        <f>IF(ISBLANK('Fixed Equip'!L$14),"",'Fixed Equip'!L$14)</f>
        <v/>
      </c>
      <c r="E56" s="19">
        <v>20</v>
      </c>
      <c r="F56" s="19" t="str">
        <f>IF(ISBLANK('Fixed Equip'!K$30),"new_ID",start)</f>
        <v>new_ID</v>
      </c>
      <c r="G56" s="113" t="s">
        <v>123</v>
      </c>
    </row>
    <row r="57" spans="1:7" x14ac:dyDescent="0.2">
      <c r="A57" s="19">
        <f t="shared" si="1"/>
        <v>0</v>
      </c>
      <c r="B57" s="19">
        <v>2019</v>
      </c>
      <c r="C57" s="112">
        <f>'Fixed Equip'!K$15</f>
        <v>7763</v>
      </c>
      <c r="D57" s="591" t="str">
        <f>IF(OR('Fixed Equip'!L$15=0,ISBLANK('Fixed Equip'!L$15)),"",'Fixed Equip'!L$15)</f>
        <v/>
      </c>
      <c r="E57" s="19">
        <v>20</v>
      </c>
      <c r="F57" s="19" t="str">
        <f>IF(ISBLANK('Fixed Equip'!K$30),"new_ID",start)</f>
        <v>new_ID</v>
      </c>
      <c r="G57" s="113" t="s">
        <v>123</v>
      </c>
    </row>
    <row r="58" spans="1:7" x14ac:dyDescent="0.2">
      <c r="A58" s="19">
        <f t="shared" si="1"/>
        <v>0</v>
      </c>
      <c r="B58" s="19">
        <v>2019</v>
      </c>
      <c r="C58" s="112">
        <f>'Fixed Equip'!K$16</f>
        <v>7764</v>
      </c>
      <c r="D58" s="112" t="str">
        <f>IF(ISBLANK('Fixed Equip'!L$16),"",'Fixed Equip'!L$16)</f>
        <v/>
      </c>
      <c r="E58" s="19">
        <v>20</v>
      </c>
      <c r="F58" s="19" t="str">
        <f>IF(ISBLANK('Fixed Equip'!K$30),"new_ID",start)</f>
        <v>new_ID</v>
      </c>
      <c r="G58" s="113" t="s">
        <v>123</v>
      </c>
    </row>
    <row r="59" spans="1:7" hidden="1" x14ac:dyDescent="0.2">
      <c r="C59" s="112"/>
      <c r="D59" s="112"/>
      <c r="G59" s="113" t="s">
        <v>123</v>
      </c>
    </row>
    <row r="60" spans="1:7" x14ac:dyDescent="0.2">
      <c r="A60" s="19">
        <f t="shared" si="1"/>
        <v>0</v>
      </c>
      <c r="B60" s="19">
        <v>2019</v>
      </c>
      <c r="C60" s="112">
        <f>'Fixed Equip'!K$18</f>
        <v>7766</v>
      </c>
      <c r="D60" s="112" t="str">
        <f>IF(ISBLANK('Fixed Equip'!L$18),"",'Fixed Equip'!L$18)</f>
        <v/>
      </c>
      <c r="E60" s="19">
        <v>20</v>
      </c>
      <c r="F60" s="19" t="str">
        <f>IF(ISBLANK('Fixed Equip'!K$30),"new_ID",start)</f>
        <v>new_ID</v>
      </c>
      <c r="G60" s="113" t="s">
        <v>123</v>
      </c>
    </row>
    <row r="61" spans="1:7" x14ac:dyDescent="0.2">
      <c r="A61" s="19">
        <f t="shared" si="1"/>
        <v>0</v>
      </c>
      <c r="B61" s="19">
        <v>2019</v>
      </c>
      <c r="C61" s="112">
        <f>'Fixed Equip'!K$19</f>
        <v>7767</v>
      </c>
      <c r="D61" s="591" t="str">
        <f>IF(OR('Fixed Equip'!L$19=0,ISBLANK('Fixed Equip'!L$19)),"",'Fixed Equip'!L$19)</f>
        <v/>
      </c>
      <c r="E61" s="19">
        <v>20</v>
      </c>
      <c r="F61" s="19" t="str">
        <f>IF(ISBLANK('Fixed Equip'!K$30),"new_ID",start)</f>
        <v>new_ID</v>
      </c>
      <c r="G61" s="113" t="s">
        <v>123</v>
      </c>
    </row>
    <row r="62" spans="1:7" x14ac:dyDescent="0.2">
      <c r="A62" s="19">
        <f t="shared" si="1"/>
        <v>0</v>
      </c>
      <c r="B62" s="19">
        <v>2019</v>
      </c>
      <c r="C62" s="112">
        <f>'Fixed Equip'!N$5</f>
        <v>7768</v>
      </c>
      <c r="D62" s="112" t="str">
        <f>IF(ISBLANK('Fixed Equip'!O$5),"",'Fixed Equip'!O$5)</f>
        <v/>
      </c>
      <c r="E62" s="19">
        <v>20</v>
      </c>
      <c r="F62" s="19" t="str">
        <f>IF(ISBLANK('Fixed Equip'!N$30),"new_ID",start)</f>
        <v>new_ID</v>
      </c>
      <c r="G62" s="120" t="s">
        <v>123</v>
      </c>
    </row>
    <row r="63" spans="1:7" x14ac:dyDescent="0.2">
      <c r="A63" s="19">
        <f t="shared" si="1"/>
        <v>0</v>
      </c>
      <c r="B63" s="19">
        <v>2019</v>
      </c>
      <c r="C63" s="112">
        <f>'Fixed Equip'!N$6</f>
        <v>7769</v>
      </c>
      <c r="D63" s="112" t="str">
        <f>IF(ISBLANK('Fixed Equip'!O$6),"",'Fixed Equip'!O$6)</f>
        <v/>
      </c>
      <c r="E63" s="19">
        <v>20</v>
      </c>
      <c r="F63" s="19" t="str">
        <f>IF(ISBLANK('Fixed Equip'!N$30),"new_ID",start)</f>
        <v>new_ID</v>
      </c>
      <c r="G63" s="113" t="s">
        <v>123</v>
      </c>
    </row>
    <row r="64" spans="1:7" x14ac:dyDescent="0.2">
      <c r="A64" s="19">
        <f t="shared" si="1"/>
        <v>0</v>
      </c>
      <c r="B64" s="19">
        <v>2019</v>
      </c>
      <c r="C64" s="112">
        <f>'Fixed Equip'!N$7</f>
        <v>7770</v>
      </c>
      <c r="D64" s="112" t="str">
        <f>IF(ISBLANK('Fixed Equip'!O$7),"",'Fixed Equip'!O$7)</f>
        <v/>
      </c>
      <c r="E64" s="19">
        <v>20</v>
      </c>
      <c r="F64" s="19" t="str">
        <f>IF(ISBLANK('Fixed Equip'!N$30),"new_ID",start)</f>
        <v>new_ID</v>
      </c>
      <c r="G64" s="113" t="s">
        <v>123</v>
      </c>
    </row>
    <row r="65" spans="1:7" x14ac:dyDescent="0.2">
      <c r="A65" s="19">
        <f t="shared" si="1"/>
        <v>0</v>
      </c>
      <c r="B65" s="19">
        <v>2019</v>
      </c>
      <c r="C65" s="112">
        <f>'Fixed Equip'!N$8</f>
        <v>7771</v>
      </c>
      <c r="D65" s="112" t="str">
        <f>IF(ISBLANK('Fixed Equip'!O$8),"",'Fixed Equip'!O$8)</f>
        <v/>
      </c>
      <c r="E65" s="19">
        <v>20</v>
      </c>
      <c r="F65" s="19" t="str">
        <f>IF(ISBLANK('Fixed Equip'!N$30),"new_ID",start)</f>
        <v>new_ID</v>
      </c>
      <c r="G65" s="113" t="s">
        <v>123</v>
      </c>
    </row>
    <row r="66" spans="1:7" x14ac:dyDescent="0.2">
      <c r="A66" s="19">
        <f t="shared" si="1"/>
        <v>0</v>
      </c>
      <c r="B66" s="19">
        <v>2019</v>
      </c>
      <c r="C66" s="112">
        <f>'Fixed Equip'!N$9</f>
        <v>7772</v>
      </c>
      <c r="D66" s="112" t="str">
        <f>IF(ISBLANK('Fixed Equip'!O$9),"",'Fixed Equip'!O$9)</f>
        <v/>
      </c>
      <c r="E66" s="19">
        <v>20</v>
      </c>
      <c r="F66" s="19" t="str">
        <f>IF(ISBLANK('Fixed Equip'!N$30),"new_ID",start)</f>
        <v>new_ID</v>
      </c>
      <c r="G66" s="113" t="s">
        <v>123</v>
      </c>
    </row>
    <row r="67" spans="1:7" x14ac:dyDescent="0.2">
      <c r="A67" s="19">
        <f t="shared" si="1"/>
        <v>0</v>
      </c>
      <c r="B67" s="19">
        <v>2019</v>
      </c>
      <c r="C67" s="112">
        <f>'Fixed Equip'!N$10</f>
        <v>7773</v>
      </c>
      <c r="D67" s="112" t="str">
        <f>IF(ISBLANK('Fixed Equip'!O$10),"",'Fixed Equip'!O$10)</f>
        <v/>
      </c>
      <c r="E67" s="19">
        <v>20</v>
      </c>
      <c r="F67" s="19" t="str">
        <f>IF(ISBLANK('Fixed Equip'!N$30),"new_ID",start)</f>
        <v>new_ID</v>
      </c>
      <c r="G67" s="113" t="s">
        <v>123</v>
      </c>
    </row>
    <row r="68" spans="1:7" x14ac:dyDescent="0.2">
      <c r="A68" s="19">
        <f t="shared" si="1"/>
        <v>0</v>
      </c>
      <c r="B68" s="19">
        <v>2019</v>
      </c>
      <c r="C68" s="112">
        <f>'Fixed Equip'!N$11</f>
        <v>7774</v>
      </c>
      <c r="D68" s="112" t="str">
        <f>IF(ISBLANK('Fixed Equip'!O$11),"",'Fixed Equip'!O$11)</f>
        <v/>
      </c>
      <c r="E68" s="19">
        <v>20</v>
      </c>
      <c r="F68" s="19" t="str">
        <f>IF(ISBLANK('Fixed Equip'!N$30),"new_ID",start)</f>
        <v>new_ID</v>
      </c>
      <c r="G68" s="113" t="s">
        <v>123</v>
      </c>
    </row>
    <row r="69" spans="1:7" x14ac:dyDescent="0.2">
      <c r="A69" s="19">
        <f t="shared" si="1"/>
        <v>0</v>
      </c>
      <c r="B69" s="19">
        <v>2019</v>
      </c>
      <c r="C69" s="112">
        <f>'Fixed Equip'!N$12</f>
        <v>7775</v>
      </c>
      <c r="D69" s="112" t="str">
        <f>IF(ISBLANK('Fixed Equip'!O$12),"",'Fixed Equip'!O$12)</f>
        <v/>
      </c>
      <c r="E69" s="19">
        <v>20</v>
      </c>
      <c r="F69" s="19" t="str">
        <f>IF(ISBLANK('Fixed Equip'!N$30),"new_ID",start)</f>
        <v>new_ID</v>
      </c>
      <c r="G69" s="113" t="s">
        <v>123</v>
      </c>
    </row>
    <row r="70" spans="1:7" x14ac:dyDescent="0.2">
      <c r="A70" s="19">
        <f t="shared" ref="A70:A97" si="2">start</f>
        <v>0</v>
      </c>
      <c r="B70" s="19">
        <v>2019</v>
      </c>
      <c r="C70" s="112">
        <f>'Fixed Equip'!N$13</f>
        <v>7776</v>
      </c>
      <c r="D70" s="112" t="str">
        <f>IF(ISBLANK('Fixed Equip'!O$13),"",'Fixed Equip'!O$13)</f>
        <v/>
      </c>
      <c r="E70" s="19">
        <v>20</v>
      </c>
      <c r="F70" s="19" t="str">
        <f>IF(ISBLANK('Fixed Equip'!N$30),"new_ID",start)</f>
        <v>new_ID</v>
      </c>
      <c r="G70" s="113" t="s">
        <v>123</v>
      </c>
    </row>
    <row r="71" spans="1:7" x14ac:dyDescent="0.2">
      <c r="A71" s="19">
        <f t="shared" si="2"/>
        <v>0</v>
      </c>
      <c r="B71" s="19">
        <v>2019</v>
      </c>
      <c r="C71" s="112">
        <f>'Fixed Equip'!N$14</f>
        <v>7777</v>
      </c>
      <c r="D71" s="112" t="str">
        <f>IF(ISBLANK('Fixed Equip'!O$14),"",'Fixed Equip'!O$14)</f>
        <v/>
      </c>
      <c r="E71" s="19">
        <v>20</v>
      </c>
      <c r="F71" s="19" t="str">
        <f>IF(ISBLANK('Fixed Equip'!N$30),"new_ID",start)</f>
        <v>new_ID</v>
      </c>
      <c r="G71" s="113" t="s">
        <v>123</v>
      </c>
    </row>
    <row r="72" spans="1:7" x14ac:dyDescent="0.2">
      <c r="A72" s="19">
        <f t="shared" si="2"/>
        <v>0</v>
      </c>
      <c r="B72" s="19">
        <v>2019</v>
      </c>
      <c r="C72" s="112">
        <f>'Fixed Equip'!N$15</f>
        <v>7778</v>
      </c>
      <c r="D72" s="591" t="str">
        <f>IF(OR('Fixed Equip'!O$15=0,ISBLANK('Fixed Equip'!O$15)),"",'Fixed Equip'!O$15)</f>
        <v/>
      </c>
      <c r="E72" s="19">
        <v>20</v>
      </c>
      <c r="F72" s="19" t="str">
        <f>IF(ISBLANK('Fixed Equip'!N$30),"new_ID",start)</f>
        <v>new_ID</v>
      </c>
      <c r="G72" s="113" t="s">
        <v>123</v>
      </c>
    </row>
    <row r="73" spans="1:7" x14ac:dyDescent="0.2">
      <c r="A73" s="19">
        <f t="shared" si="2"/>
        <v>0</v>
      </c>
      <c r="B73" s="19">
        <v>2019</v>
      </c>
      <c r="C73" s="112">
        <f>'Fixed Equip'!N$16</f>
        <v>7779</v>
      </c>
      <c r="D73" s="112" t="str">
        <f>IF(ISBLANK('Fixed Equip'!O$16),"",'Fixed Equip'!O$16)</f>
        <v/>
      </c>
      <c r="E73" s="19">
        <v>20</v>
      </c>
      <c r="F73" s="19" t="str">
        <f>IF(ISBLANK('Fixed Equip'!N$30),"new_ID",start)</f>
        <v>new_ID</v>
      </c>
      <c r="G73" s="113" t="s">
        <v>123</v>
      </c>
    </row>
    <row r="74" spans="1:7" hidden="1" x14ac:dyDescent="0.2">
      <c r="C74" s="112"/>
      <c r="D74" s="112"/>
      <c r="G74" s="113" t="s">
        <v>123</v>
      </c>
    </row>
    <row r="75" spans="1:7" x14ac:dyDescent="0.2">
      <c r="A75" s="19">
        <f t="shared" si="2"/>
        <v>0</v>
      </c>
      <c r="B75" s="19">
        <v>2019</v>
      </c>
      <c r="C75" s="112">
        <f>'Fixed Equip'!N$18</f>
        <v>7781</v>
      </c>
      <c r="D75" s="112" t="str">
        <f>IF(ISBLANK('Fixed Equip'!O$18),"",'Fixed Equip'!O$18)</f>
        <v/>
      </c>
      <c r="E75" s="19">
        <v>20</v>
      </c>
      <c r="F75" s="19" t="str">
        <f>IF(ISBLANK('Fixed Equip'!N$30),"new_ID",start)</f>
        <v>new_ID</v>
      </c>
      <c r="G75" s="113" t="s">
        <v>123</v>
      </c>
    </row>
    <row r="76" spans="1:7" x14ac:dyDescent="0.2">
      <c r="A76" s="19">
        <f t="shared" si="2"/>
        <v>0</v>
      </c>
      <c r="B76" s="19">
        <v>2019</v>
      </c>
      <c r="C76" s="112">
        <f>'Fixed Equip'!N$19</f>
        <v>7782</v>
      </c>
      <c r="D76" s="591" t="str">
        <f>IF(OR('Fixed Equip'!O$19=0,ISBLANK('Fixed Equip'!O$19)),"",'Fixed Equip'!O$19)</f>
        <v/>
      </c>
      <c r="E76" s="19">
        <v>20</v>
      </c>
      <c r="F76" s="19" t="str">
        <f>IF(ISBLANK('Fixed Equip'!N$30),"new_ID",start)</f>
        <v>new_ID</v>
      </c>
      <c r="G76" s="113" t="s">
        <v>123</v>
      </c>
    </row>
    <row r="77" spans="1:7" x14ac:dyDescent="0.2">
      <c r="A77" s="19">
        <f t="shared" si="2"/>
        <v>0</v>
      </c>
      <c r="B77" s="19">
        <v>2019</v>
      </c>
      <c r="C77" s="112">
        <f>'Fixed Equip'!Q$5</f>
        <v>7783</v>
      </c>
      <c r="D77" s="112" t="str">
        <f>IF(ISBLANK('Fixed Equip'!R$5),"",'Fixed Equip'!R$5)</f>
        <v/>
      </c>
      <c r="E77" s="19">
        <v>20</v>
      </c>
      <c r="F77" s="19" t="str">
        <f>IF(ISBLANK('Fixed Equip'!Q$30),"new_ID",start)</f>
        <v>new_ID</v>
      </c>
      <c r="G77" s="120" t="s">
        <v>123</v>
      </c>
    </row>
    <row r="78" spans="1:7" x14ac:dyDescent="0.2">
      <c r="A78" s="19">
        <f t="shared" si="2"/>
        <v>0</v>
      </c>
      <c r="B78" s="19">
        <v>2019</v>
      </c>
      <c r="C78" s="112">
        <f>'Fixed Equip'!Q$6</f>
        <v>7784</v>
      </c>
      <c r="D78" s="112" t="str">
        <f>IF(ISBLANK('Fixed Equip'!R$6),"",'Fixed Equip'!R$6)</f>
        <v/>
      </c>
      <c r="E78" s="19">
        <v>20</v>
      </c>
      <c r="F78" s="19" t="str">
        <f>IF(ISBLANK('Fixed Equip'!Q$30),"new_ID",start)</f>
        <v>new_ID</v>
      </c>
      <c r="G78" s="113" t="s">
        <v>123</v>
      </c>
    </row>
    <row r="79" spans="1:7" x14ac:dyDescent="0.2">
      <c r="A79" s="19">
        <f t="shared" si="2"/>
        <v>0</v>
      </c>
      <c r="B79" s="19">
        <v>2019</v>
      </c>
      <c r="C79" s="112">
        <f>'Fixed Equip'!Q$7</f>
        <v>7785</v>
      </c>
      <c r="D79" s="112" t="str">
        <f>IF(ISBLANK('Fixed Equip'!R$7),"",'Fixed Equip'!R$7)</f>
        <v/>
      </c>
      <c r="E79" s="19">
        <v>20</v>
      </c>
      <c r="F79" s="19" t="str">
        <f>IF(ISBLANK('Fixed Equip'!Q$30),"new_ID",start)</f>
        <v>new_ID</v>
      </c>
      <c r="G79" s="113" t="s">
        <v>123</v>
      </c>
    </row>
    <row r="80" spans="1:7" x14ac:dyDescent="0.2">
      <c r="A80" s="19">
        <f t="shared" si="2"/>
        <v>0</v>
      </c>
      <c r="B80" s="19">
        <v>2019</v>
      </c>
      <c r="C80" s="112">
        <f>'Fixed Equip'!Q$8</f>
        <v>7786</v>
      </c>
      <c r="D80" s="112" t="str">
        <f>IF(ISBLANK('Fixed Equip'!R$8),"",'Fixed Equip'!R$8)</f>
        <v/>
      </c>
      <c r="E80" s="19">
        <v>20</v>
      </c>
      <c r="F80" s="19" t="str">
        <f>IF(ISBLANK('Fixed Equip'!Q$30),"new_ID",start)</f>
        <v>new_ID</v>
      </c>
      <c r="G80" s="113" t="s">
        <v>123</v>
      </c>
    </row>
    <row r="81" spans="1:7" x14ac:dyDescent="0.2">
      <c r="A81" s="19">
        <f t="shared" si="2"/>
        <v>0</v>
      </c>
      <c r="B81" s="19">
        <v>2019</v>
      </c>
      <c r="C81" s="112">
        <f>'Fixed Equip'!Q$9</f>
        <v>7787</v>
      </c>
      <c r="D81" s="112" t="str">
        <f>IF(ISBLANK('Fixed Equip'!R$9),"",'Fixed Equip'!R$9)</f>
        <v/>
      </c>
      <c r="E81" s="19">
        <v>20</v>
      </c>
      <c r="F81" s="19" t="str">
        <f>IF(ISBLANK('Fixed Equip'!Q$30),"new_ID",start)</f>
        <v>new_ID</v>
      </c>
      <c r="G81" s="113" t="s">
        <v>123</v>
      </c>
    </row>
    <row r="82" spans="1:7" x14ac:dyDescent="0.2">
      <c r="A82" s="19">
        <f t="shared" si="2"/>
        <v>0</v>
      </c>
      <c r="B82" s="19">
        <v>2019</v>
      </c>
      <c r="C82" s="112">
        <f>'Fixed Equip'!Q$10</f>
        <v>7788</v>
      </c>
      <c r="D82" s="112" t="str">
        <f>IF(ISBLANK('Fixed Equip'!R$10),"",'Fixed Equip'!R$10)</f>
        <v/>
      </c>
      <c r="E82" s="19">
        <v>20</v>
      </c>
      <c r="F82" s="19" t="str">
        <f>IF(ISBLANK('Fixed Equip'!Q$30),"new_ID",start)</f>
        <v>new_ID</v>
      </c>
      <c r="G82" s="113" t="s">
        <v>123</v>
      </c>
    </row>
    <row r="83" spans="1:7" x14ac:dyDescent="0.2">
      <c r="A83" s="19">
        <f t="shared" si="2"/>
        <v>0</v>
      </c>
      <c r="B83" s="19">
        <v>2019</v>
      </c>
      <c r="C83" s="112">
        <f>'Fixed Equip'!Q$11</f>
        <v>7789</v>
      </c>
      <c r="D83" s="112" t="str">
        <f>IF(ISBLANK('Fixed Equip'!R$11),"",'Fixed Equip'!R$11)</f>
        <v/>
      </c>
      <c r="E83" s="19">
        <v>20</v>
      </c>
      <c r="F83" s="19" t="str">
        <f>IF(ISBLANK('Fixed Equip'!Q$30),"new_ID",start)</f>
        <v>new_ID</v>
      </c>
      <c r="G83" s="113" t="s">
        <v>123</v>
      </c>
    </row>
    <row r="84" spans="1:7" x14ac:dyDescent="0.2">
      <c r="A84" s="19">
        <f t="shared" si="2"/>
        <v>0</v>
      </c>
      <c r="B84" s="19">
        <v>2019</v>
      </c>
      <c r="C84" s="112">
        <f>'Fixed Equip'!Q$12</f>
        <v>7790</v>
      </c>
      <c r="D84" s="112" t="str">
        <f>IF(ISBLANK('Fixed Equip'!R$12),"",'Fixed Equip'!R$12)</f>
        <v/>
      </c>
      <c r="E84" s="19">
        <v>20</v>
      </c>
      <c r="F84" s="19" t="str">
        <f>IF(ISBLANK('Fixed Equip'!Q$30),"new_ID",start)</f>
        <v>new_ID</v>
      </c>
      <c r="G84" s="113" t="s">
        <v>123</v>
      </c>
    </row>
    <row r="85" spans="1:7" x14ac:dyDescent="0.2">
      <c r="A85" s="19">
        <f t="shared" si="2"/>
        <v>0</v>
      </c>
      <c r="B85" s="19">
        <v>2019</v>
      </c>
      <c r="C85" s="112">
        <f>'Fixed Equip'!Q$13</f>
        <v>7791</v>
      </c>
      <c r="D85" s="112" t="str">
        <f>IF(ISBLANK('Fixed Equip'!R$13),"",'Fixed Equip'!R$13)</f>
        <v/>
      </c>
      <c r="E85" s="19">
        <v>20</v>
      </c>
      <c r="F85" s="19" t="str">
        <f>IF(ISBLANK('Fixed Equip'!Q$30),"new_ID",start)</f>
        <v>new_ID</v>
      </c>
      <c r="G85" s="113" t="s">
        <v>123</v>
      </c>
    </row>
    <row r="86" spans="1:7" x14ac:dyDescent="0.2">
      <c r="A86" s="19">
        <f t="shared" si="2"/>
        <v>0</v>
      </c>
      <c r="B86" s="19">
        <v>2019</v>
      </c>
      <c r="C86" s="112">
        <f>'Fixed Equip'!Q$14</f>
        <v>7792</v>
      </c>
      <c r="D86" s="112" t="str">
        <f>IF(ISBLANK('Fixed Equip'!R$14),"",'Fixed Equip'!R$14)</f>
        <v/>
      </c>
      <c r="E86" s="19">
        <v>20</v>
      </c>
      <c r="F86" s="19" t="str">
        <f>IF(ISBLANK('Fixed Equip'!Q$30),"new_ID",start)</f>
        <v>new_ID</v>
      </c>
      <c r="G86" s="113" t="s">
        <v>123</v>
      </c>
    </row>
    <row r="87" spans="1:7" x14ac:dyDescent="0.2">
      <c r="A87" s="19">
        <f t="shared" si="2"/>
        <v>0</v>
      </c>
      <c r="B87" s="19">
        <v>2019</v>
      </c>
      <c r="C87" s="112">
        <f>'Fixed Equip'!Q$15</f>
        <v>7793</v>
      </c>
      <c r="D87" s="591" t="str">
        <f>IF(OR('Fixed Equip'!R$15=0,ISBLANK('Fixed Equip'!R$15)),"",'Fixed Equip'!R$15)</f>
        <v/>
      </c>
      <c r="E87" s="19">
        <v>20</v>
      </c>
      <c r="F87" s="19" t="str">
        <f>IF(ISBLANK('Fixed Equip'!Q$30),"new_ID",start)</f>
        <v>new_ID</v>
      </c>
      <c r="G87" s="113" t="s">
        <v>123</v>
      </c>
    </row>
    <row r="88" spans="1:7" x14ac:dyDescent="0.2">
      <c r="A88" s="19">
        <f t="shared" si="2"/>
        <v>0</v>
      </c>
      <c r="B88" s="19">
        <v>2019</v>
      </c>
      <c r="C88" s="112">
        <f>'Fixed Equip'!Q$16</f>
        <v>7794</v>
      </c>
      <c r="D88" s="112" t="str">
        <f>IF(ISBLANK('Fixed Equip'!R$16),"",'Fixed Equip'!R$16)</f>
        <v/>
      </c>
      <c r="E88" s="19">
        <v>20</v>
      </c>
      <c r="F88" s="19" t="str">
        <f>IF(ISBLANK('Fixed Equip'!Q$30),"new_ID",start)</f>
        <v>new_ID</v>
      </c>
      <c r="G88" s="113" t="s">
        <v>123</v>
      </c>
    </row>
    <row r="89" spans="1:7" hidden="1" x14ac:dyDescent="0.2">
      <c r="C89" s="112"/>
      <c r="D89" s="112"/>
      <c r="G89" s="113" t="s">
        <v>123</v>
      </c>
    </row>
    <row r="90" spans="1:7" x14ac:dyDescent="0.2">
      <c r="A90" s="19">
        <f t="shared" si="2"/>
        <v>0</v>
      </c>
      <c r="B90" s="19">
        <v>2019</v>
      </c>
      <c r="C90" s="112">
        <f>'Fixed Equip'!Q$18</f>
        <v>7796</v>
      </c>
      <c r="D90" s="112" t="str">
        <f>IF(ISBLANK('Fixed Equip'!R$18),"",'Fixed Equip'!R$18)</f>
        <v/>
      </c>
      <c r="E90" s="19">
        <v>20</v>
      </c>
      <c r="F90" s="19" t="str">
        <f>IF(ISBLANK('Fixed Equip'!Q$30),"new_ID",start)</f>
        <v>new_ID</v>
      </c>
      <c r="G90" s="113" t="s">
        <v>123</v>
      </c>
    </row>
    <row r="91" spans="1:7" x14ac:dyDescent="0.2">
      <c r="A91" s="19">
        <f t="shared" si="2"/>
        <v>0</v>
      </c>
      <c r="B91" s="19">
        <v>2019</v>
      </c>
      <c r="C91" s="112">
        <f>'Fixed Equip'!Q$19</f>
        <v>7797</v>
      </c>
      <c r="D91" s="591" t="str">
        <f>IF(OR('Fixed Equip'!R$19=0,ISBLANK('Fixed Equip'!R$19)),"",'Fixed Equip'!R$19)</f>
        <v/>
      </c>
      <c r="E91" s="19">
        <v>20</v>
      </c>
      <c r="F91" s="19" t="str">
        <f>IF(ISBLANK('Fixed Equip'!Q$30),"new_ID",start)</f>
        <v>new_ID</v>
      </c>
      <c r="G91" s="113" t="s">
        <v>123</v>
      </c>
    </row>
    <row r="92" spans="1:7" x14ac:dyDescent="0.2">
      <c r="A92" s="19">
        <f t="shared" si="2"/>
        <v>0</v>
      </c>
      <c r="B92" s="19">
        <v>2019</v>
      </c>
      <c r="C92" s="112">
        <f>'Fixed Equip'!B$24</f>
        <v>7196</v>
      </c>
      <c r="D92" s="112" t="str">
        <f>IF(ISBLANK('Fixed Equip'!C$24),"",'Fixed Equip'!C$24)</f>
        <v/>
      </c>
      <c r="E92" s="19">
        <v>20</v>
      </c>
      <c r="F92" s="19" t="str">
        <f>IF(ISBLANK('Fixed Equip'!B$30),"new_ID",start)</f>
        <v>new_ID</v>
      </c>
      <c r="G92" s="120" t="s">
        <v>123</v>
      </c>
    </row>
    <row r="93" spans="1:7" x14ac:dyDescent="0.2">
      <c r="A93" s="19">
        <f t="shared" si="2"/>
        <v>0</v>
      </c>
      <c r="B93" s="19">
        <v>2019</v>
      </c>
      <c r="C93" s="112">
        <f>'Fixed Equip'!E$24</f>
        <v>7200</v>
      </c>
      <c r="D93" s="112" t="str">
        <f>IF(ISBLANK('Fixed Equip'!F$24),"",'Fixed Equip'!F$24)</f>
        <v/>
      </c>
      <c r="E93" s="19">
        <v>20</v>
      </c>
      <c r="F93" s="19" t="str">
        <f>IF(ISBLANK('Fixed Equip'!E$30),"new_ID",start)</f>
        <v>new_ID</v>
      </c>
      <c r="G93" s="120" t="s">
        <v>123</v>
      </c>
    </row>
    <row r="94" spans="1:7" x14ac:dyDescent="0.2">
      <c r="A94" s="19">
        <f t="shared" si="2"/>
        <v>0</v>
      </c>
      <c r="B94" s="19">
        <v>2019</v>
      </c>
      <c r="C94" s="112">
        <f>'Fixed Equip'!H$24</f>
        <v>7313</v>
      </c>
      <c r="D94" s="112" t="str">
        <f>IF(ISBLANK('Fixed Equip'!I$24),"",'Fixed Equip'!I$24)</f>
        <v/>
      </c>
      <c r="E94" s="19">
        <v>20</v>
      </c>
      <c r="F94" s="19" t="str">
        <f>IF(ISBLANK('Fixed Equip'!H$30),"new_ID",start)</f>
        <v>new_ID</v>
      </c>
      <c r="G94" s="120" t="s">
        <v>123</v>
      </c>
    </row>
    <row r="95" spans="1:7" x14ac:dyDescent="0.2">
      <c r="A95" s="19">
        <f t="shared" si="2"/>
        <v>0</v>
      </c>
      <c r="B95" s="19">
        <v>2019</v>
      </c>
      <c r="C95" s="112">
        <f>'Fixed Equip'!K$24</f>
        <v>7190</v>
      </c>
      <c r="D95" s="112" t="str">
        <f>IF(ISBLANK('Fixed Equip'!L$24),"",'Fixed Equip'!L$24)</f>
        <v/>
      </c>
      <c r="E95" s="19">
        <v>20</v>
      </c>
      <c r="F95" s="19" t="str">
        <f>IF(ISBLANK('Fixed Equip'!K$30),"new_ID",start)</f>
        <v>new_ID</v>
      </c>
      <c r="G95" s="120" t="s">
        <v>123</v>
      </c>
    </row>
    <row r="96" spans="1:7" x14ac:dyDescent="0.2">
      <c r="A96" s="19">
        <f t="shared" si="2"/>
        <v>0</v>
      </c>
      <c r="B96" s="19">
        <v>2019</v>
      </c>
      <c r="C96" s="112">
        <f>'Fixed Equip'!N$24</f>
        <v>7320</v>
      </c>
      <c r="D96" s="112" t="str">
        <f>IF(ISBLANK('Fixed Equip'!O$24),"",'Fixed Equip'!O$24)</f>
        <v/>
      </c>
      <c r="E96" s="19">
        <v>20</v>
      </c>
      <c r="F96" s="19" t="str">
        <f>IF(ISBLANK('Fixed Equip'!N$30),"new_ID",start)</f>
        <v>new_ID</v>
      </c>
      <c r="G96" s="120" t="s">
        <v>123</v>
      </c>
    </row>
    <row r="97" spans="1:7" x14ac:dyDescent="0.2">
      <c r="A97" s="19">
        <f t="shared" si="2"/>
        <v>0</v>
      </c>
      <c r="B97" s="19">
        <v>2019</v>
      </c>
      <c r="C97" s="112">
        <f>'Fixed Equip'!Q$24</f>
        <v>7219</v>
      </c>
      <c r="D97" s="112" t="str">
        <f>IF(ISBLANK('Fixed Equip'!R$24),"",'Fixed Equip'!R$24)</f>
        <v/>
      </c>
      <c r="E97" s="19">
        <v>20</v>
      </c>
      <c r="F97" s="19" t="str">
        <f>IF(ISBLANK('Fixed Equip'!Q$30),"new_ID",start)</f>
        <v>new_ID</v>
      </c>
      <c r="G97" s="120" t="s">
        <v>123</v>
      </c>
    </row>
    <row r="98" spans="1:7" x14ac:dyDescent="0.2">
      <c r="A98" s="19">
        <f>start</f>
        <v>0</v>
      </c>
      <c r="B98" s="19">
        <v>2019</v>
      </c>
      <c r="C98" s="112">
        <f>'Portable Equip'!B$5</f>
        <v>7804</v>
      </c>
      <c r="D98" s="112" t="str">
        <f>IF(ISBLANK('Portable Equip'!C$5),"",'Portable Equip'!C$5)</f>
        <v/>
      </c>
      <c r="E98" s="19">
        <v>20</v>
      </c>
      <c r="F98" s="19" t="str">
        <f>IF(ISBLANK('Portable Equip'!B$30),"new_ID",start)</f>
        <v>new_ID</v>
      </c>
      <c r="G98" s="119" t="s">
        <v>124</v>
      </c>
    </row>
    <row r="99" spans="1:7" x14ac:dyDescent="0.2">
      <c r="A99" s="19">
        <f>start</f>
        <v>0</v>
      </c>
      <c r="B99" s="19">
        <v>2019</v>
      </c>
      <c r="C99" s="112">
        <f>'Portable Equip'!B$6</f>
        <v>7805</v>
      </c>
      <c r="D99" s="112" t="str">
        <f>IF(ISBLANK('Portable Equip'!C$6),"",'Portable Equip'!C$6)</f>
        <v/>
      </c>
      <c r="E99" s="19">
        <v>20</v>
      </c>
      <c r="F99" s="19" t="str">
        <f>IF(ISBLANK('Portable Equip'!B$30),"new_ID",start)</f>
        <v>new_ID</v>
      </c>
      <c r="G99" s="113" t="s">
        <v>93</v>
      </c>
    </row>
    <row r="100" spans="1:7" x14ac:dyDescent="0.2">
      <c r="A100" s="19">
        <f>start</f>
        <v>0</v>
      </c>
      <c r="B100" s="19">
        <v>2019</v>
      </c>
      <c r="C100" s="112">
        <f>'Portable Equip'!B$7</f>
        <v>7806</v>
      </c>
      <c r="D100" s="112" t="str">
        <f>IF(ISBLANK('Portable Equip'!C$7),"",'Portable Equip'!C$7)</f>
        <v/>
      </c>
      <c r="E100" s="19">
        <v>20</v>
      </c>
      <c r="F100" s="19" t="str">
        <f>IF(ISBLANK('Portable Equip'!B$30),"new_ID",start)</f>
        <v>new_ID</v>
      </c>
      <c r="G100" s="113" t="s">
        <v>93</v>
      </c>
    </row>
    <row r="101" spans="1:7" x14ac:dyDescent="0.2">
      <c r="A101" s="19">
        <f>start</f>
        <v>0</v>
      </c>
      <c r="B101" s="19">
        <v>2019</v>
      </c>
      <c r="C101" s="112">
        <f>'Portable Equip'!B$8</f>
        <v>7807</v>
      </c>
      <c r="D101" s="112" t="str">
        <f>IF(ISBLANK('Portable Equip'!C$8),"",'Portable Equip'!C$8)</f>
        <v/>
      </c>
      <c r="E101" s="19">
        <v>20</v>
      </c>
      <c r="F101" s="19" t="str">
        <f>IF(ISBLANK('Portable Equip'!B$30),"new_ID",start)</f>
        <v>new_ID</v>
      </c>
      <c r="G101" s="113" t="s">
        <v>93</v>
      </c>
    </row>
    <row r="102" spans="1:7" x14ac:dyDescent="0.2">
      <c r="A102" s="19">
        <f t="shared" ref="A102:A165" si="3">start</f>
        <v>0</v>
      </c>
      <c r="B102" s="19">
        <v>2019</v>
      </c>
      <c r="C102" s="112">
        <f>'Portable Equip'!B$9</f>
        <v>7808</v>
      </c>
      <c r="D102" s="112" t="str">
        <f>IF(ISBLANK('Portable Equip'!C$9),"",'Portable Equip'!C$9)</f>
        <v/>
      </c>
      <c r="E102" s="19">
        <v>20</v>
      </c>
      <c r="F102" s="19" t="str">
        <f>IF(ISBLANK('Portable Equip'!B$30),"new_ID",start)</f>
        <v>new_ID</v>
      </c>
      <c r="G102" s="113" t="s">
        <v>93</v>
      </c>
    </row>
    <row r="103" spans="1:7" x14ac:dyDescent="0.2">
      <c r="A103" s="19">
        <f t="shared" si="3"/>
        <v>0</v>
      </c>
      <c r="B103" s="19">
        <v>2019</v>
      </c>
      <c r="C103" s="112">
        <f>'Portable Equip'!B$10</f>
        <v>7809</v>
      </c>
      <c r="D103" s="112" t="str">
        <f>IF(ISBLANK('Portable Equip'!C$10),"",'Portable Equip'!C$10)</f>
        <v/>
      </c>
      <c r="E103" s="19">
        <v>20</v>
      </c>
      <c r="F103" s="19" t="str">
        <f>IF(ISBLANK('Portable Equip'!B$30),"new_ID",start)</f>
        <v>new_ID</v>
      </c>
      <c r="G103" s="113" t="s">
        <v>93</v>
      </c>
    </row>
    <row r="104" spans="1:7" x14ac:dyDescent="0.2">
      <c r="A104" s="19">
        <f t="shared" si="3"/>
        <v>0</v>
      </c>
      <c r="B104" s="19">
        <v>2019</v>
      </c>
      <c r="C104" s="112">
        <f>'Portable Equip'!B$11</f>
        <v>7810</v>
      </c>
      <c r="D104" s="112" t="str">
        <f>IF(ISBLANK('Portable Equip'!C$11),"",'Portable Equip'!C$11)</f>
        <v/>
      </c>
      <c r="E104" s="19">
        <v>20</v>
      </c>
      <c r="F104" s="19" t="str">
        <f>IF(ISBLANK('Portable Equip'!B$30),"new_ID",start)</f>
        <v>new_ID</v>
      </c>
      <c r="G104" s="113" t="s">
        <v>93</v>
      </c>
    </row>
    <row r="105" spans="1:7" x14ac:dyDescent="0.2">
      <c r="A105" s="19">
        <f t="shared" si="3"/>
        <v>0</v>
      </c>
      <c r="B105" s="19">
        <v>2019</v>
      </c>
      <c r="C105" s="112">
        <f>'Portable Equip'!B$12</f>
        <v>7811</v>
      </c>
      <c r="D105" s="112" t="str">
        <f>IF(ISBLANK('Portable Equip'!C$12),"",'Portable Equip'!C$12)</f>
        <v/>
      </c>
      <c r="E105" s="19">
        <v>20</v>
      </c>
      <c r="F105" s="19" t="str">
        <f>IF(ISBLANK('Portable Equip'!B$30),"new_ID",start)</f>
        <v>new_ID</v>
      </c>
      <c r="G105" s="113" t="s">
        <v>93</v>
      </c>
    </row>
    <row r="106" spans="1:7" x14ac:dyDescent="0.2">
      <c r="A106" s="19">
        <f t="shared" si="3"/>
        <v>0</v>
      </c>
      <c r="B106" s="19">
        <v>2019</v>
      </c>
      <c r="C106" s="112">
        <f>'Portable Equip'!B$13</f>
        <v>7812</v>
      </c>
      <c r="D106" s="112" t="str">
        <f>IF(ISBLANK('Portable Equip'!C$13),"",'Portable Equip'!C$13)</f>
        <v/>
      </c>
      <c r="E106" s="19">
        <v>20</v>
      </c>
      <c r="F106" s="19" t="str">
        <f>IF(ISBLANK('Portable Equip'!B$30),"new_ID",start)</f>
        <v>new_ID</v>
      </c>
      <c r="G106" s="113" t="s">
        <v>93</v>
      </c>
    </row>
    <row r="107" spans="1:7" x14ac:dyDescent="0.2">
      <c r="A107" s="19">
        <f t="shared" si="3"/>
        <v>0</v>
      </c>
      <c r="B107" s="19">
        <v>2019</v>
      </c>
      <c r="C107" s="112">
        <f>'Portable Equip'!B$14</f>
        <v>7813</v>
      </c>
      <c r="D107" s="112" t="str">
        <f>IF(ISBLANK('Portable Equip'!C$14),"",'Portable Equip'!C$14)</f>
        <v/>
      </c>
      <c r="E107" s="19">
        <v>20</v>
      </c>
      <c r="F107" s="19" t="str">
        <f>IF(ISBLANK('Portable Equip'!B$30),"new_ID",start)</f>
        <v>new_ID</v>
      </c>
      <c r="G107" s="113" t="s">
        <v>93</v>
      </c>
    </row>
    <row r="108" spans="1:7" x14ac:dyDescent="0.2">
      <c r="A108" s="19">
        <f t="shared" si="3"/>
        <v>0</v>
      </c>
      <c r="B108" s="19">
        <v>2019</v>
      </c>
      <c r="C108" s="112">
        <f>'Portable Equip'!B$15</f>
        <v>7814</v>
      </c>
      <c r="D108" s="591" t="str">
        <f>IF(OR('Portable Equip'!C$15=0,ISBLANK('Portable Equip'!C$15)),"",'Portable Equip'!C$15)</f>
        <v/>
      </c>
      <c r="E108" s="19">
        <v>20</v>
      </c>
      <c r="F108" s="19" t="str">
        <f>IF(ISBLANK('Portable Equip'!B$30),"new_ID",start)</f>
        <v>new_ID</v>
      </c>
      <c r="G108" s="113" t="s">
        <v>93</v>
      </c>
    </row>
    <row r="109" spans="1:7" x14ac:dyDescent="0.2">
      <c r="A109" s="19">
        <f t="shared" si="3"/>
        <v>0</v>
      </c>
      <c r="B109" s="19">
        <v>2019</v>
      </c>
      <c r="C109" s="112">
        <f>'Portable Equip'!B$16</f>
        <v>7815</v>
      </c>
      <c r="D109" s="112" t="str">
        <f>IF(ISBLANK('Portable Equip'!C$16),"",'Portable Equip'!C$16)</f>
        <v/>
      </c>
      <c r="E109" s="19">
        <v>20</v>
      </c>
      <c r="F109" s="19" t="str">
        <f>IF(ISBLANK('Portable Equip'!B$30),"new_ID",start)</f>
        <v>new_ID</v>
      </c>
      <c r="G109" s="113" t="s">
        <v>93</v>
      </c>
    </row>
    <row r="110" spans="1:7" hidden="1" x14ac:dyDescent="0.2">
      <c r="C110" s="112"/>
      <c r="D110" s="112"/>
      <c r="G110" s="113" t="s">
        <v>93</v>
      </c>
    </row>
    <row r="111" spans="1:7" x14ac:dyDescent="0.2">
      <c r="A111" s="19">
        <f t="shared" si="3"/>
        <v>0</v>
      </c>
      <c r="B111" s="19">
        <v>2019</v>
      </c>
      <c r="C111" s="112">
        <f>'Portable Equip'!B$18</f>
        <v>7817</v>
      </c>
      <c r="D111" s="112" t="str">
        <f>IF(ISBLANK('Portable Equip'!C$18),"",'Portable Equip'!C$18)</f>
        <v/>
      </c>
      <c r="E111" s="19">
        <v>20</v>
      </c>
      <c r="F111" s="19" t="str">
        <f>IF(ISBLANK('Portable Equip'!B$30),"new_ID",start)</f>
        <v>new_ID</v>
      </c>
      <c r="G111" s="113" t="s">
        <v>93</v>
      </c>
    </row>
    <row r="112" spans="1:7" x14ac:dyDescent="0.2">
      <c r="A112" s="19">
        <f t="shared" si="3"/>
        <v>0</v>
      </c>
      <c r="B112" s="19">
        <v>2019</v>
      </c>
      <c r="C112" s="112">
        <f>'Portable Equip'!B$19</f>
        <v>7818</v>
      </c>
      <c r="D112" s="591" t="str">
        <f>IF(OR('Portable Equip'!C$19=0,ISBLANK('Portable Equip'!C$19)),"",'Portable Equip'!C$19)</f>
        <v/>
      </c>
      <c r="E112" s="19">
        <v>20</v>
      </c>
      <c r="F112" s="19" t="str">
        <f>IF(ISBLANK('Portable Equip'!B$30),"new_ID",start)</f>
        <v>new_ID</v>
      </c>
      <c r="G112" s="113" t="s">
        <v>93</v>
      </c>
    </row>
    <row r="113" spans="1:7" x14ac:dyDescent="0.2">
      <c r="A113" s="19">
        <f t="shared" si="3"/>
        <v>0</v>
      </c>
      <c r="B113" s="19">
        <v>2019</v>
      </c>
      <c r="C113" s="112">
        <f>'Portable Equip'!E$5</f>
        <v>7819</v>
      </c>
      <c r="D113" s="112" t="str">
        <f>IF(ISBLANK('Portable Equip'!F$5),"",'Portable Equip'!F$5)</f>
        <v/>
      </c>
      <c r="E113" s="19">
        <v>20</v>
      </c>
      <c r="F113" s="19" t="str">
        <f>IF(ISBLANK('Portable Equip'!E$30),"new_ID",start)</f>
        <v>new_ID</v>
      </c>
      <c r="G113" s="120" t="s">
        <v>93</v>
      </c>
    </row>
    <row r="114" spans="1:7" x14ac:dyDescent="0.2">
      <c r="A114" s="19">
        <f t="shared" si="3"/>
        <v>0</v>
      </c>
      <c r="B114" s="19">
        <v>2019</v>
      </c>
      <c r="C114" s="112">
        <f>'Portable Equip'!E$6</f>
        <v>7820</v>
      </c>
      <c r="D114" s="112" t="str">
        <f>IF(ISBLANK('Portable Equip'!F$6),"",'Portable Equip'!F$6)</f>
        <v/>
      </c>
      <c r="E114" s="19">
        <v>20</v>
      </c>
      <c r="F114" s="19" t="str">
        <f>IF(ISBLANK('Portable Equip'!E$30),"new_ID",start)</f>
        <v>new_ID</v>
      </c>
      <c r="G114" s="113" t="s">
        <v>93</v>
      </c>
    </row>
    <row r="115" spans="1:7" x14ac:dyDescent="0.2">
      <c r="A115" s="19">
        <f t="shared" si="3"/>
        <v>0</v>
      </c>
      <c r="B115" s="19">
        <v>2019</v>
      </c>
      <c r="C115" s="112">
        <f>'Portable Equip'!E$7</f>
        <v>7821</v>
      </c>
      <c r="D115" s="112" t="str">
        <f>IF(ISBLANK('Portable Equip'!F$7),"",'Portable Equip'!F$7)</f>
        <v/>
      </c>
      <c r="E115" s="19">
        <v>20</v>
      </c>
      <c r="F115" s="19" t="str">
        <f>IF(ISBLANK('Portable Equip'!E$30),"new_ID",start)</f>
        <v>new_ID</v>
      </c>
      <c r="G115" s="113" t="s">
        <v>93</v>
      </c>
    </row>
    <row r="116" spans="1:7" x14ac:dyDescent="0.2">
      <c r="A116" s="19">
        <f t="shared" si="3"/>
        <v>0</v>
      </c>
      <c r="B116" s="19">
        <v>2019</v>
      </c>
      <c r="C116" s="112">
        <f>'Portable Equip'!E$8</f>
        <v>7822</v>
      </c>
      <c r="D116" s="112" t="str">
        <f>IF(ISBLANK('Portable Equip'!F$8),"",'Portable Equip'!F$8)</f>
        <v/>
      </c>
      <c r="E116" s="19">
        <v>20</v>
      </c>
      <c r="F116" s="19" t="str">
        <f>IF(ISBLANK('Portable Equip'!E$30),"new_ID",start)</f>
        <v>new_ID</v>
      </c>
      <c r="G116" s="113" t="s">
        <v>93</v>
      </c>
    </row>
    <row r="117" spans="1:7" x14ac:dyDescent="0.2">
      <c r="A117" s="19">
        <f t="shared" si="3"/>
        <v>0</v>
      </c>
      <c r="B117" s="19">
        <v>2019</v>
      </c>
      <c r="C117" s="112">
        <f>'Portable Equip'!E$9</f>
        <v>7823</v>
      </c>
      <c r="D117" s="112" t="str">
        <f>IF(ISBLANK('Portable Equip'!F$9),"",'Portable Equip'!F$9)</f>
        <v/>
      </c>
      <c r="E117" s="19">
        <v>20</v>
      </c>
      <c r="F117" s="19" t="str">
        <f>IF(ISBLANK('Portable Equip'!E$30),"new_ID",start)</f>
        <v>new_ID</v>
      </c>
      <c r="G117" s="113" t="s">
        <v>93</v>
      </c>
    </row>
    <row r="118" spans="1:7" x14ac:dyDescent="0.2">
      <c r="A118" s="19">
        <f t="shared" si="3"/>
        <v>0</v>
      </c>
      <c r="B118" s="19">
        <v>2019</v>
      </c>
      <c r="C118" s="112">
        <f>'Portable Equip'!E$10</f>
        <v>7824</v>
      </c>
      <c r="D118" s="112" t="str">
        <f>IF(ISBLANK('Portable Equip'!F$10),"",'Portable Equip'!F$10)</f>
        <v/>
      </c>
      <c r="E118" s="19">
        <v>20</v>
      </c>
      <c r="F118" s="19" t="str">
        <f>IF(ISBLANK('Portable Equip'!E$30),"new_ID",start)</f>
        <v>new_ID</v>
      </c>
      <c r="G118" s="113" t="s">
        <v>93</v>
      </c>
    </row>
    <row r="119" spans="1:7" x14ac:dyDescent="0.2">
      <c r="A119" s="19">
        <f t="shared" si="3"/>
        <v>0</v>
      </c>
      <c r="B119" s="19">
        <v>2019</v>
      </c>
      <c r="C119" s="112">
        <f>'Portable Equip'!E$11</f>
        <v>7825</v>
      </c>
      <c r="D119" s="112" t="str">
        <f>IF(ISBLANK('Portable Equip'!F$11),"",'Portable Equip'!F$11)</f>
        <v/>
      </c>
      <c r="E119" s="19">
        <v>20</v>
      </c>
      <c r="F119" s="19" t="str">
        <f>IF(ISBLANK('Portable Equip'!E$30),"new_ID",start)</f>
        <v>new_ID</v>
      </c>
      <c r="G119" s="113" t="s">
        <v>93</v>
      </c>
    </row>
    <row r="120" spans="1:7" x14ac:dyDescent="0.2">
      <c r="A120" s="19">
        <f t="shared" si="3"/>
        <v>0</v>
      </c>
      <c r="B120" s="19">
        <v>2019</v>
      </c>
      <c r="C120" s="112">
        <f>'Portable Equip'!E$12</f>
        <v>7826</v>
      </c>
      <c r="D120" s="112" t="str">
        <f>IF(ISBLANK('Portable Equip'!F$12),"",'Portable Equip'!F$12)</f>
        <v/>
      </c>
      <c r="E120" s="19">
        <v>20</v>
      </c>
      <c r="F120" s="19" t="str">
        <f>IF(ISBLANK('Portable Equip'!E$30),"new_ID",start)</f>
        <v>new_ID</v>
      </c>
      <c r="G120" s="113" t="s">
        <v>93</v>
      </c>
    </row>
    <row r="121" spans="1:7" x14ac:dyDescent="0.2">
      <c r="A121" s="19">
        <f t="shared" si="3"/>
        <v>0</v>
      </c>
      <c r="B121" s="19">
        <v>2019</v>
      </c>
      <c r="C121" s="112">
        <f>'Portable Equip'!E$13</f>
        <v>7827</v>
      </c>
      <c r="D121" s="112" t="str">
        <f>IF(ISBLANK('Portable Equip'!F$13),"",'Portable Equip'!F$13)</f>
        <v/>
      </c>
      <c r="E121" s="19">
        <v>20</v>
      </c>
      <c r="F121" s="19" t="str">
        <f>IF(ISBLANK('Portable Equip'!E$30),"new_ID",start)</f>
        <v>new_ID</v>
      </c>
      <c r="G121" s="113" t="s">
        <v>93</v>
      </c>
    </row>
    <row r="122" spans="1:7" x14ac:dyDescent="0.2">
      <c r="A122" s="19">
        <f t="shared" si="3"/>
        <v>0</v>
      </c>
      <c r="B122" s="19">
        <v>2019</v>
      </c>
      <c r="C122" s="112">
        <f>'Portable Equip'!E$14</f>
        <v>7828</v>
      </c>
      <c r="D122" s="112" t="str">
        <f>IF(ISBLANK('Portable Equip'!F$14),"",'Portable Equip'!F$14)</f>
        <v/>
      </c>
      <c r="E122" s="19">
        <v>20</v>
      </c>
      <c r="F122" s="19" t="str">
        <f>IF(ISBLANK('Portable Equip'!E$30),"new_ID",start)</f>
        <v>new_ID</v>
      </c>
      <c r="G122" s="113" t="s">
        <v>93</v>
      </c>
    </row>
    <row r="123" spans="1:7" x14ac:dyDescent="0.2">
      <c r="A123" s="19">
        <f t="shared" si="3"/>
        <v>0</v>
      </c>
      <c r="B123" s="19">
        <v>2019</v>
      </c>
      <c r="C123" s="112">
        <f>'Portable Equip'!E$15</f>
        <v>7829</v>
      </c>
      <c r="D123" s="591" t="str">
        <f>IF(OR('Portable Equip'!F$15=0,ISBLANK('Portable Equip'!F$15)),"",'Portable Equip'!F$15)</f>
        <v/>
      </c>
      <c r="E123" s="19">
        <v>20</v>
      </c>
      <c r="F123" s="19" t="str">
        <f>IF(ISBLANK('Portable Equip'!E$30),"new_ID",start)</f>
        <v>new_ID</v>
      </c>
      <c r="G123" s="113" t="s">
        <v>93</v>
      </c>
    </row>
    <row r="124" spans="1:7" x14ac:dyDescent="0.2">
      <c r="A124" s="19">
        <f t="shared" si="3"/>
        <v>0</v>
      </c>
      <c r="B124" s="19">
        <v>2019</v>
      </c>
      <c r="C124" s="112">
        <f>'Portable Equip'!E$16</f>
        <v>7830</v>
      </c>
      <c r="D124" s="112" t="str">
        <f>IF(ISBLANK('Portable Equip'!F$16),"",'Portable Equip'!F$16)</f>
        <v/>
      </c>
      <c r="E124" s="19">
        <v>20</v>
      </c>
      <c r="F124" s="19" t="str">
        <f>IF(ISBLANK('Portable Equip'!E$30),"new_ID",start)</f>
        <v>new_ID</v>
      </c>
      <c r="G124" s="113" t="s">
        <v>93</v>
      </c>
    </row>
    <row r="125" spans="1:7" hidden="1" x14ac:dyDescent="0.2">
      <c r="C125" s="112"/>
      <c r="D125" s="112"/>
      <c r="G125" s="113" t="s">
        <v>93</v>
      </c>
    </row>
    <row r="126" spans="1:7" x14ac:dyDescent="0.2">
      <c r="A126" s="19">
        <f t="shared" si="3"/>
        <v>0</v>
      </c>
      <c r="B126" s="19">
        <v>2019</v>
      </c>
      <c r="C126" s="112">
        <f>'Portable Equip'!E$18</f>
        <v>7832</v>
      </c>
      <c r="D126" s="112" t="str">
        <f>IF(ISBLANK('Portable Equip'!F$18),"",'Portable Equip'!F$18)</f>
        <v/>
      </c>
      <c r="E126" s="19">
        <v>20</v>
      </c>
      <c r="F126" s="19" t="str">
        <f>IF(ISBLANK('Portable Equip'!E$30),"new_ID",start)</f>
        <v>new_ID</v>
      </c>
      <c r="G126" s="113" t="s">
        <v>93</v>
      </c>
    </row>
    <row r="127" spans="1:7" x14ac:dyDescent="0.2">
      <c r="A127" s="19">
        <f t="shared" si="3"/>
        <v>0</v>
      </c>
      <c r="B127" s="19">
        <v>2019</v>
      </c>
      <c r="C127" s="112">
        <f>'Portable Equip'!E$19</f>
        <v>7833</v>
      </c>
      <c r="D127" s="591" t="str">
        <f>IF(OR('Portable Equip'!F$19=0,ISBLANK('Portable Equip'!F$19)),"",'Portable Equip'!F$19)</f>
        <v/>
      </c>
      <c r="E127" s="19">
        <v>20</v>
      </c>
      <c r="F127" s="19" t="str">
        <f>IF(ISBLANK('Portable Equip'!E$30),"new_ID",start)</f>
        <v>new_ID</v>
      </c>
      <c r="G127" s="113" t="s">
        <v>93</v>
      </c>
    </row>
    <row r="128" spans="1:7" x14ac:dyDescent="0.2">
      <c r="A128" s="19">
        <f t="shared" si="3"/>
        <v>0</v>
      </c>
      <c r="B128" s="19">
        <v>2019</v>
      </c>
      <c r="C128" s="112">
        <f>'Portable Equip'!H$5</f>
        <v>7834</v>
      </c>
      <c r="D128" s="112" t="str">
        <f>IF(ISBLANK('Portable Equip'!I$5),"",'Portable Equip'!I$5)</f>
        <v/>
      </c>
      <c r="E128" s="19">
        <v>20</v>
      </c>
      <c r="F128" s="19" t="str">
        <f>IF(ISBLANK('Portable Equip'!H$30),"new_ID",start)</f>
        <v>new_ID</v>
      </c>
      <c r="G128" s="120" t="s">
        <v>93</v>
      </c>
    </row>
    <row r="129" spans="1:7" x14ac:dyDescent="0.2">
      <c r="A129" s="19">
        <f t="shared" si="3"/>
        <v>0</v>
      </c>
      <c r="B129" s="19">
        <v>2019</v>
      </c>
      <c r="C129" s="112">
        <f>'Portable Equip'!H$6</f>
        <v>7835</v>
      </c>
      <c r="D129" s="112" t="str">
        <f>IF(ISBLANK('Portable Equip'!I$6),"",'Portable Equip'!I$6)</f>
        <v/>
      </c>
      <c r="E129" s="19">
        <v>20</v>
      </c>
      <c r="F129" s="19" t="str">
        <f>IF(ISBLANK('Portable Equip'!H$30),"new_ID",start)</f>
        <v>new_ID</v>
      </c>
      <c r="G129" s="113" t="s">
        <v>93</v>
      </c>
    </row>
    <row r="130" spans="1:7" x14ac:dyDescent="0.2">
      <c r="A130" s="19">
        <f t="shared" si="3"/>
        <v>0</v>
      </c>
      <c r="B130" s="19">
        <v>2019</v>
      </c>
      <c r="C130" s="112">
        <f>'Portable Equip'!H$7</f>
        <v>7836</v>
      </c>
      <c r="D130" s="112" t="str">
        <f>IF(ISBLANK('Portable Equip'!I$7),"",'Portable Equip'!I$7)</f>
        <v/>
      </c>
      <c r="E130" s="19">
        <v>20</v>
      </c>
      <c r="F130" s="19" t="str">
        <f>IF(ISBLANK('Portable Equip'!H$30),"new_ID",start)</f>
        <v>new_ID</v>
      </c>
      <c r="G130" s="113" t="s">
        <v>93</v>
      </c>
    </row>
    <row r="131" spans="1:7" x14ac:dyDescent="0.2">
      <c r="A131" s="19">
        <f t="shared" si="3"/>
        <v>0</v>
      </c>
      <c r="B131" s="19">
        <v>2019</v>
      </c>
      <c r="C131" s="112">
        <f>'Portable Equip'!H$8</f>
        <v>7837</v>
      </c>
      <c r="D131" s="112" t="str">
        <f>IF(ISBLANK('Portable Equip'!I$8),"",'Portable Equip'!I$8)</f>
        <v/>
      </c>
      <c r="E131" s="19">
        <v>20</v>
      </c>
      <c r="F131" s="19" t="str">
        <f>IF(ISBLANK('Portable Equip'!H$30),"new_ID",start)</f>
        <v>new_ID</v>
      </c>
      <c r="G131" s="113" t="s">
        <v>93</v>
      </c>
    </row>
    <row r="132" spans="1:7" x14ac:dyDescent="0.2">
      <c r="A132" s="19">
        <f t="shared" si="3"/>
        <v>0</v>
      </c>
      <c r="B132" s="19">
        <v>2019</v>
      </c>
      <c r="C132" s="112">
        <f>'Portable Equip'!H$9</f>
        <v>7838</v>
      </c>
      <c r="D132" s="112" t="str">
        <f>IF(ISBLANK('Portable Equip'!I$9),"",'Portable Equip'!I$9)</f>
        <v/>
      </c>
      <c r="E132" s="19">
        <v>20</v>
      </c>
      <c r="F132" s="19" t="str">
        <f>IF(ISBLANK('Portable Equip'!H$30),"new_ID",start)</f>
        <v>new_ID</v>
      </c>
      <c r="G132" s="113" t="s">
        <v>93</v>
      </c>
    </row>
    <row r="133" spans="1:7" x14ac:dyDescent="0.2">
      <c r="A133" s="19">
        <f t="shared" si="3"/>
        <v>0</v>
      </c>
      <c r="B133" s="19">
        <v>2019</v>
      </c>
      <c r="C133" s="112">
        <f>'Portable Equip'!H$10</f>
        <v>7839</v>
      </c>
      <c r="D133" s="112" t="str">
        <f>IF(ISBLANK('Portable Equip'!I$10),"",'Portable Equip'!I$10)</f>
        <v/>
      </c>
      <c r="E133" s="19">
        <v>20</v>
      </c>
      <c r="F133" s="19" t="str">
        <f>IF(ISBLANK('Portable Equip'!H$30),"new_ID",start)</f>
        <v>new_ID</v>
      </c>
      <c r="G133" s="113" t="s">
        <v>93</v>
      </c>
    </row>
    <row r="134" spans="1:7" x14ac:dyDescent="0.2">
      <c r="A134" s="19">
        <f t="shared" si="3"/>
        <v>0</v>
      </c>
      <c r="B134" s="19">
        <v>2019</v>
      </c>
      <c r="C134" s="112">
        <f>'Portable Equip'!H$11</f>
        <v>7840</v>
      </c>
      <c r="D134" s="112" t="str">
        <f>IF(ISBLANK('Portable Equip'!I$11),"",'Portable Equip'!I$11)</f>
        <v/>
      </c>
      <c r="E134" s="19">
        <v>20</v>
      </c>
      <c r="F134" s="19" t="str">
        <f>IF(ISBLANK('Portable Equip'!H$30),"new_ID",start)</f>
        <v>new_ID</v>
      </c>
      <c r="G134" s="113" t="s">
        <v>93</v>
      </c>
    </row>
    <row r="135" spans="1:7" x14ac:dyDescent="0.2">
      <c r="A135" s="19">
        <f t="shared" si="3"/>
        <v>0</v>
      </c>
      <c r="B135" s="19">
        <v>2019</v>
      </c>
      <c r="C135" s="112">
        <f>'Portable Equip'!H$12</f>
        <v>7841</v>
      </c>
      <c r="D135" s="112" t="str">
        <f>IF(ISBLANK('Portable Equip'!I$12),"",'Portable Equip'!I$12)</f>
        <v/>
      </c>
      <c r="E135" s="19">
        <v>20</v>
      </c>
      <c r="F135" s="19" t="str">
        <f>IF(ISBLANK('Portable Equip'!H$30),"new_ID",start)</f>
        <v>new_ID</v>
      </c>
      <c r="G135" s="113" t="s">
        <v>93</v>
      </c>
    </row>
    <row r="136" spans="1:7" x14ac:dyDescent="0.2">
      <c r="A136" s="19">
        <f t="shared" si="3"/>
        <v>0</v>
      </c>
      <c r="B136" s="19">
        <v>2019</v>
      </c>
      <c r="C136" s="112">
        <f>'Portable Equip'!H$13</f>
        <v>7842</v>
      </c>
      <c r="D136" s="112" t="str">
        <f>IF(ISBLANK('Portable Equip'!I$13),"",'Portable Equip'!I$13)</f>
        <v/>
      </c>
      <c r="E136" s="19">
        <v>20</v>
      </c>
      <c r="F136" s="19" t="str">
        <f>IF(ISBLANK('Portable Equip'!H$30),"new_ID",start)</f>
        <v>new_ID</v>
      </c>
      <c r="G136" s="113" t="s">
        <v>93</v>
      </c>
    </row>
    <row r="137" spans="1:7" x14ac:dyDescent="0.2">
      <c r="A137" s="19">
        <f t="shared" si="3"/>
        <v>0</v>
      </c>
      <c r="B137" s="19">
        <v>2019</v>
      </c>
      <c r="C137" s="112">
        <f>'Portable Equip'!H$14</f>
        <v>7843</v>
      </c>
      <c r="D137" s="112" t="str">
        <f>IF(ISBLANK('Portable Equip'!I$14),"",'Portable Equip'!I$14)</f>
        <v/>
      </c>
      <c r="E137" s="19">
        <v>20</v>
      </c>
      <c r="F137" s="19" t="str">
        <f>IF(ISBLANK('Portable Equip'!H$30),"new_ID",start)</f>
        <v>new_ID</v>
      </c>
      <c r="G137" s="113" t="s">
        <v>93</v>
      </c>
    </row>
    <row r="138" spans="1:7" x14ac:dyDescent="0.2">
      <c r="A138" s="19">
        <f t="shared" si="3"/>
        <v>0</v>
      </c>
      <c r="B138" s="19">
        <v>2019</v>
      </c>
      <c r="C138" s="112">
        <f>'Portable Equip'!H$15</f>
        <v>7844</v>
      </c>
      <c r="D138" s="591" t="str">
        <f>IF(OR('Portable Equip'!I$15=0,ISBLANK('Portable Equip'!I$15)),"",'Portable Equip'!I$15)</f>
        <v/>
      </c>
      <c r="E138" s="19">
        <v>20</v>
      </c>
      <c r="F138" s="19" t="str">
        <f>IF(ISBLANK('Portable Equip'!H$30),"new_ID",start)</f>
        <v>new_ID</v>
      </c>
      <c r="G138" s="113" t="s">
        <v>93</v>
      </c>
    </row>
    <row r="139" spans="1:7" x14ac:dyDescent="0.2">
      <c r="A139" s="19">
        <f t="shared" si="3"/>
        <v>0</v>
      </c>
      <c r="B139" s="19">
        <v>2019</v>
      </c>
      <c r="C139" s="112">
        <f>'Portable Equip'!H$16</f>
        <v>7845</v>
      </c>
      <c r="D139" s="112" t="str">
        <f>IF(ISBLANK('Portable Equip'!I$16),"",'Portable Equip'!I$16)</f>
        <v/>
      </c>
      <c r="E139" s="19">
        <v>20</v>
      </c>
      <c r="F139" s="19" t="str">
        <f>IF(ISBLANK('Portable Equip'!H$30),"new_ID",start)</f>
        <v>new_ID</v>
      </c>
      <c r="G139" s="113" t="s">
        <v>93</v>
      </c>
    </row>
    <row r="140" spans="1:7" hidden="1" x14ac:dyDescent="0.2">
      <c r="C140" s="112"/>
      <c r="D140" s="112"/>
      <c r="G140" s="113" t="s">
        <v>93</v>
      </c>
    </row>
    <row r="141" spans="1:7" x14ac:dyDescent="0.2">
      <c r="A141" s="19">
        <f t="shared" si="3"/>
        <v>0</v>
      </c>
      <c r="B141" s="19">
        <v>2019</v>
      </c>
      <c r="C141" s="112">
        <f>'Portable Equip'!H$18</f>
        <v>7847</v>
      </c>
      <c r="D141" s="112" t="str">
        <f>IF(ISBLANK('Portable Equip'!I$18),"",'Portable Equip'!I$18)</f>
        <v/>
      </c>
      <c r="E141" s="19">
        <v>20</v>
      </c>
      <c r="F141" s="19" t="str">
        <f>IF(ISBLANK('Portable Equip'!H$30),"new_ID",start)</f>
        <v>new_ID</v>
      </c>
      <c r="G141" s="113" t="s">
        <v>93</v>
      </c>
    </row>
    <row r="142" spans="1:7" x14ac:dyDescent="0.2">
      <c r="A142" s="19">
        <f t="shared" si="3"/>
        <v>0</v>
      </c>
      <c r="B142" s="19">
        <v>2019</v>
      </c>
      <c r="C142" s="112">
        <f>'Portable Equip'!H$19</f>
        <v>7848</v>
      </c>
      <c r="D142" s="591" t="str">
        <f>IF(OR('Portable Equip'!I$19=0,ISBLANK('Portable Equip'!I$19)),"",'Portable Equip'!I$19)</f>
        <v/>
      </c>
      <c r="E142" s="19">
        <v>20</v>
      </c>
      <c r="F142" s="19" t="str">
        <f>IF(ISBLANK('Portable Equip'!H$30),"new_ID",start)</f>
        <v>new_ID</v>
      </c>
      <c r="G142" s="113" t="s">
        <v>93</v>
      </c>
    </row>
    <row r="143" spans="1:7" x14ac:dyDescent="0.2">
      <c r="A143" s="19">
        <f t="shared" si="3"/>
        <v>0</v>
      </c>
      <c r="B143" s="19">
        <v>2019</v>
      </c>
      <c r="C143" s="112">
        <f>'Portable Equip'!K$5</f>
        <v>7849</v>
      </c>
      <c r="D143" s="112" t="str">
        <f>IF(ISBLANK('Portable Equip'!L$5),"",'Portable Equip'!L$5)</f>
        <v/>
      </c>
      <c r="E143" s="19">
        <v>20</v>
      </c>
      <c r="F143" s="19" t="str">
        <f>IF(ISBLANK('Portable Equip'!K$30),"new_ID",start)</f>
        <v>new_ID</v>
      </c>
      <c r="G143" s="120" t="s">
        <v>93</v>
      </c>
    </row>
    <row r="144" spans="1:7" x14ac:dyDescent="0.2">
      <c r="A144" s="19">
        <f t="shared" si="3"/>
        <v>0</v>
      </c>
      <c r="B144" s="19">
        <v>2019</v>
      </c>
      <c r="C144" s="112">
        <f>'Portable Equip'!K$6</f>
        <v>7850</v>
      </c>
      <c r="D144" s="112" t="str">
        <f>IF(ISBLANK('Portable Equip'!L$6),"",'Portable Equip'!L$6)</f>
        <v/>
      </c>
      <c r="E144" s="19">
        <v>20</v>
      </c>
      <c r="F144" s="19" t="str">
        <f>IF(ISBLANK('Portable Equip'!K$30),"new_ID",start)</f>
        <v>new_ID</v>
      </c>
      <c r="G144" s="113" t="s">
        <v>93</v>
      </c>
    </row>
    <row r="145" spans="1:7" x14ac:dyDescent="0.2">
      <c r="A145" s="19">
        <f t="shared" si="3"/>
        <v>0</v>
      </c>
      <c r="B145" s="19">
        <v>2019</v>
      </c>
      <c r="C145" s="112">
        <f>'Portable Equip'!K$7</f>
        <v>7851</v>
      </c>
      <c r="D145" s="112" t="str">
        <f>IF(ISBLANK('Portable Equip'!L$7),"",'Portable Equip'!L$7)</f>
        <v/>
      </c>
      <c r="E145" s="19">
        <v>20</v>
      </c>
      <c r="F145" s="19" t="str">
        <f>IF(ISBLANK('Portable Equip'!K$30),"new_ID",start)</f>
        <v>new_ID</v>
      </c>
      <c r="G145" s="113" t="s">
        <v>93</v>
      </c>
    </row>
    <row r="146" spans="1:7" x14ac:dyDescent="0.2">
      <c r="A146" s="19">
        <f t="shared" si="3"/>
        <v>0</v>
      </c>
      <c r="B146" s="19">
        <v>2019</v>
      </c>
      <c r="C146" s="112">
        <f>'Portable Equip'!K$8</f>
        <v>7852</v>
      </c>
      <c r="D146" s="112" t="str">
        <f>IF(ISBLANK('Portable Equip'!L$8),"",'Portable Equip'!L$8)</f>
        <v/>
      </c>
      <c r="E146" s="19">
        <v>20</v>
      </c>
      <c r="F146" s="19" t="str">
        <f>IF(ISBLANK('Portable Equip'!K$30),"new_ID",start)</f>
        <v>new_ID</v>
      </c>
      <c r="G146" s="113" t="s">
        <v>93</v>
      </c>
    </row>
    <row r="147" spans="1:7" x14ac:dyDescent="0.2">
      <c r="A147" s="19">
        <f t="shared" si="3"/>
        <v>0</v>
      </c>
      <c r="B147" s="19">
        <v>2019</v>
      </c>
      <c r="C147" s="112">
        <f>'Portable Equip'!K$9</f>
        <v>7853</v>
      </c>
      <c r="D147" s="112" t="str">
        <f>IF(ISBLANK('Portable Equip'!L$9),"",'Portable Equip'!L$9)</f>
        <v/>
      </c>
      <c r="E147" s="19">
        <v>20</v>
      </c>
      <c r="F147" s="19" t="str">
        <f>IF(ISBLANK('Portable Equip'!K$30),"new_ID",start)</f>
        <v>new_ID</v>
      </c>
      <c r="G147" s="113" t="s">
        <v>93</v>
      </c>
    </row>
    <row r="148" spans="1:7" x14ac:dyDescent="0.2">
      <c r="A148" s="19">
        <f t="shared" si="3"/>
        <v>0</v>
      </c>
      <c r="B148" s="19">
        <v>2019</v>
      </c>
      <c r="C148" s="112">
        <f>'Portable Equip'!K$10</f>
        <v>7854</v>
      </c>
      <c r="D148" s="112" t="str">
        <f>IF(ISBLANK('Portable Equip'!L$10),"",'Portable Equip'!L$10)</f>
        <v/>
      </c>
      <c r="E148" s="19">
        <v>20</v>
      </c>
      <c r="F148" s="19" t="str">
        <f>IF(ISBLANK('Portable Equip'!K$30),"new_ID",start)</f>
        <v>new_ID</v>
      </c>
      <c r="G148" s="113" t="s">
        <v>93</v>
      </c>
    </row>
    <row r="149" spans="1:7" x14ac:dyDescent="0.2">
      <c r="A149" s="19">
        <f t="shared" si="3"/>
        <v>0</v>
      </c>
      <c r="B149" s="19">
        <v>2019</v>
      </c>
      <c r="C149" s="112">
        <f>'Portable Equip'!K$11</f>
        <v>7855</v>
      </c>
      <c r="D149" s="112" t="str">
        <f>IF(ISBLANK('Portable Equip'!L$11),"",'Portable Equip'!L$11)</f>
        <v/>
      </c>
      <c r="E149" s="19">
        <v>20</v>
      </c>
      <c r="F149" s="19" t="str">
        <f>IF(ISBLANK('Portable Equip'!K$30),"new_ID",start)</f>
        <v>new_ID</v>
      </c>
      <c r="G149" s="113" t="s">
        <v>93</v>
      </c>
    </row>
    <row r="150" spans="1:7" x14ac:dyDescent="0.2">
      <c r="A150" s="19">
        <f t="shared" si="3"/>
        <v>0</v>
      </c>
      <c r="B150" s="19">
        <v>2019</v>
      </c>
      <c r="C150" s="112">
        <f>'Portable Equip'!K$12</f>
        <v>7856</v>
      </c>
      <c r="D150" s="112" t="str">
        <f>IF(ISBLANK('Portable Equip'!L$12),"",'Portable Equip'!L$12)</f>
        <v/>
      </c>
      <c r="E150" s="19">
        <v>20</v>
      </c>
      <c r="F150" s="19" t="str">
        <f>IF(ISBLANK('Portable Equip'!K$30),"new_ID",start)</f>
        <v>new_ID</v>
      </c>
      <c r="G150" s="113" t="s">
        <v>93</v>
      </c>
    </row>
    <row r="151" spans="1:7" x14ac:dyDescent="0.2">
      <c r="A151" s="19">
        <f t="shared" si="3"/>
        <v>0</v>
      </c>
      <c r="B151" s="19">
        <v>2019</v>
      </c>
      <c r="C151" s="112">
        <f>'Portable Equip'!K$13</f>
        <v>7857</v>
      </c>
      <c r="D151" s="112" t="str">
        <f>IF(ISBLANK('Portable Equip'!L$13),"",'Portable Equip'!L$13)</f>
        <v/>
      </c>
      <c r="E151" s="19">
        <v>20</v>
      </c>
      <c r="F151" s="19" t="str">
        <f>IF(ISBLANK('Portable Equip'!K$30),"new_ID",start)</f>
        <v>new_ID</v>
      </c>
      <c r="G151" s="113" t="s">
        <v>93</v>
      </c>
    </row>
    <row r="152" spans="1:7" x14ac:dyDescent="0.2">
      <c r="A152" s="19">
        <f t="shared" si="3"/>
        <v>0</v>
      </c>
      <c r="B152" s="19">
        <v>2019</v>
      </c>
      <c r="C152" s="112">
        <f>'Portable Equip'!K$14</f>
        <v>7858</v>
      </c>
      <c r="D152" s="112" t="str">
        <f>IF(ISBLANK('Portable Equip'!L$14),"",'Portable Equip'!L$14)</f>
        <v/>
      </c>
      <c r="E152" s="19">
        <v>20</v>
      </c>
      <c r="F152" s="19" t="str">
        <f>IF(ISBLANK('Portable Equip'!K$30),"new_ID",start)</f>
        <v>new_ID</v>
      </c>
      <c r="G152" s="113" t="s">
        <v>93</v>
      </c>
    </row>
    <row r="153" spans="1:7" x14ac:dyDescent="0.2">
      <c r="A153" s="19">
        <f t="shared" si="3"/>
        <v>0</v>
      </c>
      <c r="B153" s="19">
        <v>2019</v>
      </c>
      <c r="C153" s="112">
        <f>'Portable Equip'!K$15</f>
        <v>7859</v>
      </c>
      <c r="D153" s="591" t="str">
        <f>IF(OR('Portable Equip'!L$15=0,ISBLANK('Portable Equip'!L$15)),"",'Portable Equip'!L$15)</f>
        <v/>
      </c>
      <c r="E153" s="19">
        <v>20</v>
      </c>
      <c r="F153" s="19" t="str">
        <f>IF(ISBLANK('Portable Equip'!K$30),"new_ID",start)</f>
        <v>new_ID</v>
      </c>
      <c r="G153" s="113" t="s">
        <v>93</v>
      </c>
    </row>
    <row r="154" spans="1:7" x14ac:dyDescent="0.2">
      <c r="A154" s="19">
        <f t="shared" si="3"/>
        <v>0</v>
      </c>
      <c r="B154" s="19">
        <v>2019</v>
      </c>
      <c r="C154" s="112">
        <f>'Portable Equip'!K$16</f>
        <v>7860</v>
      </c>
      <c r="D154" s="112" t="str">
        <f>IF(ISBLANK('Portable Equip'!L$16),"",'Portable Equip'!L$16)</f>
        <v/>
      </c>
      <c r="E154" s="19">
        <v>20</v>
      </c>
      <c r="F154" s="19" t="str">
        <f>IF(ISBLANK('Portable Equip'!K$30),"new_ID",start)</f>
        <v>new_ID</v>
      </c>
      <c r="G154" s="113" t="s">
        <v>93</v>
      </c>
    </row>
    <row r="155" spans="1:7" hidden="1" x14ac:dyDescent="0.2">
      <c r="C155" s="112"/>
      <c r="D155" s="112"/>
      <c r="G155" s="113" t="s">
        <v>93</v>
      </c>
    </row>
    <row r="156" spans="1:7" x14ac:dyDescent="0.2">
      <c r="A156" s="19">
        <f t="shared" si="3"/>
        <v>0</v>
      </c>
      <c r="B156" s="19">
        <v>2019</v>
      </c>
      <c r="C156" s="112">
        <f>'Portable Equip'!K$18</f>
        <v>7862</v>
      </c>
      <c r="D156" s="112" t="str">
        <f>IF(ISBLANK('Portable Equip'!L$18),"",'Portable Equip'!L$18)</f>
        <v/>
      </c>
      <c r="E156" s="19">
        <v>20</v>
      </c>
      <c r="F156" s="19" t="str">
        <f>IF(ISBLANK('Portable Equip'!K$30),"new_ID",start)</f>
        <v>new_ID</v>
      </c>
      <c r="G156" s="113" t="s">
        <v>93</v>
      </c>
    </row>
    <row r="157" spans="1:7" x14ac:dyDescent="0.2">
      <c r="A157" s="19">
        <f t="shared" si="3"/>
        <v>0</v>
      </c>
      <c r="B157" s="19">
        <v>2019</v>
      </c>
      <c r="C157" s="112">
        <f>'Portable Equip'!K$19</f>
        <v>7863</v>
      </c>
      <c r="D157" s="591" t="str">
        <f>IF(OR('Portable Equip'!L$19=0,ISBLANK('Portable Equip'!L$19)),"",'Portable Equip'!L$19)</f>
        <v/>
      </c>
      <c r="E157" s="19">
        <v>20</v>
      </c>
      <c r="F157" s="19" t="str">
        <f>IF(ISBLANK('Portable Equip'!K$30),"new_ID",start)</f>
        <v>new_ID</v>
      </c>
      <c r="G157" s="113" t="s">
        <v>93</v>
      </c>
    </row>
    <row r="158" spans="1:7" x14ac:dyDescent="0.2">
      <c r="A158" s="19">
        <f t="shared" si="3"/>
        <v>0</v>
      </c>
      <c r="B158" s="19">
        <v>2019</v>
      </c>
      <c r="C158" s="112">
        <f>'Portable Equip'!N$5</f>
        <v>7864</v>
      </c>
      <c r="D158" s="112" t="str">
        <f>IF(ISBLANK('Portable Equip'!O$5),"",'Portable Equip'!O$5)</f>
        <v/>
      </c>
      <c r="E158" s="19">
        <v>20</v>
      </c>
      <c r="F158" s="19" t="str">
        <f>IF(ISBLANK('Portable Equip'!N$30),"new_ID",start)</f>
        <v>new_ID</v>
      </c>
      <c r="G158" s="120" t="s">
        <v>93</v>
      </c>
    </row>
    <row r="159" spans="1:7" x14ac:dyDescent="0.2">
      <c r="A159" s="19">
        <f t="shared" si="3"/>
        <v>0</v>
      </c>
      <c r="B159" s="19">
        <v>2019</v>
      </c>
      <c r="C159" s="112">
        <f>'Portable Equip'!N$6</f>
        <v>7865</v>
      </c>
      <c r="D159" s="112" t="str">
        <f>IF(ISBLANK('Portable Equip'!O$6),"",'Portable Equip'!O$6)</f>
        <v/>
      </c>
      <c r="E159" s="19">
        <v>20</v>
      </c>
      <c r="F159" s="19" t="str">
        <f>IF(ISBLANK('Portable Equip'!N$30),"new_ID",start)</f>
        <v>new_ID</v>
      </c>
      <c r="G159" s="113" t="s">
        <v>93</v>
      </c>
    </row>
    <row r="160" spans="1:7" x14ac:dyDescent="0.2">
      <c r="A160" s="19">
        <f t="shared" si="3"/>
        <v>0</v>
      </c>
      <c r="B160" s="19">
        <v>2019</v>
      </c>
      <c r="C160" s="112">
        <f>'Portable Equip'!N$7</f>
        <v>7866</v>
      </c>
      <c r="D160" s="112" t="str">
        <f>IF(ISBLANK('Portable Equip'!O$7),"",'Portable Equip'!O$7)</f>
        <v/>
      </c>
      <c r="E160" s="19">
        <v>20</v>
      </c>
      <c r="F160" s="19" t="str">
        <f>IF(ISBLANK('Portable Equip'!N$30),"new_ID",start)</f>
        <v>new_ID</v>
      </c>
      <c r="G160" s="113" t="s">
        <v>93</v>
      </c>
    </row>
    <row r="161" spans="1:7" x14ac:dyDescent="0.2">
      <c r="A161" s="19">
        <f t="shared" si="3"/>
        <v>0</v>
      </c>
      <c r="B161" s="19">
        <v>2019</v>
      </c>
      <c r="C161" s="112">
        <f>'Portable Equip'!N$8</f>
        <v>7867</v>
      </c>
      <c r="D161" s="112" t="str">
        <f>IF(ISBLANK('Portable Equip'!O$8),"",'Portable Equip'!O$8)</f>
        <v/>
      </c>
      <c r="E161" s="19">
        <v>20</v>
      </c>
      <c r="F161" s="19" t="str">
        <f>IF(ISBLANK('Portable Equip'!N$30),"new_ID",start)</f>
        <v>new_ID</v>
      </c>
      <c r="G161" s="113" t="s">
        <v>93</v>
      </c>
    </row>
    <row r="162" spans="1:7" x14ac:dyDescent="0.2">
      <c r="A162" s="19">
        <f t="shared" si="3"/>
        <v>0</v>
      </c>
      <c r="B162" s="19">
        <v>2019</v>
      </c>
      <c r="C162" s="112">
        <f>'Portable Equip'!N$9</f>
        <v>7868</v>
      </c>
      <c r="D162" s="112" t="str">
        <f>IF(ISBLANK('Portable Equip'!O$9),"",'Portable Equip'!O$9)</f>
        <v/>
      </c>
      <c r="E162" s="19">
        <v>20</v>
      </c>
      <c r="F162" s="19" t="str">
        <f>IF(ISBLANK('Portable Equip'!N$30),"new_ID",start)</f>
        <v>new_ID</v>
      </c>
      <c r="G162" s="113" t="s">
        <v>93</v>
      </c>
    </row>
    <row r="163" spans="1:7" x14ac:dyDescent="0.2">
      <c r="A163" s="19">
        <f t="shared" si="3"/>
        <v>0</v>
      </c>
      <c r="B163" s="19">
        <v>2019</v>
      </c>
      <c r="C163" s="112">
        <f>'Portable Equip'!N$10</f>
        <v>7869</v>
      </c>
      <c r="D163" s="112" t="str">
        <f>IF(ISBLANK('Portable Equip'!O$10),"",'Portable Equip'!O$10)</f>
        <v/>
      </c>
      <c r="E163" s="19">
        <v>20</v>
      </c>
      <c r="F163" s="19" t="str">
        <f>IF(ISBLANK('Portable Equip'!N$30),"new_ID",start)</f>
        <v>new_ID</v>
      </c>
      <c r="G163" s="113" t="s">
        <v>93</v>
      </c>
    </row>
    <row r="164" spans="1:7" x14ac:dyDescent="0.2">
      <c r="A164" s="19">
        <f t="shared" si="3"/>
        <v>0</v>
      </c>
      <c r="B164" s="19">
        <v>2019</v>
      </c>
      <c r="C164" s="112">
        <f>'Portable Equip'!N$11</f>
        <v>7870</v>
      </c>
      <c r="D164" s="112" t="str">
        <f>IF(ISBLANK('Portable Equip'!O$11),"",'Portable Equip'!O$11)</f>
        <v/>
      </c>
      <c r="E164" s="19">
        <v>20</v>
      </c>
      <c r="F164" s="19" t="str">
        <f>IF(ISBLANK('Portable Equip'!N$30),"new_ID",start)</f>
        <v>new_ID</v>
      </c>
      <c r="G164" s="113" t="s">
        <v>93</v>
      </c>
    </row>
    <row r="165" spans="1:7" x14ac:dyDescent="0.2">
      <c r="A165" s="19">
        <f t="shared" si="3"/>
        <v>0</v>
      </c>
      <c r="B165" s="19">
        <v>2019</v>
      </c>
      <c r="C165" s="112">
        <f>'Portable Equip'!N$12</f>
        <v>7871</v>
      </c>
      <c r="D165" s="112" t="str">
        <f>IF(ISBLANK('Portable Equip'!O$12),"",'Portable Equip'!O$12)</f>
        <v/>
      </c>
      <c r="E165" s="19">
        <v>20</v>
      </c>
      <c r="F165" s="19" t="str">
        <f>IF(ISBLANK('Portable Equip'!N$30),"new_ID",start)</f>
        <v>new_ID</v>
      </c>
      <c r="G165" s="113" t="s">
        <v>93</v>
      </c>
    </row>
    <row r="166" spans="1:7" x14ac:dyDescent="0.2">
      <c r="A166" s="19">
        <f t="shared" ref="A166:A193" si="4">start</f>
        <v>0</v>
      </c>
      <c r="B166" s="19">
        <v>2019</v>
      </c>
      <c r="C166" s="112">
        <f>'Portable Equip'!N$13</f>
        <v>7872</v>
      </c>
      <c r="D166" s="112" t="str">
        <f>IF(ISBLANK('Portable Equip'!O$13),"",'Portable Equip'!O$13)</f>
        <v/>
      </c>
      <c r="E166" s="19">
        <v>20</v>
      </c>
      <c r="F166" s="19" t="str">
        <f>IF(ISBLANK('Portable Equip'!N$30),"new_ID",start)</f>
        <v>new_ID</v>
      </c>
      <c r="G166" s="113" t="s">
        <v>93</v>
      </c>
    </row>
    <row r="167" spans="1:7" x14ac:dyDescent="0.2">
      <c r="A167" s="19">
        <f t="shared" si="4"/>
        <v>0</v>
      </c>
      <c r="B167" s="19">
        <v>2019</v>
      </c>
      <c r="C167" s="112">
        <f>'Portable Equip'!N$14</f>
        <v>7873</v>
      </c>
      <c r="D167" s="112" t="str">
        <f>IF(ISBLANK('Portable Equip'!O$14),"",'Portable Equip'!O$14)</f>
        <v/>
      </c>
      <c r="E167" s="19">
        <v>20</v>
      </c>
      <c r="F167" s="19" t="str">
        <f>IF(ISBLANK('Portable Equip'!N$30),"new_ID",start)</f>
        <v>new_ID</v>
      </c>
      <c r="G167" s="113" t="s">
        <v>93</v>
      </c>
    </row>
    <row r="168" spans="1:7" x14ac:dyDescent="0.2">
      <c r="A168" s="19">
        <f t="shared" si="4"/>
        <v>0</v>
      </c>
      <c r="B168" s="19">
        <v>2019</v>
      </c>
      <c r="C168" s="112">
        <f>'Portable Equip'!N$15</f>
        <v>7874</v>
      </c>
      <c r="D168" s="591" t="str">
        <f>IF(OR('Portable Equip'!O$15=0,ISBLANK('Portable Equip'!O$15)),"",'Portable Equip'!O$15)</f>
        <v/>
      </c>
      <c r="E168" s="19">
        <v>20</v>
      </c>
      <c r="F168" s="19" t="str">
        <f>IF(ISBLANK('Portable Equip'!N$30),"new_ID",start)</f>
        <v>new_ID</v>
      </c>
      <c r="G168" s="113" t="s">
        <v>93</v>
      </c>
    </row>
    <row r="169" spans="1:7" x14ac:dyDescent="0.2">
      <c r="A169" s="19">
        <f t="shared" si="4"/>
        <v>0</v>
      </c>
      <c r="B169" s="19">
        <v>2019</v>
      </c>
      <c r="C169" s="112">
        <f>'Portable Equip'!N$16</f>
        <v>7875</v>
      </c>
      <c r="D169" s="112" t="str">
        <f>IF(ISBLANK('Portable Equip'!O$16),"",'Portable Equip'!O$16)</f>
        <v/>
      </c>
      <c r="E169" s="19">
        <v>20</v>
      </c>
      <c r="F169" s="19" t="str">
        <f>IF(ISBLANK('Portable Equip'!N$30),"new_ID",start)</f>
        <v>new_ID</v>
      </c>
      <c r="G169" s="113" t="s">
        <v>93</v>
      </c>
    </row>
    <row r="170" spans="1:7" hidden="1" x14ac:dyDescent="0.2">
      <c r="C170" s="112"/>
      <c r="D170" s="112"/>
      <c r="G170" s="113" t="s">
        <v>93</v>
      </c>
    </row>
    <row r="171" spans="1:7" x14ac:dyDescent="0.2">
      <c r="A171" s="19">
        <f t="shared" si="4"/>
        <v>0</v>
      </c>
      <c r="B171" s="19">
        <v>2019</v>
      </c>
      <c r="C171" s="112">
        <f>'Portable Equip'!N$18</f>
        <v>7877</v>
      </c>
      <c r="D171" s="112" t="str">
        <f>IF(ISBLANK('Portable Equip'!O$18),"",'Portable Equip'!O$18)</f>
        <v/>
      </c>
      <c r="E171" s="19">
        <v>20</v>
      </c>
      <c r="F171" s="19" t="str">
        <f>IF(ISBLANK('Portable Equip'!N$30),"new_ID",start)</f>
        <v>new_ID</v>
      </c>
      <c r="G171" s="113" t="s">
        <v>93</v>
      </c>
    </row>
    <row r="172" spans="1:7" x14ac:dyDescent="0.2">
      <c r="A172" s="19">
        <f t="shared" si="4"/>
        <v>0</v>
      </c>
      <c r="B172" s="19">
        <v>2019</v>
      </c>
      <c r="C172" s="112">
        <f>'Portable Equip'!N$19</f>
        <v>7878</v>
      </c>
      <c r="D172" s="591" t="str">
        <f>IF(OR('Portable Equip'!O$19=0,ISBLANK('Portable Equip'!O$19)),"",'Portable Equip'!O$19)</f>
        <v/>
      </c>
      <c r="E172" s="19">
        <v>20</v>
      </c>
      <c r="F172" s="19" t="str">
        <f>IF(ISBLANK('Portable Equip'!N$30),"new_ID",start)</f>
        <v>new_ID</v>
      </c>
      <c r="G172" s="113" t="s">
        <v>93</v>
      </c>
    </row>
    <row r="173" spans="1:7" x14ac:dyDescent="0.2">
      <c r="A173" s="19">
        <f t="shared" si="4"/>
        <v>0</v>
      </c>
      <c r="B173" s="19">
        <v>2019</v>
      </c>
      <c r="C173" s="112">
        <f>'Portable Equip'!Q$5</f>
        <v>7879</v>
      </c>
      <c r="D173" s="112" t="str">
        <f>IF(ISBLANK('Portable Equip'!R$5),"",'Portable Equip'!R$5)</f>
        <v/>
      </c>
      <c r="E173" s="19">
        <v>20</v>
      </c>
      <c r="F173" s="19" t="str">
        <f>IF(ISBLANK('Portable Equip'!Q$30),"new_ID",start)</f>
        <v>new_ID</v>
      </c>
      <c r="G173" s="120" t="s">
        <v>93</v>
      </c>
    </row>
    <row r="174" spans="1:7" x14ac:dyDescent="0.2">
      <c r="A174" s="19">
        <f t="shared" si="4"/>
        <v>0</v>
      </c>
      <c r="B174" s="19">
        <v>2019</v>
      </c>
      <c r="C174" s="112">
        <f>'Portable Equip'!Q$6</f>
        <v>7880</v>
      </c>
      <c r="D174" s="112" t="str">
        <f>IF(ISBLANK('Portable Equip'!R$6),"",'Portable Equip'!R$6)</f>
        <v/>
      </c>
      <c r="E174" s="19">
        <v>20</v>
      </c>
      <c r="F174" s="19" t="str">
        <f>IF(ISBLANK('Portable Equip'!Q$30),"new_ID",start)</f>
        <v>new_ID</v>
      </c>
      <c r="G174" s="113" t="s">
        <v>93</v>
      </c>
    </row>
    <row r="175" spans="1:7" x14ac:dyDescent="0.2">
      <c r="A175" s="19">
        <f t="shared" si="4"/>
        <v>0</v>
      </c>
      <c r="B175" s="19">
        <v>2019</v>
      </c>
      <c r="C175" s="112">
        <f>'Portable Equip'!Q$7</f>
        <v>7881</v>
      </c>
      <c r="D175" s="112" t="str">
        <f>IF(ISBLANK('Portable Equip'!R$7),"",'Portable Equip'!R$7)</f>
        <v/>
      </c>
      <c r="E175" s="19">
        <v>20</v>
      </c>
      <c r="F175" s="19" t="str">
        <f>IF(ISBLANK('Portable Equip'!Q$30),"new_ID",start)</f>
        <v>new_ID</v>
      </c>
      <c r="G175" s="113" t="s">
        <v>93</v>
      </c>
    </row>
    <row r="176" spans="1:7" x14ac:dyDescent="0.2">
      <c r="A176" s="19">
        <f t="shared" si="4"/>
        <v>0</v>
      </c>
      <c r="B176" s="19">
        <v>2019</v>
      </c>
      <c r="C176" s="112">
        <f>'Portable Equip'!Q$8</f>
        <v>7882</v>
      </c>
      <c r="D176" s="112" t="str">
        <f>IF(ISBLANK('Portable Equip'!R$8),"",'Portable Equip'!R$8)</f>
        <v/>
      </c>
      <c r="E176" s="19">
        <v>20</v>
      </c>
      <c r="F176" s="19" t="str">
        <f>IF(ISBLANK('Portable Equip'!Q$30),"new_ID",start)</f>
        <v>new_ID</v>
      </c>
      <c r="G176" s="113" t="s">
        <v>93</v>
      </c>
    </row>
    <row r="177" spans="1:7" x14ac:dyDescent="0.2">
      <c r="A177" s="19">
        <f t="shared" si="4"/>
        <v>0</v>
      </c>
      <c r="B177" s="19">
        <v>2019</v>
      </c>
      <c r="C177" s="112">
        <f>'Portable Equip'!Q$9</f>
        <v>7883</v>
      </c>
      <c r="D177" s="112" t="str">
        <f>IF(ISBLANK('Portable Equip'!R$9),"",'Portable Equip'!R$9)</f>
        <v/>
      </c>
      <c r="E177" s="19">
        <v>20</v>
      </c>
      <c r="F177" s="19" t="str">
        <f>IF(ISBLANK('Portable Equip'!Q$30),"new_ID",start)</f>
        <v>new_ID</v>
      </c>
      <c r="G177" s="113" t="s">
        <v>93</v>
      </c>
    </row>
    <row r="178" spans="1:7" x14ac:dyDescent="0.2">
      <c r="A178" s="19">
        <f t="shared" si="4"/>
        <v>0</v>
      </c>
      <c r="B178" s="19">
        <v>2019</v>
      </c>
      <c r="C178" s="112">
        <f>'Portable Equip'!Q$10</f>
        <v>7884</v>
      </c>
      <c r="D178" s="112" t="str">
        <f>IF(ISBLANK('Portable Equip'!R$10),"",'Portable Equip'!R$10)</f>
        <v/>
      </c>
      <c r="E178" s="19">
        <v>20</v>
      </c>
      <c r="F178" s="19" t="str">
        <f>IF(ISBLANK('Portable Equip'!Q$30),"new_ID",start)</f>
        <v>new_ID</v>
      </c>
      <c r="G178" s="113" t="s">
        <v>93</v>
      </c>
    </row>
    <row r="179" spans="1:7" x14ac:dyDescent="0.2">
      <c r="A179" s="19">
        <f t="shared" si="4"/>
        <v>0</v>
      </c>
      <c r="B179" s="19">
        <v>2019</v>
      </c>
      <c r="C179" s="112">
        <f>'Portable Equip'!Q$11</f>
        <v>7885</v>
      </c>
      <c r="D179" s="112" t="str">
        <f>IF(ISBLANK('Portable Equip'!R$11),"",'Portable Equip'!R$11)</f>
        <v/>
      </c>
      <c r="E179" s="19">
        <v>20</v>
      </c>
      <c r="F179" s="19" t="str">
        <f>IF(ISBLANK('Portable Equip'!Q$30),"new_ID",start)</f>
        <v>new_ID</v>
      </c>
      <c r="G179" s="113" t="s">
        <v>93</v>
      </c>
    </row>
    <row r="180" spans="1:7" x14ac:dyDescent="0.2">
      <c r="A180" s="19">
        <f t="shared" si="4"/>
        <v>0</v>
      </c>
      <c r="B180" s="19">
        <v>2019</v>
      </c>
      <c r="C180" s="112">
        <f>'Portable Equip'!Q$12</f>
        <v>7886</v>
      </c>
      <c r="D180" s="112" t="str">
        <f>IF(ISBLANK('Portable Equip'!R$12),"",'Portable Equip'!R$12)</f>
        <v/>
      </c>
      <c r="E180" s="19">
        <v>20</v>
      </c>
      <c r="F180" s="19" t="str">
        <f>IF(ISBLANK('Portable Equip'!Q$30),"new_ID",start)</f>
        <v>new_ID</v>
      </c>
      <c r="G180" s="113" t="s">
        <v>93</v>
      </c>
    </row>
    <row r="181" spans="1:7" x14ac:dyDescent="0.2">
      <c r="A181" s="19">
        <f t="shared" si="4"/>
        <v>0</v>
      </c>
      <c r="B181" s="19">
        <v>2019</v>
      </c>
      <c r="C181" s="112">
        <f>'Portable Equip'!Q$13</f>
        <v>7887</v>
      </c>
      <c r="D181" s="112" t="str">
        <f>IF(ISBLANK('Portable Equip'!R$13),"",'Portable Equip'!R$13)</f>
        <v/>
      </c>
      <c r="E181" s="19">
        <v>20</v>
      </c>
      <c r="F181" s="19" t="str">
        <f>IF(ISBLANK('Portable Equip'!Q$30),"new_ID",start)</f>
        <v>new_ID</v>
      </c>
      <c r="G181" s="113" t="s">
        <v>93</v>
      </c>
    </row>
    <row r="182" spans="1:7" x14ac:dyDescent="0.2">
      <c r="A182" s="19">
        <f t="shared" si="4"/>
        <v>0</v>
      </c>
      <c r="B182" s="19">
        <v>2019</v>
      </c>
      <c r="C182" s="112">
        <f>'Portable Equip'!Q$14</f>
        <v>7888</v>
      </c>
      <c r="D182" s="112" t="str">
        <f>IF(ISBLANK('Portable Equip'!R$14),"",'Portable Equip'!R$14)</f>
        <v/>
      </c>
      <c r="E182" s="19">
        <v>20</v>
      </c>
      <c r="F182" s="19" t="str">
        <f>IF(ISBLANK('Portable Equip'!Q$30),"new_ID",start)</f>
        <v>new_ID</v>
      </c>
      <c r="G182" s="113" t="s">
        <v>93</v>
      </c>
    </row>
    <row r="183" spans="1:7" x14ac:dyDescent="0.2">
      <c r="A183" s="19">
        <f t="shared" si="4"/>
        <v>0</v>
      </c>
      <c r="B183" s="19">
        <v>2019</v>
      </c>
      <c r="C183" s="112">
        <f>'Portable Equip'!Q$15</f>
        <v>7889</v>
      </c>
      <c r="D183" s="591" t="str">
        <f>IF(OR('Portable Equip'!R$15=0,ISBLANK('Portable Equip'!R$15)),"",'Portable Equip'!R$15)</f>
        <v/>
      </c>
      <c r="E183" s="19">
        <v>20</v>
      </c>
      <c r="F183" s="19" t="str">
        <f>IF(ISBLANK('Portable Equip'!Q$30),"new_ID",start)</f>
        <v>new_ID</v>
      </c>
      <c r="G183" s="113" t="s">
        <v>93</v>
      </c>
    </row>
    <row r="184" spans="1:7" x14ac:dyDescent="0.2">
      <c r="A184" s="19">
        <f t="shared" si="4"/>
        <v>0</v>
      </c>
      <c r="B184" s="19">
        <v>2019</v>
      </c>
      <c r="C184" s="112">
        <f>'Portable Equip'!Q$16</f>
        <v>7890</v>
      </c>
      <c r="D184" s="112" t="str">
        <f>IF(ISBLANK('Portable Equip'!R$16),"",'Portable Equip'!R$16)</f>
        <v/>
      </c>
      <c r="E184" s="19">
        <v>20</v>
      </c>
      <c r="F184" s="19" t="str">
        <f>IF(ISBLANK('Portable Equip'!Q$30),"new_ID",start)</f>
        <v>new_ID</v>
      </c>
      <c r="G184" s="113" t="s">
        <v>93</v>
      </c>
    </row>
    <row r="185" spans="1:7" hidden="1" x14ac:dyDescent="0.2">
      <c r="C185" s="112"/>
      <c r="D185" s="112"/>
      <c r="G185" s="113" t="s">
        <v>93</v>
      </c>
    </row>
    <row r="186" spans="1:7" x14ac:dyDescent="0.2">
      <c r="A186" s="19">
        <f t="shared" si="4"/>
        <v>0</v>
      </c>
      <c r="B186" s="19">
        <v>2019</v>
      </c>
      <c r="C186" s="112">
        <f>'Portable Equip'!Q$18</f>
        <v>7892</v>
      </c>
      <c r="D186" s="112" t="str">
        <f>IF(ISBLANK('Portable Equip'!R$18),"",'Portable Equip'!R$18)</f>
        <v/>
      </c>
      <c r="E186" s="19">
        <v>20</v>
      </c>
      <c r="F186" s="19" t="str">
        <f>IF(ISBLANK('Portable Equip'!Q$30),"new_ID",start)</f>
        <v>new_ID</v>
      </c>
      <c r="G186" s="113" t="s">
        <v>93</v>
      </c>
    </row>
    <row r="187" spans="1:7" x14ac:dyDescent="0.2">
      <c r="A187" s="19">
        <f t="shared" si="4"/>
        <v>0</v>
      </c>
      <c r="B187" s="19">
        <v>2019</v>
      </c>
      <c r="C187" s="112">
        <f>'Portable Equip'!Q$19</f>
        <v>7893</v>
      </c>
      <c r="D187" s="591" t="str">
        <f>IF(OR('Portable Equip'!R$19=0,ISBLANK('Portable Equip'!R$19)),"",'Portable Equip'!R$19)</f>
        <v/>
      </c>
      <c r="E187" s="19">
        <v>20</v>
      </c>
      <c r="F187" s="19" t="str">
        <f>IF(ISBLANK('Portable Equip'!Q$30),"new_ID",start)</f>
        <v>new_ID</v>
      </c>
      <c r="G187" s="113" t="s">
        <v>93</v>
      </c>
    </row>
    <row r="188" spans="1:7" x14ac:dyDescent="0.2">
      <c r="A188" s="19">
        <f t="shared" si="4"/>
        <v>0</v>
      </c>
      <c r="B188" s="19">
        <v>2019</v>
      </c>
      <c r="C188" s="112">
        <f>'Portable Equip'!B$24</f>
        <v>7894</v>
      </c>
      <c r="D188" s="112" t="str">
        <f>IF(ISBLANK('Portable Equip'!C$24),"",'Portable Equip'!C$24)</f>
        <v/>
      </c>
      <c r="E188" s="19">
        <v>20</v>
      </c>
      <c r="F188" s="19" t="str">
        <f>IF(ISBLANK('Portable Equip'!B$30),"new_ID",start)</f>
        <v>new_ID</v>
      </c>
      <c r="G188" s="120" t="s">
        <v>93</v>
      </c>
    </row>
    <row r="189" spans="1:7" x14ac:dyDescent="0.2">
      <c r="A189" s="19">
        <f t="shared" si="4"/>
        <v>0</v>
      </c>
      <c r="B189" s="19">
        <v>2019</v>
      </c>
      <c r="C189" s="112">
        <f>'Portable Equip'!E$24</f>
        <v>7895</v>
      </c>
      <c r="D189" s="112" t="str">
        <f>IF(ISBLANK('Portable Equip'!F$24),"",'Portable Equip'!F$24)</f>
        <v/>
      </c>
      <c r="E189" s="19">
        <v>20</v>
      </c>
      <c r="F189" s="19" t="str">
        <f>IF(ISBLANK('Portable Equip'!E$30),"new_ID",start)</f>
        <v>new_ID</v>
      </c>
      <c r="G189" s="120" t="s">
        <v>93</v>
      </c>
    </row>
    <row r="190" spans="1:7" x14ac:dyDescent="0.2">
      <c r="A190" s="19">
        <f t="shared" si="4"/>
        <v>0</v>
      </c>
      <c r="B190" s="19">
        <v>2019</v>
      </c>
      <c r="C190" s="112">
        <f>'Portable Equip'!H$24</f>
        <v>7896</v>
      </c>
      <c r="D190" s="112" t="str">
        <f>IF(ISBLANK('Portable Equip'!I$24),"",'Portable Equip'!I$24)</f>
        <v/>
      </c>
      <c r="E190" s="19">
        <v>20</v>
      </c>
      <c r="F190" s="19" t="str">
        <f>IF(ISBLANK('Portable Equip'!H$30),"new_ID",start)</f>
        <v>new_ID</v>
      </c>
      <c r="G190" s="120" t="s">
        <v>93</v>
      </c>
    </row>
    <row r="191" spans="1:7" x14ac:dyDescent="0.2">
      <c r="A191" s="19">
        <f t="shared" si="4"/>
        <v>0</v>
      </c>
      <c r="B191" s="19">
        <v>2019</v>
      </c>
      <c r="C191" s="112">
        <f>'Portable Equip'!K$24</f>
        <v>7897</v>
      </c>
      <c r="D191" s="112" t="str">
        <f>IF(ISBLANK('Portable Equip'!L$24),"",'Portable Equip'!L$24)</f>
        <v/>
      </c>
      <c r="E191" s="19">
        <v>20</v>
      </c>
      <c r="F191" s="19" t="str">
        <f>IF(ISBLANK('Portable Equip'!K$30),"new_ID",start)</f>
        <v>new_ID</v>
      </c>
      <c r="G191" s="120" t="s">
        <v>93</v>
      </c>
    </row>
    <row r="192" spans="1:7" x14ac:dyDescent="0.2">
      <c r="A192" s="19">
        <f t="shared" si="4"/>
        <v>0</v>
      </c>
      <c r="B192" s="19">
        <v>2019</v>
      </c>
      <c r="C192" s="112">
        <f>'Portable Equip'!N$24</f>
        <v>7898</v>
      </c>
      <c r="D192" s="112" t="str">
        <f>IF(ISBLANK('Portable Equip'!O$24),"",'Portable Equip'!O$24)</f>
        <v/>
      </c>
      <c r="E192" s="19">
        <v>20</v>
      </c>
      <c r="F192" s="19" t="str">
        <f>IF(ISBLANK('Portable Equip'!N$30),"new_ID",start)</f>
        <v>new_ID</v>
      </c>
      <c r="G192" s="120" t="s">
        <v>93</v>
      </c>
    </row>
    <row r="193" spans="1:7" x14ac:dyDescent="0.2">
      <c r="A193" s="19">
        <f t="shared" si="4"/>
        <v>0</v>
      </c>
      <c r="B193" s="19">
        <v>2019</v>
      </c>
      <c r="C193" s="112">
        <f>'Portable Equip'!Q$24</f>
        <v>7899</v>
      </c>
      <c r="D193" s="112" t="str">
        <f>IF(ISBLANK('Portable Equip'!R$24),"",'Portable Equip'!R$24)</f>
        <v/>
      </c>
      <c r="E193" s="19">
        <v>20</v>
      </c>
      <c r="F193" s="19" t="str">
        <f>IF(ISBLANK('Portable Equip'!Q$30),"new_ID",start)</f>
        <v>new_ID</v>
      </c>
      <c r="G193" s="120" t="s">
        <v>93</v>
      </c>
    </row>
    <row r="194" spans="1:7" x14ac:dyDescent="0.2">
      <c r="A194" s="19">
        <f>start</f>
        <v>0</v>
      </c>
      <c r="B194" s="19">
        <v>2019</v>
      </c>
      <c r="C194" s="112">
        <f>'Mobile Equip'!B$5</f>
        <v>7900</v>
      </c>
      <c r="D194" s="112" t="str">
        <f>IF(ISBLANK('Mobile Equip'!C$5),"",'Mobile Equip'!C$5)</f>
        <v/>
      </c>
      <c r="E194" s="19">
        <v>20</v>
      </c>
      <c r="F194" s="19" t="str">
        <f>IF(ISBLANK('Mobile Equip'!B$30),"new_ID",start)</f>
        <v>new_ID</v>
      </c>
      <c r="G194" s="119" t="s">
        <v>125</v>
      </c>
    </row>
    <row r="195" spans="1:7" x14ac:dyDescent="0.2">
      <c r="A195" s="19">
        <f>start</f>
        <v>0</v>
      </c>
      <c r="B195" s="19">
        <v>2019</v>
      </c>
      <c r="C195" s="112">
        <f>'Mobile Equip'!B$6</f>
        <v>7901</v>
      </c>
      <c r="D195" s="112" t="str">
        <f>IF(ISBLANK('Mobile Equip'!C$6),"",'Mobile Equip'!C$6)</f>
        <v/>
      </c>
      <c r="E195" s="19">
        <v>20</v>
      </c>
      <c r="F195" s="19" t="str">
        <f>IF(ISBLANK('Mobile Equip'!B$30),"new_ID",start)</f>
        <v>new_ID</v>
      </c>
      <c r="G195" s="113" t="s">
        <v>94</v>
      </c>
    </row>
    <row r="196" spans="1:7" x14ac:dyDescent="0.2">
      <c r="A196" s="19">
        <f>start</f>
        <v>0</v>
      </c>
      <c r="B196" s="19">
        <v>2019</v>
      </c>
      <c r="C196" s="112">
        <f>'Mobile Equip'!B$7</f>
        <v>7902</v>
      </c>
      <c r="D196" s="112" t="str">
        <f>IF(ISBLANK('Mobile Equip'!C$7),"",'Mobile Equip'!C$7)</f>
        <v/>
      </c>
      <c r="E196" s="19">
        <v>20</v>
      </c>
      <c r="F196" s="19" t="str">
        <f>IF(ISBLANK('Mobile Equip'!B$30),"new_ID",start)</f>
        <v>new_ID</v>
      </c>
      <c r="G196" s="113" t="s">
        <v>94</v>
      </c>
    </row>
    <row r="197" spans="1:7" x14ac:dyDescent="0.2">
      <c r="A197" s="19">
        <f>start</f>
        <v>0</v>
      </c>
      <c r="B197" s="19">
        <v>2019</v>
      </c>
      <c r="C197" s="112">
        <f>'Mobile Equip'!B$8</f>
        <v>7903</v>
      </c>
      <c r="D197" s="112" t="str">
        <f>IF(ISBLANK('Mobile Equip'!C$8),"",'Mobile Equip'!C$8)</f>
        <v/>
      </c>
      <c r="E197" s="19">
        <v>20</v>
      </c>
      <c r="F197" s="19" t="str">
        <f>IF(ISBLANK('Mobile Equip'!B$30),"new_ID",start)</f>
        <v>new_ID</v>
      </c>
      <c r="G197" s="113" t="s">
        <v>94</v>
      </c>
    </row>
    <row r="198" spans="1:7" x14ac:dyDescent="0.2">
      <c r="A198" s="19">
        <f t="shared" ref="A198:A261" si="5">start</f>
        <v>0</v>
      </c>
      <c r="B198" s="19">
        <v>2019</v>
      </c>
      <c r="C198" s="112">
        <f>'Mobile Equip'!B$9</f>
        <v>7904</v>
      </c>
      <c r="D198" s="112" t="str">
        <f>IF(ISBLANK('Mobile Equip'!C$9),"",'Mobile Equip'!C$9)</f>
        <v/>
      </c>
      <c r="E198" s="19">
        <v>20</v>
      </c>
      <c r="F198" s="19" t="str">
        <f>IF(ISBLANK('Mobile Equip'!B$30),"new_ID",start)</f>
        <v>new_ID</v>
      </c>
      <c r="G198" s="113" t="s">
        <v>94</v>
      </c>
    </row>
    <row r="199" spans="1:7" x14ac:dyDescent="0.2">
      <c r="A199" s="19">
        <f t="shared" si="5"/>
        <v>0</v>
      </c>
      <c r="B199" s="19">
        <v>2019</v>
      </c>
      <c r="C199" s="112">
        <f>'Mobile Equip'!B$10</f>
        <v>7905</v>
      </c>
      <c r="D199" s="112" t="str">
        <f>IF(ISBLANK('Mobile Equip'!C$10),"",'Mobile Equip'!C$10)</f>
        <v/>
      </c>
      <c r="E199" s="19">
        <v>20</v>
      </c>
      <c r="F199" s="19" t="str">
        <f>IF(ISBLANK('Mobile Equip'!B$30),"new_ID",start)</f>
        <v>new_ID</v>
      </c>
      <c r="G199" s="113" t="s">
        <v>94</v>
      </c>
    </row>
    <row r="200" spans="1:7" x14ac:dyDescent="0.2">
      <c r="A200" s="19">
        <f t="shared" si="5"/>
        <v>0</v>
      </c>
      <c r="B200" s="19">
        <v>2019</v>
      </c>
      <c r="C200" s="112">
        <f>'Mobile Equip'!B$11</f>
        <v>7906</v>
      </c>
      <c r="D200" s="112" t="str">
        <f>IF(ISBLANK('Mobile Equip'!C$11),"",'Mobile Equip'!C$11)</f>
        <v/>
      </c>
      <c r="E200" s="19">
        <v>20</v>
      </c>
      <c r="F200" s="19" t="str">
        <f>IF(ISBLANK('Mobile Equip'!B$30),"new_ID",start)</f>
        <v>new_ID</v>
      </c>
      <c r="G200" s="113" t="s">
        <v>94</v>
      </c>
    </row>
    <row r="201" spans="1:7" x14ac:dyDescent="0.2">
      <c r="A201" s="19">
        <f t="shared" si="5"/>
        <v>0</v>
      </c>
      <c r="B201" s="19">
        <v>2019</v>
      </c>
      <c r="C201" s="112">
        <f>'Mobile Equip'!B$12</f>
        <v>7907</v>
      </c>
      <c r="D201" s="112" t="str">
        <f>IF(ISBLANK('Mobile Equip'!C$12),"",'Mobile Equip'!C$12)</f>
        <v/>
      </c>
      <c r="E201" s="19">
        <v>20</v>
      </c>
      <c r="F201" s="19" t="str">
        <f>IF(ISBLANK('Mobile Equip'!B$30),"new_ID",start)</f>
        <v>new_ID</v>
      </c>
      <c r="G201" s="113" t="s">
        <v>94</v>
      </c>
    </row>
    <row r="202" spans="1:7" x14ac:dyDescent="0.2">
      <c r="A202" s="19">
        <f t="shared" si="5"/>
        <v>0</v>
      </c>
      <c r="B202" s="19">
        <v>2019</v>
      </c>
      <c r="C202" s="112">
        <f>'Mobile Equip'!B$13</f>
        <v>7908</v>
      </c>
      <c r="D202" s="112" t="str">
        <f>IF(ISBLANK('Mobile Equip'!C$13),"",'Mobile Equip'!C$13)</f>
        <v/>
      </c>
      <c r="E202" s="19">
        <v>20</v>
      </c>
      <c r="F202" s="19" t="str">
        <f>IF(ISBLANK('Mobile Equip'!B$30),"new_ID",start)</f>
        <v>new_ID</v>
      </c>
      <c r="G202" s="113" t="s">
        <v>94</v>
      </c>
    </row>
    <row r="203" spans="1:7" x14ac:dyDescent="0.2">
      <c r="A203" s="19">
        <f t="shared" si="5"/>
        <v>0</v>
      </c>
      <c r="B203" s="19">
        <v>2019</v>
      </c>
      <c r="C203" s="112">
        <f>'Mobile Equip'!B$14</f>
        <v>7909</v>
      </c>
      <c r="D203" s="112" t="str">
        <f>IF(ISBLANK('Mobile Equip'!C$14),"",'Mobile Equip'!C$14)</f>
        <v/>
      </c>
      <c r="E203" s="19">
        <v>20</v>
      </c>
      <c r="F203" s="19" t="str">
        <f>IF(ISBLANK('Mobile Equip'!B$30),"new_ID",start)</f>
        <v>new_ID</v>
      </c>
      <c r="G203" s="113" t="s">
        <v>94</v>
      </c>
    </row>
    <row r="204" spans="1:7" x14ac:dyDescent="0.2">
      <c r="A204" s="19">
        <f t="shared" si="5"/>
        <v>0</v>
      </c>
      <c r="B204" s="19">
        <v>2019</v>
      </c>
      <c r="C204" s="112">
        <f>'Mobile Equip'!B$15</f>
        <v>7910</v>
      </c>
      <c r="D204" s="591" t="str">
        <f>IF(OR('Mobile Equip'!C$15=0,ISBLANK('Mobile Equip'!C$15)),"",'Mobile Equip'!C$15)</f>
        <v/>
      </c>
      <c r="E204" s="19">
        <v>20</v>
      </c>
      <c r="F204" s="19" t="str">
        <f>IF(ISBLANK('Mobile Equip'!B$30),"new_ID",start)</f>
        <v>new_ID</v>
      </c>
      <c r="G204" s="113" t="s">
        <v>94</v>
      </c>
    </row>
    <row r="205" spans="1:7" x14ac:dyDescent="0.2">
      <c r="A205" s="19">
        <f t="shared" si="5"/>
        <v>0</v>
      </c>
      <c r="B205" s="19">
        <v>2019</v>
      </c>
      <c r="C205" s="112">
        <f>'Mobile Equip'!B$16</f>
        <v>7911</v>
      </c>
      <c r="D205" s="112" t="str">
        <f>IF(ISBLANK('Mobile Equip'!C$16),"",'Mobile Equip'!C$16)</f>
        <v/>
      </c>
      <c r="E205" s="19">
        <v>20</v>
      </c>
      <c r="F205" s="19" t="str">
        <f>IF(ISBLANK('Mobile Equip'!B$30),"new_ID",start)</f>
        <v>new_ID</v>
      </c>
      <c r="G205" s="113" t="s">
        <v>94</v>
      </c>
    </row>
    <row r="206" spans="1:7" hidden="1" x14ac:dyDescent="0.2">
      <c r="C206" s="112"/>
      <c r="D206" s="112"/>
      <c r="G206" s="113" t="s">
        <v>94</v>
      </c>
    </row>
    <row r="207" spans="1:7" x14ac:dyDescent="0.2">
      <c r="A207" s="19">
        <f t="shared" si="5"/>
        <v>0</v>
      </c>
      <c r="B207" s="19">
        <v>2019</v>
      </c>
      <c r="C207" s="112">
        <f>'Mobile Equip'!B$18</f>
        <v>7913</v>
      </c>
      <c r="D207" s="112" t="str">
        <f>IF(ISBLANK('Mobile Equip'!C$18),"",'Mobile Equip'!C$18)</f>
        <v/>
      </c>
      <c r="E207" s="19">
        <v>20</v>
      </c>
      <c r="F207" s="19" t="str">
        <f>IF(ISBLANK('Mobile Equip'!B$30),"new_ID",start)</f>
        <v>new_ID</v>
      </c>
      <c r="G207" s="113" t="s">
        <v>94</v>
      </c>
    </row>
    <row r="208" spans="1:7" x14ac:dyDescent="0.2">
      <c r="A208" s="19">
        <f t="shared" si="5"/>
        <v>0</v>
      </c>
      <c r="B208" s="19">
        <v>2019</v>
      </c>
      <c r="C208" s="112">
        <f>'Mobile Equip'!B$19</f>
        <v>7914</v>
      </c>
      <c r="D208" s="591" t="str">
        <f>IF(OR('Mobile Equip'!C$19=0,ISBLANK('Mobile Equip'!C$19)),"",'Mobile Equip'!C$19)</f>
        <v/>
      </c>
      <c r="E208" s="19">
        <v>20</v>
      </c>
      <c r="F208" s="19" t="str">
        <f>IF(ISBLANK('Mobile Equip'!B$30),"new_ID",start)</f>
        <v>new_ID</v>
      </c>
      <c r="G208" s="113" t="s">
        <v>94</v>
      </c>
    </row>
    <row r="209" spans="1:7" x14ac:dyDescent="0.2">
      <c r="A209" s="19">
        <f t="shared" si="5"/>
        <v>0</v>
      </c>
      <c r="B209" s="19">
        <v>2019</v>
      </c>
      <c r="C209" s="112">
        <f>'Mobile Equip'!E$5</f>
        <v>7915</v>
      </c>
      <c r="D209" s="112" t="str">
        <f>IF(ISBLANK('Mobile Equip'!F$5),"",'Mobile Equip'!F$5)</f>
        <v/>
      </c>
      <c r="E209" s="19">
        <v>20</v>
      </c>
      <c r="F209" s="19" t="str">
        <f>IF(ISBLANK('Mobile Equip'!E$30),"new_ID",start)</f>
        <v>new_ID</v>
      </c>
      <c r="G209" s="120" t="s">
        <v>94</v>
      </c>
    </row>
    <row r="210" spans="1:7" x14ac:dyDescent="0.2">
      <c r="A210" s="19">
        <f t="shared" si="5"/>
        <v>0</v>
      </c>
      <c r="B210" s="19">
        <v>2019</v>
      </c>
      <c r="C210" s="112">
        <f>'Mobile Equip'!E$6</f>
        <v>7916</v>
      </c>
      <c r="D210" s="112" t="str">
        <f>IF(ISBLANK('Mobile Equip'!F$6),"",'Mobile Equip'!F$6)</f>
        <v/>
      </c>
      <c r="E210" s="19">
        <v>20</v>
      </c>
      <c r="F210" s="19" t="str">
        <f>IF(ISBLANK('Mobile Equip'!E$30),"new_ID",start)</f>
        <v>new_ID</v>
      </c>
      <c r="G210" s="113" t="s">
        <v>94</v>
      </c>
    </row>
    <row r="211" spans="1:7" x14ac:dyDescent="0.2">
      <c r="A211" s="19">
        <f t="shared" si="5"/>
        <v>0</v>
      </c>
      <c r="B211" s="19">
        <v>2019</v>
      </c>
      <c r="C211" s="112">
        <f>'Mobile Equip'!E$7</f>
        <v>7917</v>
      </c>
      <c r="D211" s="112" t="str">
        <f>IF(ISBLANK('Mobile Equip'!F$7),"",'Mobile Equip'!F$7)</f>
        <v/>
      </c>
      <c r="E211" s="19">
        <v>20</v>
      </c>
      <c r="F211" s="19" t="str">
        <f>IF(ISBLANK('Mobile Equip'!E$30),"new_ID",start)</f>
        <v>new_ID</v>
      </c>
      <c r="G211" s="113" t="s">
        <v>94</v>
      </c>
    </row>
    <row r="212" spans="1:7" x14ac:dyDescent="0.2">
      <c r="A212" s="19">
        <f t="shared" si="5"/>
        <v>0</v>
      </c>
      <c r="B212" s="19">
        <v>2019</v>
      </c>
      <c r="C212" s="112">
        <f>'Mobile Equip'!E$8</f>
        <v>7918</v>
      </c>
      <c r="D212" s="112" t="str">
        <f>IF(ISBLANK('Mobile Equip'!F$8),"",'Mobile Equip'!F$8)</f>
        <v/>
      </c>
      <c r="E212" s="19">
        <v>20</v>
      </c>
      <c r="F212" s="19" t="str">
        <f>IF(ISBLANK('Mobile Equip'!E$30),"new_ID",start)</f>
        <v>new_ID</v>
      </c>
      <c r="G212" s="113" t="s">
        <v>94</v>
      </c>
    </row>
    <row r="213" spans="1:7" x14ac:dyDescent="0.2">
      <c r="A213" s="19">
        <f t="shared" si="5"/>
        <v>0</v>
      </c>
      <c r="B213" s="19">
        <v>2019</v>
      </c>
      <c r="C213" s="112">
        <f>'Mobile Equip'!E$9</f>
        <v>7919</v>
      </c>
      <c r="D213" s="112" t="str">
        <f>IF(ISBLANK('Mobile Equip'!F$9),"",'Mobile Equip'!F$9)</f>
        <v/>
      </c>
      <c r="E213" s="19">
        <v>20</v>
      </c>
      <c r="F213" s="19" t="str">
        <f>IF(ISBLANK('Mobile Equip'!E$30),"new_ID",start)</f>
        <v>new_ID</v>
      </c>
      <c r="G213" s="113" t="s">
        <v>94</v>
      </c>
    </row>
    <row r="214" spans="1:7" x14ac:dyDescent="0.2">
      <c r="A214" s="19">
        <f t="shared" si="5"/>
        <v>0</v>
      </c>
      <c r="B214" s="19">
        <v>2019</v>
      </c>
      <c r="C214" s="112">
        <f>'Mobile Equip'!E$10</f>
        <v>7920</v>
      </c>
      <c r="D214" s="112" t="str">
        <f>IF(ISBLANK('Mobile Equip'!F$10),"",'Mobile Equip'!F$10)</f>
        <v/>
      </c>
      <c r="E214" s="19">
        <v>20</v>
      </c>
      <c r="F214" s="19" t="str">
        <f>IF(ISBLANK('Mobile Equip'!E$30),"new_ID",start)</f>
        <v>new_ID</v>
      </c>
      <c r="G214" s="113" t="s">
        <v>94</v>
      </c>
    </row>
    <row r="215" spans="1:7" x14ac:dyDescent="0.2">
      <c r="A215" s="19">
        <f t="shared" si="5"/>
        <v>0</v>
      </c>
      <c r="B215" s="19">
        <v>2019</v>
      </c>
      <c r="C215" s="112">
        <f>'Mobile Equip'!E$11</f>
        <v>7921</v>
      </c>
      <c r="D215" s="112" t="str">
        <f>IF(ISBLANK('Mobile Equip'!F$11),"",'Mobile Equip'!F$11)</f>
        <v/>
      </c>
      <c r="E215" s="19">
        <v>20</v>
      </c>
      <c r="F215" s="19" t="str">
        <f>IF(ISBLANK('Mobile Equip'!E$30),"new_ID",start)</f>
        <v>new_ID</v>
      </c>
      <c r="G215" s="113" t="s">
        <v>94</v>
      </c>
    </row>
    <row r="216" spans="1:7" x14ac:dyDescent="0.2">
      <c r="A216" s="19">
        <f t="shared" si="5"/>
        <v>0</v>
      </c>
      <c r="B216" s="19">
        <v>2019</v>
      </c>
      <c r="C216" s="112">
        <f>'Mobile Equip'!E$12</f>
        <v>7922</v>
      </c>
      <c r="D216" s="112" t="str">
        <f>IF(ISBLANK('Mobile Equip'!F$12),"",'Mobile Equip'!F$12)</f>
        <v/>
      </c>
      <c r="E216" s="19">
        <v>20</v>
      </c>
      <c r="F216" s="19" t="str">
        <f>IF(ISBLANK('Mobile Equip'!E$30),"new_ID",start)</f>
        <v>new_ID</v>
      </c>
      <c r="G216" s="113" t="s">
        <v>94</v>
      </c>
    </row>
    <row r="217" spans="1:7" x14ac:dyDescent="0.2">
      <c r="A217" s="19">
        <f t="shared" si="5"/>
        <v>0</v>
      </c>
      <c r="B217" s="19">
        <v>2019</v>
      </c>
      <c r="C217" s="112">
        <f>'Mobile Equip'!E$13</f>
        <v>7923</v>
      </c>
      <c r="D217" s="112" t="str">
        <f>IF(ISBLANK('Mobile Equip'!F$13),"",'Mobile Equip'!F$13)</f>
        <v/>
      </c>
      <c r="E217" s="19">
        <v>20</v>
      </c>
      <c r="F217" s="19" t="str">
        <f>IF(ISBLANK('Mobile Equip'!E$30),"new_ID",start)</f>
        <v>new_ID</v>
      </c>
      <c r="G217" s="113" t="s">
        <v>94</v>
      </c>
    </row>
    <row r="218" spans="1:7" x14ac:dyDescent="0.2">
      <c r="A218" s="19">
        <f t="shared" si="5"/>
        <v>0</v>
      </c>
      <c r="B218" s="19">
        <v>2019</v>
      </c>
      <c r="C218" s="112">
        <f>'Mobile Equip'!E$14</f>
        <v>7924</v>
      </c>
      <c r="D218" s="112" t="str">
        <f>IF(ISBLANK('Mobile Equip'!F$14),"",'Mobile Equip'!F$14)</f>
        <v/>
      </c>
      <c r="E218" s="19">
        <v>20</v>
      </c>
      <c r="F218" s="19" t="str">
        <f>IF(ISBLANK('Mobile Equip'!E$30),"new_ID",start)</f>
        <v>new_ID</v>
      </c>
      <c r="G218" s="113" t="s">
        <v>94</v>
      </c>
    </row>
    <row r="219" spans="1:7" x14ac:dyDescent="0.2">
      <c r="A219" s="19">
        <f t="shared" si="5"/>
        <v>0</v>
      </c>
      <c r="B219" s="19">
        <v>2019</v>
      </c>
      <c r="C219" s="112">
        <f>'Mobile Equip'!E$15</f>
        <v>7925</v>
      </c>
      <c r="D219" s="591" t="str">
        <f>IF(OR('Mobile Equip'!F$15=0,ISBLANK('Mobile Equip'!F$15)),"",'Mobile Equip'!F$15)</f>
        <v/>
      </c>
      <c r="E219" s="19">
        <v>20</v>
      </c>
      <c r="F219" s="19" t="str">
        <f>IF(ISBLANK('Mobile Equip'!E$30),"new_ID",start)</f>
        <v>new_ID</v>
      </c>
      <c r="G219" s="113" t="s">
        <v>94</v>
      </c>
    </row>
    <row r="220" spans="1:7" x14ac:dyDescent="0.2">
      <c r="A220" s="19">
        <f t="shared" si="5"/>
        <v>0</v>
      </c>
      <c r="B220" s="19">
        <v>2019</v>
      </c>
      <c r="C220" s="112">
        <f>'Mobile Equip'!E$16</f>
        <v>7926</v>
      </c>
      <c r="D220" s="112" t="str">
        <f>IF(ISBLANK('Mobile Equip'!F$16),"",'Mobile Equip'!F$16)</f>
        <v/>
      </c>
      <c r="E220" s="19">
        <v>20</v>
      </c>
      <c r="F220" s="19" t="str">
        <f>IF(ISBLANK('Mobile Equip'!E$30),"new_ID",start)</f>
        <v>new_ID</v>
      </c>
      <c r="G220" s="113" t="s">
        <v>94</v>
      </c>
    </row>
    <row r="221" spans="1:7" hidden="1" x14ac:dyDescent="0.2">
      <c r="C221" s="112"/>
      <c r="D221" s="112"/>
      <c r="G221" s="113" t="s">
        <v>94</v>
      </c>
    </row>
    <row r="222" spans="1:7" x14ac:dyDescent="0.2">
      <c r="A222" s="19">
        <f t="shared" si="5"/>
        <v>0</v>
      </c>
      <c r="B222" s="19">
        <v>2019</v>
      </c>
      <c r="C222" s="112">
        <f>'Mobile Equip'!E$18</f>
        <v>7928</v>
      </c>
      <c r="D222" s="112" t="str">
        <f>IF(ISBLANK('Mobile Equip'!F$18),"",'Mobile Equip'!F$18)</f>
        <v/>
      </c>
      <c r="E222" s="19">
        <v>20</v>
      </c>
      <c r="F222" s="19" t="str">
        <f>IF(ISBLANK('Mobile Equip'!E$30),"new_ID",start)</f>
        <v>new_ID</v>
      </c>
      <c r="G222" s="113" t="s">
        <v>94</v>
      </c>
    </row>
    <row r="223" spans="1:7" x14ac:dyDescent="0.2">
      <c r="A223" s="19">
        <f t="shared" si="5"/>
        <v>0</v>
      </c>
      <c r="B223" s="19">
        <v>2019</v>
      </c>
      <c r="C223" s="112">
        <f>'Mobile Equip'!E$19</f>
        <v>7929</v>
      </c>
      <c r="D223" s="591" t="str">
        <f>IF(OR('Mobile Equip'!F$19=0,ISBLANK('Mobile Equip'!F$19)),"",'Mobile Equip'!F$19)</f>
        <v/>
      </c>
      <c r="E223" s="19">
        <v>20</v>
      </c>
      <c r="F223" s="19" t="str">
        <f>IF(ISBLANK('Mobile Equip'!E$30),"new_ID",start)</f>
        <v>new_ID</v>
      </c>
      <c r="G223" s="113" t="s">
        <v>94</v>
      </c>
    </row>
    <row r="224" spans="1:7" x14ac:dyDescent="0.2">
      <c r="A224" s="19">
        <f t="shared" si="5"/>
        <v>0</v>
      </c>
      <c r="B224" s="19">
        <v>2019</v>
      </c>
      <c r="C224" s="112">
        <f>'Mobile Equip'!H$5</f>
        <v>7930</v>
      </c>
      <c r="D224" s="112" t="str">
        <f>IF(ISBLANK('Mobile Equip'!I$5),"",'Mobile Equip'!I$5)</f>
        <v/>
      </c>
      <c r="E224" s="19">
        <v>20</v>
      </c>
      <c r="F224" s="19" t="str">
        <f>IF(ISBLANK('Mobile Equip'!H$30),"new_ID",start)</f>
        <v>new_ID</v>
      </c>
      <c r="G224" s="120" t="s">
        <v>94</v>
      </c>
    </row>
    <row r="225" spans="1:7" x14ac:dyDescent="0.2">
      <c r="A225" s="19">
        <f t="shared" si="5"/>
        <v>0</v>
      </c>
      <c r="B225" s="19">
        <v>2019</v>
      </c>
      <c r="C225" s="112">
        <f>'Mobile Equip'!H$6</f>
        <v>7931</v>
      </c>
      <c r="D225" s="112" t="str">
        <f>IF(ISBLANK('Mobile Equip'!I$6),"",'Mobile Equip'!I$6)</f>
        <v/>
      </c>
      <c r="E225" s="19">
        <v>20</v>
      </c>
      <c r="F225" s="19" t="str">
        <f>IF(ISBLANK('Mobile Equip'!H$30),"new_ID",start)</f>
        <v>new_ID</v>
      </c>
      <c r="G225" s="113" t="s">
        <v>94</v>
      </c>
    </row>
    <row r="226" spans="1:7" x14ac:dyDescent="0.2">
      <c r="A226" s="19">
        <f t="shared" si="5"/>
        <v>0</v>
      </c>
      <c r="B226" s="19">
        <v>2019</v>
      </c>
      <c r="C226" s="112">
        <f>'Mobile Equip'!H$7</f>
        <v>7932</v>
      </c>
      <c r="D226" s="112" t="str">
        <f>IF(ISBLANK('Mobile Equip'!I$7),"",'Mobile Equip'!I$7)</f>
        <v/>
      </c>
      <c r="E226" s="19">
        <v>20</v>
      </c>
      <c r="F226" s="19" t="str">
        <f>IF(ISBLANK('Mobile Equip'!H$30),"new_ID",start)</f>
        <v>new_ID</v>
      </c>
      <c r="G226" s="113" t="s">
        <v>94</v>
      </c>
    </row>
    <row r="227" spans="1:7" x14ac:dyDescent="0.2">
      <c r="A227" s="19">
        <f t="shared" si="5"/>
        <v>0</v>
      </c>
      <c r="B227" s="19">
        <v>2019</v>
      </c>
      <c r="C227" s="112">
        <f>'Mobile Equip'!H$8</f>
        <v>7933</v>
      </c>
      <c r="D227" s="112" t="str">
        <f>IF(ISBLANK('Mobile Equip'!I$8),"",'Mobile Equip'!I$8)</f>
        <v/>
      </c>
      <c r="E227" s="19">
        <v>20</v>
      </c>
      <c r="F227" s="19" t="str">
        <f>IF(ISBLANK('Mobile Equip'!H$30),"new_ID",start)</f>
        <v>new_ID</v>
      </c>
      <c r="G227" s="113" t="s">
        <v>94</v>
      </c>
    </row>
    <row r="228" spans="1:7" x14ac:dyDescent="0.2">
      <c r="A228" s="19">
        <f t="shared" si="5"/>
        <v>0</v>
      </c>
      <c r="B228" s="19">
        <v>2019</v>
      </c>
      <c r="C228" s="112">
        <f>'Mobile Equip'!H$9</f>
        <v>7934</v>
      </c>
      <c r="D228" s="112" t="str">
        <f>IF(ISBLANK('Mobile Equip'!I$9),"",'Mobile Equip'!I$9)</f>
        <v/>
      </c>
      <c r="E228" s="19">
        <v>20</v>
      </c>
      <c r="F228" s="19" t="str">
        <f>IF(ISBLANK('Mobile Equip'!H$30),"new_ID",start)</f>
        <v>new_ID</v>
      </c>
      <c r="G228" s="113" t="s">
        <v>94</v>
      </c>
    </row>
    <row r="229" spans="1:7" x14ac:dyDescent="0.2">
      <c r="A229" s="19">
        <f t="shared" si="5"/>
        <v>0</v>
      </c>
      <c r="B229" s="19">
        <v>2019</v>
      </c>
      <c r="C229" s="112">
        <f>'Mobile Equip'!H$10</f>
        <v>7935</v>
      </c>
      <c r="D229" s="112" t="str">
        <f>IF(ISBLANK('Mobile Equip'!I$10),"",'Mobile Equip'!I$10)</f>
        <v/>
      </c>
      <c r="E229" s="19">
        <v>20</v>
      </c>
      <c r="F229" s="19" t="str">
        <f>IF(ISBLANK('Mobile Equip'!H$30),"new_ID",start)</f>
        <v>new_ID</v>
      </c>
      <c r="G229" s="113" t="s">
        <v>94</v>
      </c>
    </row>
    <row r="230" spans="1:7" x14ac:dyDescent="0.2">
      <c r="A230" s="19">
        <f t="shared" si="5"/>
        <v>0</v>
      </c>
      <c r="B230" s="19">
        <v>2019</v>
      </c>
      <c r="C230" s="112">
        <f>'Mobile Equip'!H$11</f>
        <v>7936</v>
      </c>
      <c r="D230" s="112" t="str">
        <f>IF(ISBLANK('Mobile Equip'!I$11),"",'Mobile Equip'!I$11)</f>
        <v/>
      </c>
      <c r="E230" s="19">
        <v>20</v>
      </c>
      <c r="F230" s="19" t="str">
        <f>IF(ISBLANK('Mobile Equip'!H$30),"new_ID",start)</f>
        <v>new_ID</v>
      </c>
      <c r="G230" s="113" t="s">
        <v>94</v>
      </c>
    </row>
    <row r="231" spans="1:7" x14ac:dyDescent="0.2">
      <c r="A231" s="19">
        <f t="shared" si="5"/>
        <v>0</v>
      </c>
      <c r="B231" s="19">
        <v>2019</v>
      </c>
      <c r="C231" s="112">
        <f>'Mobile Equip'!H$12</f>
        <v>7937</v>
      </c>
      <c r="D231" s="112" t="str">
        <f>IF(ISBLANK('Mobile Equip'!I$12),"",'Mobile Equip'!I$12)</f>
        <v/>
      </c>
      <c r="E231" s="19">
        <v>20</v>
      </c>
      <c r="F231" s="19" t="str">
        <f>IF(ISBLANK('Mobile Equip'!H$30),"new_ID",start)</f>
        <v>new_ID</v>
      </c>
      <c r="G231" s="113" t="s">
        <v>94</v>
      </c>
    </row>
    <row r="232" spans="1:7" x14ac:dyDescent="0.2">
      <c r="A232" s="19">
        <f t="shared" si="5"/>
        <v>0</v>
      </c>
      <c r="B232" s="19">
        <v>2019</v>
      </c>
      <c r="C232" s="112">
        <f>'Mobile Equip'!H$13</f>
        <v>7938</v>
      </c>
      <c r="D232" s="112" t="str">
        <f>IF(ISBLANK('Mobile Equip'!I$13),"",'Mobile Equip'!I$13)</f>
        <v/>
      </c>
      <c r="E232" s="19">
        <v>20</v>
      </c>
      <c r="F232" s="19" t="str">
        <f>IF(ISBLANK('Mobile Equip'!H$30),"new_ID",start)</f>
        <v>new_ID</v>
      </c>
      <c r="G232" s="113" t="s">
        <v>94</v>
      </c>
    </row>
    <row r="233" spans="1:7" x14ac:dyDescent="0.2">
      <c r="A233" s="19">
        <f t="shared" si="5"/>
        <v>0</v>
      </c>
      <c r="B233" s="19">
        <v>2019</v>
      </c>
      <c r="C233" s="112">
        <f>'Mobile Equip'!H$14</f>
        <v>7939</v>
      </c>
      <c r="D233" s="112" t="str">
        <f>IF(ISBLANK('Mobile Equip'!I$14),"",'Mobile Equip'!I$14)</f>
        <v/>
      </c>
      <c r="E233" s="19">
        <v>20</v>
      </c>
      <c r="F233" s="19" t="str">
        <f>IF(ISBLANK('Mobile Equip'!H$30),"new_ID",start)</f>
        <v>new_ID</v>
      </c>
      <c r="G233" s="113" t="s">
        <v>94</v>
      </c>
    </row>
    <row r="234" spans="1:7" x14ac:dyDescent="0.2">
      <c r="A234" s="19">
        <f t="shared" si="5"/>
        <v>0</v>
      </c>
      <c r="B234" s="19">
        <v>2019</v>
      </c>
      <c r="C234" s="112">
        <f>'Mobile Equip'!H$15</f>
        <v>7940</v>
      </c>
      <c r="D234" s="591" t="str">
        <f>IF(OR('Mobile Equip'!I$15=0,ISBLANK('Mobile Equip'!I$15)),"",'Mobile Equip'!I$15)</f>
        <v/>
      </c>
      <c r="E234" s="19">
        <v>20</v>
      </c>
      <c r="F234" s="19" t="str">
        <f>IF(ISBLANK('Mobile Equip'!H$30),"new_ID",start)</f>
        <v>new_ID</v>
      </c>
      <c r="G234" s="113" t="s">
        <v>94</v>
      </c>
    </row>
    <row r="235" spans="1:7" x14ac:dyDescent="0.2">
      <c r="A235" s="19">
        <f t="shared" si="5"/>
        <v>0</v>
      </c>
      <c r="B235" s="19">
        <v>2019</v>
      </c>
      <c r="C235" s="112">
        <f>'Mobile Equip'!H$16</f>
        <v>7941</v>
      </c>
      <c r="D235" s="112" t="str">
        <f>IF(ISBLANK('Mobile Equip'!I$16),"",'Mobile Equip'!I$16)</f>
        <v/>
      </c>
      <c r="E235" s="19">
        <v>20</v>
      </c>
      <c r="F235" s="19" t="str">
        <f>IF(ISBLANK('Mobile Equip'!H$30),"new_ID",start)</f>
        <v>new_ID</v>
      </c>
      <c r="G235" s="113" t="s">
        <v>94</v>
      </c>
    </row>
    <row r="236" spans="1:7" hidden="1" x14ac:dyDescent="0.2">
      <c r="C236" s="112"/>
      <c r="D236" s="112"/>
      <c r="G236" s="113" t="s">
        <v>94</v>
      </c>
    </row>
    <row r="237" spans="1:7" x14ac:dyDescent="0.2">
      <c r="A237" s="19">
        <f t="shared" si="5"/>
        <v>0</v>
      </c>
      <c r="B237" s="19">
        <v>2019</v>
      </c>
      <c r="C237" s="112">
        <f>'Mobile Equip'!H$18</f>
        <v>7943</v>
      </c>
      <c r="D237" s="112" t="str">
        <f>IF(ISBLANK('Mobile Equip'!I$18),"",'Mobile Equip'!I$18)</f>
        <v/>
      </c>
      <c r="E237" s="19">
        <v>20</v>
      </c>
      <c r="F237" s="19" t="str">
        <f>IF(ISBLANK('Mobile Equip'!H$30),"new_ID",start)</f>
        <v>new_ID</v>
      </c>
      <c r="G237" s="113" t="s">
        <v>94</v>
      </c>
    </row>
    <row r="238" spans="1:7" x14ac:dyDescent="0.2">
      <c r="A238" s="19">
        <f t="shared" si="5"/>
        <v>0</v>
      </c>
      <c r="B238" s="19">
        <v>2019</v>
      </c>
      <c r="C238" s="112">
        <f>'Mobile Equip'!H$19</f>
        <v>7944</v>
      </c>
      <c r="D238" s="591" t="str">
        <f>IF(OR('Mobile Equip'!I$19=0,ISBLANK('Mobile Equip'!I$19)),"",'Mobile Equip'!I$19)</f>
        <v/>
      </c>
      <c r="E238" s="19">
        <v>20</v>
      </c>
      <c r="F238" s="19" t="str">
        <f>IF(ISBLANK('Mobile Equip'!H$30),"new_ID",start)</f>
        <v>new_ID</v>
      </c>
      <c r="G238" s="113" t="s">
        <v>94</v>
      </c>
    </row>
    <row r="239" spans="1:7" x14ac:dyDescent="0.2">
      <c r="A239" s="19">
        <f t="shared" si="5"/>
        <v>0</v>
      </c>
      <c r="B239" s="19">
        <v>2019</v>
      </c>
      <c r="C239" s="112">
        <f>'Mobile Equip'!K$5</f>
        <v>7945</v>
      </c>
      <c r="D239" s="112" t="str">
        <f>IF(ISBLANK('Mobile Equip'!L$5),"",'Mobile Equip'!L$5)</f>
        <v/>
      </c>
      <c r="E239" s="19">
        <v>20</v>
      </c>
      <c r="F239" s="19" t="str">
        <f>IF(ISBLANK('Mobile Equip'!K$30),"new_ID",start)</f>
        <v>new_ID</v>
      </c>
      <c r="G239" s="120" t="s">
        <v>94</v>
      </c>
    </row>
    <row r="240" spans="1:7" x14ac:dyDescent="0.2">
      <c r="A240" s="19">
        <f t="shared" si="5"/>
        <v>0</v>
      </c>
      <c r="B240" s="19">
        <v>2019</v>
      </c>
      <c r="C240" s="112">
        <f>'Mobile Equip'!K$6</f>
        <v>7946</v>
      </c>
      <c r="D240" s="112" t="str">
        <f>IF(ISBLANK('Mobile Equip'!L$6),"",'Mobile Equip'!L$6)</f>
        <v/>
      </c>
      <c r="E240" s="19">
        <v>20</v>
      </c>
      <c r="F240" s="19" t="str">
        <f>IF(ISBLANK('Mobile Equip'!K$30),"new_ID",start)</f>
        <v>new_ID</v>
      </c>
      <c r="G240" s="113" t="s">
        <v>94</v>
      </c>
    </row>
    <row r="241" spans="1:7" x14ac:dyDescent="0.2">
      <c r="A241" s="19">
        <f t="shared" si="5"/>
        <v>0</v>
      </c>
      <c r="B241" s="19">
        <v>2019</v>
      </c>
      <c r="C241" s="112">
        <f>'Mobile Equip'!K$7</f>
        <v>7947</v>
      </c>
      <c r="D241" s="112" t="str">
        <f>IF(ISBLANK('Mobile Equip'!L$7),"",'Mobile Equip'!L$7)</f>
        <v/>
      </c>
      <c r="E241" s="19">
        <v>20</v>
      </c>
      <c r="F241" s="19" t="str">
        <f>IF(ISBLANK('Mobile Equip'!K$30),"new_ID",start)</f>
        <v>new_ID</v>
      </c>
      <c r="G241" s="113" t="s">
        <v>94</v>
      </c>
    </row>
    <row r="242" spans="1:7" x14ac:dyDescent="0.2">
      <c r="A242" s="19">
        <f t="shared" si="5"/>
        <v>0</v>
      </c>
      <c r="B242" s="19">
        <v>2019</v>
      </c>
      <c r="C242" s="112">
        <f>'Mobile Equip'!K$8</f>
        <v>7948</v>
      </c>
      <c r="D242" s="112" t="str">
        <f>IF(ISBLANK('Mobile Equip'!L$8),"",'Mobile Equip'!L$8)</f>
        <v/>
      </c>
      <c r="E242" s="19">
        <v>20</v>
      </c>
      <c r="F242" s="19" t="str">
        <f>IF(ISBLANK('Mobile Equip'!K$30),"new_ID",start)</f>
        <v>new_ID</v>
      </c>
      <c r="G242" s="113" t="s">
        <v>94</v>
      </c>
    </row>
    <row r="243" spans="1:7" x14ac:dyDescent="0.2">
      <c r="A243" s="19">
        <f t="shared" si="5"/>
        <v>0</v>
      </c>
      <c r="B243" s="19">
        <v>2019</v>
      </c>
      <c r="C243" s="112">
        <f>'Mobile Equip'!K$9</f>
        <v>7949</v>
      </c>
      <c r="D243" s="112" t="str">
        <f>IF(ISBLANK('Mobile Equip'!L$9),"",'Mobile Equip'!L$9)</f>
        <v/>
      </c>
      <c r="E243" s="19">
        <v>20</v>
      </c>
      <c r="F243" s="19" t="str">
        <f>IF(ISBLANK('Mobile Equip'!K$30),"new_ID",start)</f>
        <v>new_ID</v>
      </c>
      <c r="G243" s="113" t="s">
        <v>94</v>
      </c>
    </row>
    <row r="244" spans="1:7" x14ac:dyDescent="0.2">
      <c r="A244" s="19">
        <f t="shared" si="5"/>
        <v>0</v>
      </c>
      <c r="B244" s="19">
        <v>2019</v>
      </c>
      <c r="C244" s="112">
        <f>'Mobile Equip'!K$10</f>
        <v>7950</v>
      </c>
      <c r="D244" s="112" t="str">
        <f>IF(ISBLANK('Mobile Equip'!L$10),"",'Mobile Equip'!L$10)</f>
        <v/>
      </c>
      <c r="E244" s="19">
        <v>20</v>
      </c>
      <c r="F244" s="19" t="str">
        <f>IF(ISBLANK('Mobile Equip'!K$30),"new_ID",start)</f>
        <v>new_ID</v>
      </c>
      <c r="G244" s="113" t="s">
        <v>94</v>
      </c>
    </row>
    <row r="245" spans="1:7" x14ac:dyDescent="0.2">
      <c r="A245" s="19">
        <f t="shared" si="5"/>
        <v>0</v>
      </c>
      <c r="B245" s="19">
        <v>2019</v>
      </c>
      <c r="C245" s="112">
        <f>'Mobile Equip'!K$11</f>
        <v>7951</v>
      </c>
      <c r="D245" s="112" t="str">
        <f>IF(ISBLANK('Mobile Equip'!L$11),"",'Mobile Equip'!L$11)</f>
        <v/>
      </c>
      <c r="E245" s="19">
        <v>20</v>
      </c>
      <c r="F245" s="19" t="str">
        <f>IF(ISBLANK('Mobile Equip'!K$30),"new_ID",start)</f>
        <v>new_ID</v>
      </c>
      <c r="G245" s="113" t="s">
        <v>94</v>
      </c>
    </row>
    <row r="246" spans="1:7" x14ac:dyDescent="0.2">
      <c r="A246" s="19">
        <f t="shared" si="5"/>
        <v>0</v>
      </c>
      <c r="B246" s="19">
        <v>2019</v>
      </c>
      <c r="C246" s="112">
        <f>'Mobile Equip'!K$12</f>
        <v>7952</v>
      </c>
      <c r="D246" s="112" t="str">
        <f>IF(ISBLANK('Mobile Equip'!L$12),"",'Mobile Equip'!L$12)</f>
        <v/>
      </c>
      <c r="E246" s="19">
        <v>20</v>
      </c>
      <c r="F246" s="19" t="str">
        <f>IF(ISBLANK('Mobile Equip'!K$30),"new_ID",start)</f>
        <v>new_ID</v>
      </c>
      <c r="G246" s="113" t="s">
        <v>94</v>
      </c>
    </row>
    <row r="247" spans="1:7" x14ac:dyDescent="0.2">
      <c r="A247" s="19">
        <f t="shared" si="5"/>
        <v>0</v>
      </c>
      <c r="B247" s="19">
        <v>2019</v>
      </c>
      <c r="C247" s="112">
        <f>'Mobile Equip'!K$13</f>
        <v>7953</v>
      </c>
      <c r="D247" s="112" t="str">
        <f>IF(ISBLANK('Mobile Equip'!L$13),"",'Mobile Equip'!L$13)</f>
        <v/>
      </c>
      <c r="E247" s="19">
        <v>20</v>
      </c>
      <c r="F247" s="19" t="str">
        <f>IF(ISBLANK('Mobile Equip'!K$30),"new_ID",start)</f>
        <v>new_ID</v>
      </c>
      <c r="G247" s="113" t="s">
        <v>94</v>
      </c>
    </row>
    <row r="248" spans="1:7" x14ac:dyDescent="0.2">
      <c r="A248" s="19">
        <f t="shared" si="5"/>
        <v>0</v>
      </c>
      <c r="B248" s="19">
        <v>2019</v>
      </c>
      <c r="C248" s="112">
        <f>'Mobile Equip'!K$14</f>
        <v>7954</v>
      </c>
      <c r="D248" s="112" t="str">
        <f>IF(ISBLANK('Mobile Equip'!L$14),"",'Mobile Equip'!L$14)</f>
        <v/>
      </c>
      <c r="E248" s="19">
        <v>20</v>
      </c>
      <c r="F248" s="19" t="str">
        <f>IF(ISBLANK('Mobile Equip'!K$30),"new_ID",start)</f>
        <v>new_ID</v>
      </c>
      <c r="G248" s="113" t="s">
        <v>94</v>
      </c>
    </row>
    <row r="249" spans="1:7" x14ac:dyDescent="0.2">
      <c r="A249" s="19">
        <f t="shared" si="5"/>
        <v>0</v>
      </c>
      <c r="B249" s="19">
        <v>2019</v>
      </c>
      <c r="C249" s="112">
        <f>'Mobile Equip'!K$15</f>
        <v>7955</v>
      </c>
      <c r="D249" s="591" t="str">
        <f>IF(OR('Mobile Equip'!L$15=0,ISBLANK('Mobile Equip'!L$15)),"",'Mobile Equip'!L$15)</f>
        <v/>
      </c>
      <c r="E249" s="19">
        <v>20</v>
      </c>
      <c r="F249" s="19" t="str">
        <f>IF(ISBLANK('Mobile Equip'!K$30),"new_ID",start)</f>
        <v>new_ID</v>
      </c>
      <c r="G249" s="113" t="s">
        <v>94</v>
      </c>
    </row>
    <row r="250" spans="1:7" x14ac:dyDescent="0.2">
      <c r="A250" s="19">
        <f t="shared" si="5"/>
        <v>0</v>
      </c>
      <c r="B250" s="19">
        <v>2019</v>
      </c>
      <c r="C250" s="112">
        <f>'Mobile Equip'!K$16</f>
        <v>7956</v>
      </c>
      <c r="D250" s="112" t="str">
        <f>IF(ISBLANK('Mobile Equip'!L$16),"",'Mobile Equip'!L$16)</f>
        <v/>
      </c>
      <c r="E250" s="19">
        <v>20</v>
      </c>
      <c r="F250" s="19" t="str">
        <f>IF(ISBLANK('Mobile Equip'!K$30),"new_ID",start)</f>
        <v>new_ID</v>
      </c>
      <c r="G250" s="113" t="s">
        <v>94</v>
      </c>
    </row>
    <row r="251" spans="1:7" hidden="1" x14ac:dyDescent="0.2">
      <c r="C251" s="112"/>
      <c r="D251" s="112"/>
      <c r="G251" s="113" t="s">
        <v>94</v>
      </c>
    </row>
    <row r="252" spans="1:7" x14ac:dyDescent="0.2">
      <c r="A252" s="19">
        <f t="shared" si="5"/>
        <v>0</v>
      </c>
      <c r="B252" s="19">
        <v>2019</v>
      </c>
      <c r="C252" s="112">
        <f>'Mobile Equip'!K$18</f>
        <v>7958</v>
      </c>
      <c r="D252" s="112" t="str">
        <f>IF(ISBLANK('Mobile Equip'!L$18),"",'Mobile Equip'!L$18)</f>
        <v/>
      </c>
      <c r="E252" s="19">
        <v>20</v>
      </c>
      <c r="F252" s="19" t="str">
        <f>IF(ISBLANK('Mobile Equip'!K$30),"new_ID",start)</f>
        <v>new_ID</v>
      </c>
      <c r="G252" s="113" t="s">
        <v>94</v>
      </c>
    </row>
    <row r="253" spans="1:7" x14ac:dyDescent="0.2">
      <c r="A253" s="19">
        <f t="shared" si="5"/>
        <v>0</v>
      </c>
      <c r="B253" s="19">
        <v>2019</v>
      </c>
      <c r="C253" s="112">
        <f>'Mobile Equip'!K$19</f>
        <v>7959</v>
      </c>
      <c r="D253" s="591" t="str">
        <f>IF(OR('Mobile Equip'!L$19=0,ISBLANK('Mobile Equip'!L$19)),"",'Mobile Equip'!L$19)</f>
        <v/>
      </c>
      <c r="E253" s="19">
        <v>20</v>
      </c>
      <c r="F253" s="19" t="str">
        <f>IF(ISBLANK('Mobile Equip'!K$30),"new_ID",start)</f>
        <v>new_ID</v>
      </c>
      <c r="G253" s="113" t="s">
        <v>94</v>
      </c>
    </row>
    <row r="254" spans="1:7" x14ac:dyDescent="0.2">
      <c r="A254" s="19">
        <f t="shared" si="5"/>
        <v>0</v>
      </c>
      <c r="B254" s="19">
        <v>2019</v>
      </c>
      <c r="C254" s="112">
        <f>'Mobile Equip'!N$5</f>
        <v>7960</v>
      </c>
      <c r="D254" s="112" t="str">
        <f>IF(ISBLANK('Mobile Equip'!O$5),"",'Mobile Equip'!O$5)</f>
        <v/>
      </c>
      <c r="E254" s="19">
        <v>20</v>
      </c>
      <c r="F254" s="19" t="str">
        <f>IF(ISBLANK('Mobile Equip'!N$30),"new_ID",start)</f>
        <v>new_ID</v>
      </c>
      <c r="G254" s="120" t="s">
        <v>94</v>
      </c>
    </row>
    <row r="255" spans="1:7" x14ac:dyDescent="0.2">
      <c r="A255" s="19">
        <f t="shared" si="5"/>
        <v>0</v>
      </c>
      <c r="B255" s="19">
        <v>2019</v>
      </c>
      <c r="C255" s="112">
        <f>'Mobile Equip'!N$6</f>
        <v>7961</v>
      </c>
      <c r="D255" s="112" t="str">
        <f>IF(ISBLANK('Mobile Equip'!O$6),"",'Mobile Equip'!O$6)</f>
        <v/>
      </c>
      <c r="E255" s="19">
        <v>20</v>
      </c>
      <c r="F255" s="19" t="str">
        <f>IF(ISBLANK('Mobile Equip'!N$30),"new_ID",start)</f>
        <v>new_ID</v>
      </c>
      <c r="G255" s="113" t="s">
        <v>94</v>
      </c>
    </row>
    <row r="256" spans="1:7" x14ac:dyDescent="0.2">
      <c r="A256" s="19">
        <f t="shared" si="5"/>
        <v>0</v>
      </c>
      <c r="B256" s="19">
        <v>2019</v>
      </c>
      <c r="C256" s="112">
        <f>'Mobile Equip'!N$7</f>
        <v>7962</v>
      </c>
      <c r="D256" s="112" t="str">
        <f>IF(ISBLANK('Mobile Equip'!O$7),"",'Mobile Equip'!O$7)</f>
        <v/>
      </c>
      <c r="E256" s="19">
        <v>20</v>
      </c>
      <c r="F256" s="19" t="str">
        <f>IF(ISBLANK('Mobile Equip'!N$30),"new_ID",start)</f>
        <v>new_ID</v>
      </c>
      <c r="G256" s="113" t="s">
        <v>94</v>
      </c>
    </row>
    <row r="257" spans="1:7" x14ac:dyDescent="0.2">
      <c r="A257" s="19">
        <f t="shared" si="5"/>
        <v>0</v>
      </c>
      <c r="B257" s="19">
        <v>2019</v>
      </c>
      <c r="C257" s="112">
        <f>'Mobile Equip'!N$8</f>
        <v>7963</v>
      </c>
      <c r="D257" s="112" t="str">
        <f>IF(ISBLANK('Mobile Equip'!O$8),"",'Mobile Equip'!O$8)</f>
        <v/>
      </c>
      <c r="E257" s="19">
        <v>20</v>
      </c>
      <c r="F257" s="19" t="str">
        <f>IF(ISBLANK('Mobile Equip'!N$30),"new_ID",start)</f>
        <v>new_ID</v>
      </c>
      <c r="G257" s="113" t="s">
        <v>94</v>
      </c>
    </row>
    <row r="258" spans="1:7" x14ac:dyDescent="0.2">
      <c r="A258" s="19">
        <f t="shared" si="5"/>
        <v>0</v>
      </c>
      <c r="B258" s="19">
        <v>2019</v>
      </c>
      <c r="C258" s="112">
        <f>'Mobile Equip'!N$9</f>
        <v>7964</v>
      </c>
      <c r="D258" s="112" t="str">
        <f>IF(ISBLANK('Mobile Equip'!O$9),"",'Mobile Equip'!O$9)</f>
        <v/>
      </c>
      <c r="E258" s="19">
        <v>20</v>
      </c>
      <c r="F258" s="19" t="str">
        <f>IF(ISBLANK('Mobile Equip'!N$30),"new_ID",start)</f>
        <v>new_ID</v>
      </c>
      <c r="G258" s="113" t="s">
        <v>94</v>
      </c>
    </row>
    <row r="259" spans="1:7" x14ac:dyDescent="0.2">
      <c r="A259" s="19">
        <f t="shared" si="5"/>
        <v>0</v>
      </c>
      <c r="B259" s="19">
        <v>2019</v>
      </c>
      <c r="C259" s="112">
        <f>'Mobile Equip'!N$10</f>
        <v>7965</v>
      </c>
      <c r="D259" s="112" t="str">
        <f>IF(ISBLANK('Mobile Equip'!O$10),"",'Mobile Equip'!O$10)</f>
        <v/>
      </c>
      <c r="E259" s="19">
        <v>20</v>
      </c>
      <c r="F259" s="19" t="str">
        <f>IF(ISBLANK('Mobile Equip'!N$30),"new_ID",start)</f>
        <v>new_ID</v>
      </c>
      <c r="G259" s="113" t="s">
        <v>94</v>
      </c>
    </row>
    <row r="260" spans="1:7" x14ac:dyDescent="0.2">
      <c r="A260" s="19">
        <f t="shared" si="5"/>
        <v>0</v>
      </c>
      <c r="B260" s="19">
        <v>2019</v>
      </c>
      <c r="C260" s="112">
        <f>'Mobile Equip'!N$11</f>
        <v>7966</v>
      </c>
      <c r="D260" s="112" t="str">
        <f>IF(ISBLANK('Mobile Equip'!O$11),"",'Mobile Equip'!O$11)</f>
        <v/>
      </c>
      <c r="E260" s="19">
        <v>20</v>
      </c>
      <c r="F260" s="19" t="str">
        <f>IF(ISBLANK('Mobile Equip'!N$30),"new_ID",start)</f>
        <v>new_ID</v>
      </c>
      <c r="G260" s="113" t="s">
        <v>94</v>
      </c>
    </row>
    <row r="261" spans="1:7" x14ac:dyDescent="0.2">
      <c r="A261" s="19">
        <f t="shared" si="5"/>
        <v>0</v>
      </c>
      <c r="B261" s="19">
        <v>2019</v>
      </c>
      <c r="C261" s="112">
        <f>'Mobile Equip'!N$12</f>
        <v>7967</v>
      </c>
      <c r="D261" s="112" t="str">
        <f>IF(ISBLANK('Mobile Equip'!O$12),"",'Mobile Equip'!O$12)</f>
        <v/>
      </c>
      <c r="E261" s="19">
        <v>20</v>
      </c>
      <c r="F261" s="19" t="str">
        <f>IF(ISBLANK('Mobile Equip'!N$30),"new_ID",start)</f>
        <v>new_ID</v>
      </c>
      <c r="G261" s="113" t="s">
        <v>94</v>
      </c>
    </row>
    <row r="262" spans="1:7" x14ac:dyDescent="0.2">
      <c r="A262" s="19">
        <f t="shared" ref="A262:A325" si="6">start</f>
        <v>0</v>
      </c>
      <c r="B262" s="19">
        <v>2019</v>
      </c>
      <c r="C262" s="112">
        <f>'Mobile Equip'!N$13</f>
        <v>7968</v>
      </c>
      <c r="D262" s="112" t="str">
        <f>IF(ISBLANK('Mobile Equip'!O$13),"",'Mobile Equip'!O$13)</f>
        <v/>
      </c>
      <c r="E262" s="19">
        <v>20</v>
      </c>
      <c r="F262" s="19" t="str">
        <f>IF(ISBLANK('Mobile Equip'!N$30),"new_ID",start)</f>
        <v>new_ID</v>
      </c>
      <c r="G262" s="113" t="s">
        <v>94</v>
      </c>
    </row>
    <row r="263" spans="1:7" x14ac:dyDescent="0.2">
      <c r="A263" s="19">
        <f t="shared" si="6"/>
        <v>0</v>
      </c>
      <c r="B263" s="19">
        <v>2019</v>
      </c>
      <c r="C263" s="112">
        <f>'Mobile Equip'!N$14</f>
        <v>7969</v>
      </c>
      <c r="D263" s="112" t="str">
        <f>IF(ISBLANK('Mobile Equip'!O$14),"",'Mobile Equip'!O$14)</f>
        <v/>
      </c>
      <c r="E263" s="19">
        <v>20</v>
      </c>
      <c r="F263" s="19" t="str">
        <f>IF(ISBLANK('Mobile Equip'!N$30),"new_ID",start)</f>
        <v>new_ID</v>
      </c>
      <c r="G263" s="113" t="s">
        <v>94</v>
      </c>
    </row>
    <row r="264" spans="1:7" x14ac:dyDescent="0.2">
      <c r="A264" s="19">
        <f t="shared" si="6"/>
        <v>0</v>
      </c>
      <c r="B264" s="19">
        <v>2019</v>
      </c>
      <c r="C264" s="112">
        <f>'Mobile Equip'!N$15</f>
        <v>7970</v>
      </c>
      <c r="D264" s="591" t="str">
        <f>IF(OR('Mobile Equip'!O$15=0,ISBLANK('Mobile Equip'!O$15)),"",'Mobile Equip'!O$15)</f>
        <v/>
      </c>
      <c r="E264" s="19">
        <v>20</v>
      </c>
      <c r="F264" s="19" t="str">
        <f>IF(ISBLANK('Mobile Equip'!N$30),"new_ID",start)</f>
        <v>new_ID</v>
      </c>
      <c r="G264" s="113" t="s">
        <v>94</v>
      </c>
    </row>
    <row r="265" spans="1:7" x14ac:dyDescent="0.2">
      <c r="A265" s="19">
        <f t="shared" si="6"/>
        <v>0</v>
      </c>
      <c r="B265" s="19">
        <v>2019</v>
      </c>
      <c r="C265" s="112">
        <f>'Mobile Equip'!N$16</f>
        <v>7971</v>
      </c>
      <c r="D265" s="112" t="str">
        <f>IF(ISBLANK('Mobile Equip'!O$16),"",'Mobile Equip'!O$16)</f>
        <v/>
      </c>
      <c r="E265" s="19">
        <v>20</v>
      </c>
      <c r="F265" s="19" t="str">
        <f>IF(ISBLANK('Mobile Equip'!N$30),"new_ID",start)</f>
        <v>new_ID</v>
      </c>
      <c r="G265" s="113" t="s">
        <v>94</v>
      </c>
    </row>
    <row r="266" spans="1:7" hidden="1" x14ac:dyDescent="0.2">
      <c r="C266" s="112"/>
      <c r="D266" s="112"/>
      <c r="G266" s="113" t="s">
        <v>94</v>
      </c>
    </row>
    <row r="267" spans="1:7" x14ac:dyDescent="0.2">
      <c r="A267" s="19">
        <f t="shared" si="6"/>
        <v>0</v>
      </c>
      <c r="B267" s="19">
        <v>2019</v>
      </c>
      <c r="C267" s="112">
        <f>'Mobile Equip'!N$18</f>
        <v>7973</v>
      </c>
      <c r="D267" s="112" t="str">
        <f>IF(ISBLANK('Mobile Equip'!O$18),"",'Mobile Equip'!O$18)</f>
        <v/>
      </c>
      <c r="E267" s="19">
        <v>20</v>
      </c>
      <c r="F267" s="19" t="str">
        <f>IF(ISBLANK('Mobile Equip'!N$30),"new_ID",start)</f>
        <v>new_ID</v>
      </c>
      <c r="G267" s="113" t="s">
        <v>94</v>
      </c>
    </row>
    <row r="268" spans="1:7" x14ac:dyDescent="0.2">
      <c r="A268" s="19">
        <f t="shared" si="6"/>
        <v>0</v>
      </c>
      <c r="B268" s="19">
        <v>2019</v>
      </c>
      <c r="C268" s="112">
        <f>'Mobile Equip'!N$19</f>
        <v>7974</v>
      </c>
      <c r="D268" s="591" t="str">
        <f>IF(OR('Mobile Equip'!O$19=0,ISBLANK('Mobile Equip'!O$19)),"",'Mobile Equip'!O$19)</f>
        <v/>
      </c>
      <c r="E268" s="19">
        <v>20</v>
      </c>
      <c r="F268" s="19" t="str">
        <f>IF(ISBLANK('Mobile Equip'!N$30),"new_ID",start)</f>
        <v>new_ID</v>
      </c>
      <c r="G268" s="113" t="s">
        <v>94</v>
      </c>
    </row>
    <row r="269" spans="1:7" x14ac:dyDescent="0.2">
      <c r="A269" s="19">
        <f t="shared" si="6"/>
        <v>0</v>
      </c>
      <c r="B269" s="19">
        <v>2019</v>
      </c>
      <c r="C269" s="112">
        <f>'Mobile Equip'!Q$5</f>
        <v>7975</v>
      </c>
      <c r="D269" s="112" t="str">
        <f>IF(ISBLANK('Mobile Equip'!R$5),"",'Mobile Equip'!R$5)</f>
        <v/>
      </c>
      <c r="E269" s="19">
        <v>20</v>
      </c>
      <c r="F269" s="19" t="str">
        <f>IF(ISBLANK('Mobile Equip'!Q$30),"new_ID",start)</f>
        <v>new_ID</v>
      </c>
      <c r="G269" s="120" t="s">
        <v>94</v>
      </c>
    </row>
    <row r="270" spans="1:7" x14ac:dyDescent="0.2">
      <c r="A270" s="19">
        <f t="shared" si="6"/>
        <v>0</v>
      </c>
      <c r="B270" s="19">
        <v>2019</v>
      </c>
      <c r="C270" s="112">
        <f>'Mobile Equip'!Q$6</f>
        <v>7976</v>
      </c>
      <c r="D270" s="112" t="str">
        <f>IF(ISBLANK('Mobile Equip'!R$6),"",'Mobile Equip'!R$6)</f>
        <v/>
      </c>
      <c r="E270" s="19">
        <v>20</v>
      </c>
      <c r="F270" s="19" t="str">
        <f>IF(ISBLANK('Mobile Equip'!Q$30),"new_ID",start)</f>
        <v>new_ID</v>
      </c>
      <c r="G270" s="113" t="s">
        <v>94</v>
      </c>
    </row>
    <row r="271" spans="1:7" x14ac:dyDescent="0.2">
      <c r="A271" s="19">
        <f t="shared" si="6"/>
        <v>0</v>
      </c>
      <c r="B271" s="19">
        <v>2019</v>
      </c>
      <c r="C271" s="112">
        <f>'Mobile Equip'!Q$7</f>
        <v>7977</v>
      </c>
      <c r="D271" s="112" t="str">
        <f>IF(ISBLANK('Mobile Equip'!R$7),"",'Mobile Equip'!R$7)</f>
        <v/>
      </c>
      <c r="E271" s="19">
        <v>20</v>
      </c>
      <c r="F271" s="19" t="str">
        <f>IF(ISBLANK('Mobile Equip'!Q$30),"new_ID",start)</f>
        <v>new_ID</v>
      </c>
      <c r="G271" s="113" t="s">
        <v>94</v>
      </c>
    </row>
    <row r="272" spans="1:7" x14ac:dyDescent="0.2">
      <c r="A272" s="19">
        <f t="shared" si="6"/>
        <v>0</v>
      </c>
      <c r="B272" s="19">
        <v>2019</v>
      </c>
      <c r="C272" s="112">
        <f>'Mobile Equip'!Q$8</f>
        <v>7978</v>
      </c>
      <c r="D272" s="112" t="str">
        <f>IF(ISBLANK('Mobile Equip'!R$8),"",'Mobile Equip'!R$8)</f>
        <v/>
      </c>
      <c r="E272" s="19">
        <v>20</v>
      </c>
      <c r="F272" s="19" t="str">
        <f>IF(ISBLANK('Mobile Equip'!Q$30),"new_ID",start)</f>
        <v>new_ID</v>
      </c>
      <c r="G272" s="113" t="s">
        <v>94</v>
      </c>
    </row>
    <row r="273" spans="1:7" x14ac:dyDescent="0.2">
      <c r="A273" s="19">
        <f t="shared" si="6"/>
        <v>0</v>
      </c>
      <c r="B273" s="19">
        <v>2019</v>
      </c>
      <c r="C273" s="112">
        <f>'Mobile Equip'!Q$9</f>
        <v>7979</v>
      </c>
      <c r="D273" s="112" t="str">
        <f>IF(ISBLANK('Mobile Equip'!R$9),"",'Mobile Equip'!R$9)</f>
        <v/>
      </c>
      <c r="E273" s="19">
        <v>20</v>
      </c>
      <c r="F273" s="19" t="str">
        <f>IF(ISBLANK('Mobile Equip'!Q$30),"new_ID",start)</f>
        <v>new_ID</v>
      </c>
      <c r="G273" s="113" t="s">
        <v>94</v>
      </c>
    </row>
    <row r="274" spans="1:7" x14ac:dyDescent="0.2">
      <c r="A274" s="19">
        <f t="shared" si="6"/>
        <v>0</v>
      </c>
      <c r="B274" s="19">
        <v>2019</v>
      </c>
      <c r="C274" s="112">
        <f>'Mobile Equip'!Q$10</f>
        <v>7980</v>
      </c>
      <c r="D274" s="112" t="str">
        <f>IF(ISBLANK('Mobile Equip'!R$10),"",'Mobile Equip'!R$10)</f>
        <v/>
      </c>
      <c r="E274" s="19">
        <v>20</v>
      </c>
      <c r="F274" s="19" t="str">
        <f>IF(ISBLANK('Mobile Equip'!Q$30),"new_ID",start)</f>
        <v>new_ID</v>
      </c>
      <c r="G274" s="113" t="s">
        <v>94</v>
      </c>
    </row>
    <row r="275" spans="1:7" x14ac:dyDescent="0.2">
      <c r="A275" s="19">
        <f t="shared" si="6"/>
        <v>0</v>
      </c>
      <c r="B275" s="19">
        <v>2019</v>
      </c>
      <c r="C275" s="112">
        <f>'Mobile Equip'!Q$11</f>
        <v>7981</v>
      </c>
      <c r="D275" s="112" t="str">
        <f>IF(ISBLANK('Mobile Equip'!R$11),"",'Mobile Equip'!R$11)</f>
        <v/>
      </c>
      <c r="E275" s="19">
        <v>20</v>
      </c>
      <c r="F275" s="19" t="str">
        <f>IF(ISBLANK('Mobile Equip'!Q$30),"new_ID",start)</f>
        <v>new_ID</v>
      </c>
      <c r="G275" s="113" t="s">
        <v>94</v>
      </c>
    </row>
    <row r="276" spans="1:7" x14ac:dyDescent="0.2">
      <c r="A276" s="19">
        <f t="shared" si="6"/>
        <v>0</v>
      </c>
      <c r="B276" s="19">
        <v>2019</v>
      </c>
      <c r="C276" s="112">
        <f>'Mobile Equip'!Q$12</f>
        <v>7982</v>
      </c>
      <c r="D276" s="112" t="str">
        <f>IF(ISBLANK('Mobile Equip'!R$12),"",'Mobile Equip'!R$12)</f>
        <v/>
      </c>
      <c r="E276" s="19">
        <v>20</v>
      </c>
      <c r="F276" s="19" t="str">
        <f>IF(ISBLANK('Mobile Equip'!Q$30),"new_ID",start)</f>
        <v>new_ID</v>
      </c>
      <c r="G276" s="113" t="s">
        <v>94</v>
      </c>
    </row>
    <row r="277" spans="1:7" x14ac:dyDescent="0.2">
      <c r="A277" s="19">
        <f t="shared" si="6"/>
        <v>0</v>
      </c>
      <c r="B277" s="19">
        <v>2019</v>
      </c>
      <c r="C277" s="112">
        <f>'Mobile Equip'!Q$13</f>
        <v>7983</v>
      </c>
      <c r="D277" s="112" t="str">
        <f>IF(ISBLANK('Mobile Equip'!R$13),"",'Mobile Equip'!R$13)</f>
        <v/>
      </c>
      <c r="E277" s="19">
        <v>20</v>
      </c>
      <c r="F277" s="19" t="str">
        <f>IF(ISBLANK('Mobile Equip'!Q$30),"new_ID",start)</f>
        <v>new_ID</v>
      </c>
      <c r="G277" s="113" t="s">
        <v>94</v>
      </c>
    </row>
    <row r="278" spans="1:7" x14ac:dyDescent="0.2">
      <c r="A278" s="19">
        <f t="shared" si="6"/>
        <v>0</v>
      </c>
      <c r="B278" s="19">
        <v>2019</v>
      </c>
      <c r="C278" s="112">
        <f>'Mobile Equip'!Q$14</f>
        <v>7984</v>
      </c>
      <c r="D278" s="112" t="str">
        <f>IF(ISBLANK('Mobile Equip'!R$14),"",'Mobile Equip'!R$14)</f>
        <v/>
      </c>
      <c r="E278" s="19">
        <v>20</v>
      </c>
      <c r="F278" s="19" t="str">
        <f>IF(ISBLANK('Mobile Equip'!Q$30),"new_ID",start)</f>
        <v>new_ID</v>
      </c>
      <c r="G278" s="113" t="s">
        <v>94</v>
      </c>
    </row>
    <row r="279" spans="1:7" x14ac:dyDescent="0.2">
      <c r="A279" s="19">
        <f t="shared" si="6"/>
        <v>0</v>
      </c>
      <c r="B279" s="19">
        <v>2019</v>
      </c>
      <c r="C279" s="112">
        <f>'Mobile Equip'!Q$15</f>
        <v>7985</v>
      </c>
      <c r="D279" s="591" t="str">
        <f>IF(OR('Mobile Equip'!R$15=0,ISBLANK('Mobile Equip'!R$15)),"",'Mobile Equip'!R$15)</f>
        <v/>
      </c>
      <c r="E279" s="19">
        <v>20</v>
      </c>
      <c r="F279" s="19" t="str">
        <f>IF(ISBLANK('Mobile Equip'!Q$30),"new_ID",start)</f>
        <v>new_ID</v>
      </c>
      <c r="G279" s="113" t="s">
        <v>94</v>
      </c>
    </row>
    <row r="280" spans="1:7" x14ac:dyDescent="0.2">
      <c r="A280" s="19">
        <f t="shared" si="6"/>
        <v>0</v>
      </c>
      <c r="B280" s="19">
        <v>2019</v>
      </c>
      <c r="C280" s="112">
        <f>'Mobile Equip'!Q$16</f>
        <v>7986</v>
      </c>
      <c r="D280" s="112" t="str">
        <f>IF(ISBLANK('Mobile Equip'!R$16),"",'Mobile Equip'!R$16)</f>
        <v/>
      </c>
      <c r="E280" s="19">
        <v>20</v>
      </c>
      <c r="F280" s="19" t="str">
        <f>IF(ISBLANK('Mobile Equip'!Q$30),"new_ID",start)</f>
        <v>new_ID</v>
      </c>
      <c r="G280" s="113" t="s">
        <v>94</v>
      </c>
    </row>
    <row r="281" spans="1:7" hidden="1" x14ac:dyDescent="0.2">
      <c r="C281" s="112"/>
      <c r="D281" s="112"/>
      <c r="G281" s="113" t="s">
        <v>94</v>
      </c>
    </row>
    <row r="282" spans="1:7" x14ac:dyDescent="0.2">
      <c r="A282" s="19">
        <f t="shared" si="6"/>
        <v>0</v>
      </c>
      <c r="B282" s="19">
        <v>2019</v>
      </c>
      <c r="C282" s="112">
        <f>'Mobile Equip'!Q$18</f>
        <v>7988</v>
      </c>
      <c r="D282" s="112" t="str">
        <f>IF(ISBLANK('Mobile Equip'!R$18),"",'Mobile Equip'!R$18)</f>
        <v/>
      </c>
      <c r="E282" s="19">
        <v>20</v>
      </c>
      <c r="F282" s="19" t="str">
        <f>IF(ISBLANK('Mobile Equip'!Q$30),"new_ID",start)</f>
        <v>new_ID</v>
      </c>
      <c r="G282" s="113" t="s">
        <v>94</v>
      </c>
    </row>
    <row r="283" spans="1:7" x14ac:dyDescent="0.2">
      <c r="A283" s="19">
        <f t="shared" si="6"/>
        <v>0</v>
      </c>
      <c r="B283" s="19">
        <v>2019</v>
      </c>
      <c r="C283" s="112">
        <f>'Mobile Equip'!Q$19</f>
        <v>7989</v>
      </c>
      <c r="D283" s="591" t="str">
        <f>IF(OR('Mobile Equip'!R$19=0,ISBLANK('Mobile Equip'!R$19)),"",'Mobile Equip'!R$19)</f>
        <v/>
      </c>
      <c r="E283" s="19">
        <v>20</v>
      </c>
      <c r="F283" s="19" t="str">
        <f>IF(ISBLANK('Mobile Equip'!Q$30),"new_ID",start)</f>
        <v>new_ID</v>
      </c>
      <c r="G283" s="113" t="s">
        <v>94</v>
      </c>
    </row>
    <row r="284" spans="1:7" x14ac:dyDescent="0.2">
      <c r="A284" s="19">
        <f t="shared" si="6"/>
        <v>0</v>
      </c>
      <c r="B284" s="19">
        <v>2019</v>
      </c>
      <c r="C284" s="112">
        <f>'Mobile Equip'!B$24</f>
        <v>7197</v>
      </c>
      <c r="D284" s="112" t="str">
        <f>IF(ISBLANK('Mobile Equip'!C$24),"",'Mobile Equip'!C$24)</f>
        <v/>
      </c>
      <c r="E284" s="19">
        <v>20</v>
      </c>
      <c r="F284" s="19" t="str">
        <f>IF(ISBLANK('Mobile Equip'!B$30),"new_ID",start)</f>
        <v>new_ID</v>
      </c>
      <c r="G284" s="120" t="s">
        <v>94</v>
      </c>
    </row>
    <row r="285" spans="1:7" x14ac:dyDescent="0.2">
      <c r="A285" s="19">
        <f t="shared" si="6"/>
        <v>0</v>
      </c>
      <c r="B285" s="19">
        <v>2019</v>
      </c>
      <c r="C285" s="112">
        <f>'Mobile Equip'!E$24</f>
        <v>7201</v>
      </c>
      <c r="D285" s="112" t="str">
        <f>IF(ISBLANK('Mobile Equip'!F$24),"",'Mobile Equip'!F$24)</f>
        <v/>
      </c>
      <c r="E285" s="19">
        <v>20</v>
      </c>
      <c r="F285" s="19" t="str">
        <f>IF(ISBLANK('Mobile Equip'!E$30),"new_ID",start)</f>
        <v>new_ID</v>
      </c>
      <c r="G285" s="120" t="s">
        <v>94</v>
      </c>
    </row>
    <row r="286" spans="1:7" x14ac:dyDescent="0.2">
      <c r="A286" s="19">
        <f t="shared" si="6"/>
        <v>0</v>
      </c>
      <c r="B286" s="19">
        <v>2019</v>
      </c>
      <c r="C286" s="112">
        <f>'Mobile Equip'!H$24</f>
        <v>7314</v>
      </c>
      <c r="D286" s="112" t="str">
        <f>IF(ISBLANK('Mobile Equip'!I$24),"",'Mobile Equip'!I$24)</f>
        <v/>
      </c>
      <c r="E286" s="19">
        <v>20</v>
      </c>
      <c r="F286" s="19" t="str">
        <f>IF(ISBLANK('Mobile Equip'!H$30),"new_ID",start)</f>
        <v>new_ID</v>
      </c>
      <c r="G286" s="120" t="s">
        <v>94</v>
      </c>
    </row>
    <row r="287" spans="1:7" x14ac:dyDescent="0.2">
      <c r="A287" s="19">
        <f t="shared" si="6"/>
        <v>0</v>
      </c>
      <c r="B287" s="19">
        <v>2019</v>
      </c>
      <c r="C287" s="112">
        <f>'Mobile Equip'!K$24</f>
        <v>7191</v>
      </c>
      <c r="D287" s="112" t="str">
        <f>IF(ISBLANK('Mobile Equip'!L$24),"",'Mobile Equip'!L$24)</f>
        <v/>
      </c>
      <c r="E287" s="19">
        <v>20</v>
      </c>
      <c r="F287" s="19" t="str">
        <f>IF(ISBLANK('Mobile Equip'!K$30),"new_ID",start)</f>
        <v>new_ID</v>
      </c>
      <c r="G287" s="120" t="s">
        <v>94</v>
      </c>
    </row>
    <row r="288" spans="1:7" x14ac:dyDescent="0.2">
      <c r="A288" s="19">
        <f t="shared" si="6"/>
        <v>0</v>
      </c>
      <c r="B288" s="19">
        <v>2019</v>
      </c>
      <c r="C288" s="112">
        <f>'Mobile Equip'!N$24</f>
        <v>7321</v>
      </c>
      <c r="D288" s="112" t="str">
        <f>IF(ISBLANK('Mobile Equip'!O$24),"",'Mobile Equip'!O$24)</f>
        <v/>
      </c>
      <c r="E288" s="19">
        <v>20</v>
      </c>
      <c r="F288" s="19" t="str">
        <f>IF(ISBLANK('Mobile Equip'!N$30),"new_ID",start)</f>
        <v>new_ID</v>
      </c>
      <c r="G288" s="120" t="s">
        <v>94</v>
      </c>
    </row>
    <row r="289" spans="1:7" x14ac:dyDescent="0.2">
      <c r="A289" s="19">
        <f t="shared" si="6"/>
        <v>0</v>
      </c>
      <c r="B289" s="19">
        <v>2019</v>
      </c>
      <c r="C289" s="112">
        <f>'Mobile Equip'!Q$24</f>
        <v>7220</v>
      </c>
      <c r="D289" s="112" t="str">
        <f>IF(ISBLANK('Mobile Equip'!R$24),"",'Mobile Equip'!R$24)</f>
        <v/>
      </c>
      <c r="E289" s="19">
        <v>20</v>
      </c>
      <c r="F289" s="19" t="str">
        <f>IF(ISBLANK('Mobile Equip'!Q$30),"new_ID",start)</f>
        <v>new_ID</v>
      </c>
      <c r="G289" s="120" t="s">
        <v>94</v>
      </c>
    </row>
    <row r="290" spans="1:7" x14ac:dyDescent="0.2">
      <c r="A290" s="19">
        <f t="shared" si="6"/>
        <v>0</v>
      </c>
      <c r="B290" s="19">
        <v>2019</v>
      </c>
      <c r="C290" s="19">
        <f>'Capital Expenditures'!A4</f>
        <v>7594</v>
      </c>
      <c r="D290" s="592" t="str">
        <f>IF(AND(ISBLANK('Capital Expenditures'!J5),ISBLANK('Capital Expenditures'!K5)),"",IF(ISBLANK('Capital Expenditures'!J5),"0","1"))</f>
        <v/>
      </c>
      <c r="E290" s="19">
        <v>20</v>
      </c>
      <c r="F290" s="19">
        <f t="shared" ref="F290:F340" si="7">start</f>
        <v>0</v>
      </c>
      <c r="G290" s="119" t="s">
        <v>26</v>
      </c>
    </row>
    <row r="291" spans="1:7" x14ac:dyDescent="0.2">
      <c r="A291" s="19">
        <f t="shared" si="6"/>
        <v>0</v>
      </c>
      <c r="B291" s="19">
        <v>2019</v>
      </c>
      <c r="C291" s="19">
        <f>'Capital Expenditures'!A6</f>
        <v>7595</v>
      </c>
      <c r="D291" s="112" t="str">
        <f>IF(ISBLANK('Capital Expenditures'!J6),"",'Capital Expenditures'!J6)</f>
        <v/>
      </c>
      <c r="E291" s="19">
        <v>20</v>
      </c>
      <c r="F291" s="19">
        <f t="shared" si="7"/>
        <v>0</v>
      </c>
      <c r="G291" s="119" t="s">
        <v>26</v>
      </c>
    </row>
    <row r="292" spans="1:7" x14ac:dyDescent="0.2">
      <c r="A292" s="19">
        <f t="shared" si="6"/>
        <v>0</v>
      </c>
      <c r="B292" s="19">
        <v>2019</v>
      </c>
      <c r="C292" s="19">
        <f>'Capital Expenditures'!A7</f>
        <v>7596</v>
      </c>
      <c r="D292" s="112" t="str">
        <f>IF(ISBLANK('Capital Expenditures'!J7),"",'Capital Expenditures'!J7)</f>
        <v/>
      </c>
      <c r="E292" s="19">
        <v>20</v>
      </c>
      <c r="F292" s="19">
        <f t="shared" si="7"/>
        <v>0</v>
      </c>
      <c r="G292" s="119" t="s">
        <v>26</v>
      </c>
    </row>
    <row r="293" spans="1:7" x14ac:dyDescent="0.2">
      <c r="A293" s="19">
        <f t="shared" si="6"/>
        <v>0</v>
      </c>
      <c r="B293" s="19">
        <v>2019</v>
      </c>
      <c r="C293" s="19">
        <f>'Capital Expenditures'!E$12</f>
        <v>7597</v>
      </c>
      <c r="D293" s="591" t="str">
        <f>IF(OR('Capital Expenditures'!F$12=0,ISBLANK('Capital Expenditures'!F$12)),"",'Capital Expenditures'!F$12)</f>
        <v/>
      </c>
      <c r="E293" s="19">
        <v>20</v>
      </c>
      <c r="F293" s="19">
        <f t="shared" si="7"/>
        <v>0</v>
      </c>
      <c r="G293" s="119" t="s">
        <v>26</v>
      </c>
    </row>
    <row r="294" spans="1:7" x14ac:dyDescent="0.2">
      <c r="A294" s="19">
        <f t="shared" si="6"/>
        <v>0</v>
      </c>
      <c r="B294" s="19">
        <v>2019</v>
      </c>
      <c r="C294" s="19">
        <f>'Capital Expenditures'!E$13</f>
        <v>7610</v>
      </c>
      <c r="D294" s="591" t="str">
        <f>IF(OR('Capital Expenditures'!F$13=0,ISBLANK('Capital Expenditures'!F$13)),"",'Capital Expenditures'!F$13)</f>
        <v/>
      </c>
      <c r="E294" s="19">
        <v>20</v>
      </c>
      <c r="F294" s="19">
        <f t="shared" si="7"/>
        <v>0</v>
      </c>
      <c r="G294" s="119" t="s">
        <v>26</v>
      </c>
    </row>
    <row r="295" spans="1:7" x14ac:dyDescent="0.2">
      <c r="A295" s="19">
        <f t="shared" si="6"/>
        <v>0</v>
      </c>
      <c r="B295" s="19">
        <v>2019</v>
      </c>
      <c r="C295" s="19">
        <f>'Capital Expenditures'!E$14</f>
        <v>7611</v>
      </c>
      <c r="D295" s="112" t="str">
        <f>IF(ISBLANK('Capital Expenditures'!F$14),"",'Capital Expenditures'!F$14)</f>
        <v/>
      </c>
      <c r="E295" s="19">
        <v>20</v>
      </c>
      <c r="F295" s="19">
        <f t="shared" si="7"/>
        <v>0</v>
      </c>
      <c r="G295" s="119" t="s">
        <v>26</v>
      </c>
    </row>
    <row r="296" spans="1:7" x14ac:dyDescent="0.2">
      <c r="A296" s="19">
        <f t="shared" si="6"/>
        <v>0</v>
      </c>
      <c r="B296" s="19">
        <v>2019</v>
      </c>
      <c r="C296" s="19">
        <f>'Capital Expenditures'!E$15</f>
        <v>7612</v>
      </c>
      <c r="D296" s="112" t="str">
        <f>IF(ISBLANK('Capital Expenditures'!F$15),"",'Capital Expenditures'!F$15)</f>
        <v/>
      </c>
      <c r="E296" s="19">
        <v>20</v>
      </c>
      <c r="F296" s="19">
        <f t="shared" si="7"/>
        <v>0</v>
      </c>
      <c r="G296" s="119" t="s">
        <v>26</v>
      </c>
    </row>
    <row r="297" spans="1:7" x14ac:dyDescent="0.2">
      <c r="A297" s="19">
        <f t="shared" si="6"/>
        <v>0</v>
      </c>
      <c r="B297" s="19">
        <v>2019</v>
      </c>
      <c r="C297" s="19">
        <f>'Capital Expenditures'!E$16</f>
        <v>7613</v>
      </c>
      <c r="D297" s="112" t="str">
        <f>IF(ISBLANK('Capital Expenditures'!F$16),"",'Capital Expenditures'!F$16)</f>
        <v/>
      </c>
      <c r="E297" s="19">
        <v>20</v>
      </c>
      <c r="F297" s="19">
        <f t="shared" si="7"/>
        <v>0</v>
      </c>
      <c r="G297" s="119" t="s">
        <v>26</v>
      </c>
    </row>
    <row r="298" spans="1:7" x14ac:dyDescent="0.2">
      <c r="A298" s="19">
        <f t="shared" si="6"/>
        <v>0</v>
      </c>
      <c r="B298" s="19">
        <v>2019</v>
      </c>
      <c r="C298" s="19">
        <f>'Capital Expenditures'!E$17</f>
        <v>7614</v>
      </c>
      <c r="D298" s="112" t="str">
        <f>IF(ISBLANK('Capital Expenditures'!F$17),"",'Capital Expenditures'!F$17)</f>
        <v/>
      </c>
      <c r="E298" s="19">
        <v>20</v>
      </c>
      <c r="F298" s="19">
        <f t="shared" si="7"/>
        <v>0</v>
      </c>
      <c r="G298" s="119" t="s">
        <v>26</v>
      </c>
    </row>
    <row r="299" spans="1:7" x14ac:dyDescent="0.2">
      <c r="A299" s="19">
        <f t="shared" si="6"/>
        <v>0</v>
      </c>
      <c r="B299" s="19">
        <v>2019</v>
      </c>
      <c r="C299" s="19">
        <f>'Capital Expenditures'!E$18</f>
        <v>7609</v>
      </c>
      <c r="D299" s="112" t="str">
        <f>IF(ISBLANK('Capital Expenditures'!F$18),"",'Capital Expenditures'!F$18)</f>
        <v/>
      </c>
      <c r="E299" s="19">
        <v>20</v>
      </c>
      <c r="F299" s="19">
        <f t="shared" si="7"/>
        <v>0</v>
      </c>
      <c r="G299" s="119" t="s">
        <v>26</v>
      </c>
    </row>
    <row r="300" spans="1:7" x14ac:dyDescent="0.2">
      <c r="A300" s="19">
        <f t="shared" si="6"/>
        <v>0</v>
      </c>
      <c r="B300" s="19">
        <v>2019</v>
      </c>
      <c r="C300" s="19">
        <f>'Capital Expenditures'!E$19</f>
        <v>7615</v>
      </c>
      <c r="D300" s="591" t="str">
        <f>IF(OR('Capital Expenditures'!F$19=0,ISBLANK('Capital Expenditures'!F$19)),"",'Capital Expenditures'!F$19)</f>
        <v/>
      </c>
      <c r="E300" s="19">
        <v>20</v>
      </c>
      <c r="F300" s="19">
        <f t="shared" si="7"/>
        <v>0</v>
      </c>
      <c r="G300" s="119" t="s">
        <v>26</v>
      </c>
    </row>
    <row r="301" spans="1:7" x14ac:dyDescent="0.2">
      <c r="A301" s="19">
        <f t="shared" si="6"/>
        <v>0</v>
      </c>
      <c r="B301" s="19">
        <v>2019</v>
      </c>
      <c r="C301" s="19">
        <f>'Capital Expenditures'!E$20</f>
        <v>7616</v>
      </c>
      <c r="D301" s="112" t="str">
        <f>IF(ISBLANK('Capital Expenditures'!F$20),"",'Capital Expenditures'!F$20)</f>
        <v/>
      </c>
      <c r="E301" s="19">
        <v>20</v>
      </c>
      <c r="F301" s="19">
        <f t="shared" si="7"/>
        <v>0</v>
      </c>
      <c r="G301" s="119" t="s">
        <v>26</v>
      </c>
    </row>
    <row r="302" spans="1:7" x14ac:dyDescent="0.2">
      <c r="A302" s="19">
        <f t="shared" si="6"/>
        <v>0</v>
      </c>
      <c r="B302" s="19">
        <v>2019</v>
      </c>
      <c r="C302" s="19">
        <f>'Capital Expenditures'!E$21</f>
        <v>7617</v>
      </c>
      <c r="D302" s="112" t="str">
        <f>IF(ISBLANK('Capital Expenditures'!F$21),"",'Capital Expenditures'!F$21)</f>
        <v/>
      </c>
      <c r="E302" s="19">
        <v>20</v>
      </c>
      <c r="F302" s="19">
        <f t="shared" si="7"/>
        <v>0</v>
      </c>
      <c r="G302" s="119" t="s">
        <v>26</v>
      </c>
    </row>
    <row r="303" spans="1:7" x14ac:dyDescent="0.2">
      <c r="A303" s="19">
        <f t="shared" si="6"/>
        <v>0</v>
      </c>
      <c r="B303" s="19">
        <v>2019</v>
      </c>
      <c r="C303" s="19">
        <f>'Capital Expenditures'!E$22</f>
        <v>7618</v>
      </c>
      <c r="D303" s="112" t="str">
        <f>IF(ISBLANK('Capital Expenditures'!F$22),"",'Capital Expenditures'!F$22)</f>
        <v/>
      </c>
      <c r="E303" s="19">
        <v>20</v>
      </c>
      <c r="F303" s="19">
        <f t="shared" si="7"/>
        <v>0</v>
      </c>
      <c r="G303" s="119" t="s">
        <v>26</v>
      </c>
    </row>
    <row r="304" spans="1:7" x14ac:dyDescent="0.2">
      <c r="A304" s="19">
        <f t="shared" si="6"/>
        <v>0</v>
      </c>
      <c r="B304" s="19">
        <v>2019</v>
      </c>
      <c r="C304" s="19">
        <f>'Capital Expenditures'!E$23</f>
        <v>7619</v>
      </c>
      <c r="D304" s="591" t="str">
        <f>IF(OR('Capital Expenditures'!F$23=0,ISBLANK('Capital Expenditures'!F$23)),"",'Capital Expenditures'!F$23)</f>
        <v/>
      </c>
      <c r="E304" s="19">
        <v>20</v>
      </c>
      <c r="F304" s="19">
        <f t="shared" si="7"/>
        <v>0</v>
      </c>
      <c r="G304" s="119" t="s">
        <v>26</v>
      </c>
    </row>
    <row r="305" spans="1:7" x14ac:dyDescent="0.2">
      <c r="A305" s="19">
        <f t="shared" si="6"/>
        <v>0</v>
      </c>
      <c r="B305" s="19">
        <v>2019</v>
      </c>
      <c r="C305" s="19">
        <f>'Capital Expenditures'!H$12</f>
        <v>7620</v>
      </c>
      <c r="D305" s="591" t="str">
        <f>IF(OR('Capital Expenditures'!I$12=0,ISBLANK('Capital Expenditures'!I$12)),"",'Capital Expenditures'!I$12)</f>
        <v/>
      </c>
      <c r="E305" s="19">
        <v>20</v>
      </c>
      <c r="F305" s="19">
        <f t="shared" si="7"/>
        <v>0</v>
      </c>
      <c r="G305" s="120" t="s">
        <v>26</v>
      </c>
    </row>
    <row r="306" spans="1:7" x14ac:dyDescent="0.2">
      <c r="A306" s="19">
        <f t="shared" si="6"/>
        <v>0</v>
      </c>
      <c r="B306" s="19">
        <v>2019</v>
      </c>
      <c r="C306" s="19">
        <f>'Capital Expenditures'!H$13</f>
        <v>7633</v>
      </c>
      <c r="D306" s="591" t="str">
        <f>IF(OR('Capital Expenditures'!I$13=0,ISBLANK('Capital Expenditures'!I$13)),"",'Capital Expenditures'!I$13)</f>
        <v/>
      </c>
      <c r="E306" s="19">
        <v>20</v>
      </c>
      <c r="F306" s="19">
        <f t="shared" si="7"/>
        <v>0</v>
      </c>
      <c r="G306" s="119" t="s">
        <v>26</v>
      </c>
    </row>
    <row r="307" spans="1:7" x14ac:dyDescent="0.2">
      <c r="A307" s="19">
        <f t="shared" si="6"/>
        <v>0</v>
      </c>
      <c r="B307" s="19">
        <v>2019</v>
      </c>
      <c r="C307" s="19">
        <f>'Capital Expenditures'!H$14</f>
        <v>7634</v>
      </c>
      <c r="D307" s="112" t="str">
        <f>IF(ISBLANK('Capital Expenditures'!I$14),"",'Capital Expenditures'!I$14)</f>
        <v/>
      </c>
      <c r="E307" s="19">
        <v>20</v>
      </c>
      <c r="F307" s="19">
        <f t="shared" si="7"/>
        <v>0</v>
      </c>
      <c r="G307" s="119" t="s">
        <v>26</v>
      </c>
    </row>
    <row r="308" spans="1:7" x14ac:dyDescent="0.2">
      <c r="A308" s="19">
        <f t="shared" si="6"/>
        <v>0</v>
      </c>
      <c r="B308" s="19">
        <v>2019</v>
      </c>
      <c r="C308" s="19">
        <f>'Capital Expenditures'!H$15</f>
        <v>7635</v>
      </c>
      <c r="D308" s="112" t="str">
        <f>IF(ISBLANK('Capital Expenditures'!I$15),"",'Capital Expenditures'!I$15)</f>
        <v/>
      </c>
      <c r="E308" s="19">
        <v>20</v>
      </c>
      <c r="F308" s="19">
        <f t="shared" si="7"/>
        <v>0</v>
      </c>
      <c r="G308" s="119" t="s">
        <v>26</v>
      </c>
    </row>
    <row r="309" spans="1:7" x14ac:dyDescent="0.2">
      <c r="A309" s="19">
        <f t="shared" si="6"/>
        <v>0</v>
      </c>
      <c r="B309" s="19">
        <v>2019</v>
      </c>
      <c r="C309" s="19">
        <f>'Capital Expenditures'!H$16</f>
        <v>7636</v>
      </c>
      <c r="D309" s="112" t="str">
        <f>IF(ISBLANK('Capital Expenditures'!I$16),"",'Capital Expenditures'!I$16)</f>
        <v/>
      </c>
      <c r="E309" s="19">
        <v>20</v>
      </c>
      <c r="F309" s="19">
        <f t="shared" si="7"/>
        <v>0</v>
      </c>
      <c r="G309" s="119" t="s">
        <v>26</v>
      </c>
    </row>
    <row r="310" spans="1:7" x14ac:dyDescent="0.2">
      <c r="A310" s="19">
        <f t="shared" si="6"/>
        <v>0</v>
      </c>
      <c r="B310" s="19">
        <v>2019</v>
      </c>
      <c r="C310" s="19">
        <f>'Capital Expenditures'!H$17</f>
        <v>7637</v>
      </c>
      <c r="D310" s="112" t="str">
        <f>IF(ISBLANK('Capital Expenditures'!I$17),"",'Capital Expenditures'!I$17)</f>
        <v/>
      </c>
      <c r="E310" s="19">
        <v>20</v>
      </c>
      <c r="F310" s="19">
        <f t="shared" si="7"/>
        <v>0</v>
      </c>
      <c r="G310" s="119" t="s">
        <v>26</v>
      </c>
    </row>
    <row r="311" spans="1:7" x14ac:dyDescent="0.2">
      <c r="A311" s="19">
        <f t="shared" si="6"/>
        <v>0</v>
      </c>
      <c r="B311" s="19">
        <v>2019</v>
      </c>
      <c r="C311" s="19">
        <f>'Capital Expenditures'!H$18</f>
        <v>7632</v>
      </c>
      <c r="D311" s="112" t="str">
        <f>IF(ISBLANK('Capital Expenditures'!I$18),"",'Capital Expenditures'!I$18)</f>
        <v/>
      </c>
      <c r="E311" s="19">
        <v>20</v>
      </c>
      <c r="F311" s="19">
        <f t="shared" si="7"/>
        <v>0</v>
      </c>
      <c r="G311" s="119" t="s">
        <v>26</v>
      </c>
    </row>
    <row r="312" spans="1:7" x14ac:dyDescent="0.2">
      <c r="A312" s="19">
        <f t="shared" si="6"/>
        <v>0</v>
      </c>
      <c r="B312" s="19">
        <v>2019</v>
      </c>
      <c r="C312" s="19">
        <f>'Capital Expenditures'!H$19</f>
        <v>7638</v>
      </c>
      <c r="D312" s="591" t="str">
        <f>IF(OR('Capital Expenditures'!I$19=0,ISBLANK('Capital Expenditures'!I$19)),"",'Capital Expenditures'!I$19)</f>
        <v/>
      </c>
      <c r="E312" s="19">
        <v>20</v>
      </c>
      <c r="F312" s="19">
        <f t="shared" si="7"/>
        <v>0</v>
      </c>
      <c r="G312" s="119" t="s">
        <v>26</v>
      </c>
    </row>
    <row r="313" spans="1:7" x14ac:dyDescent="0.2">
      <c r="A313" s="19">
        <f t="shared" si="6"/>
        <v>0</v>
      </c>
      <c r="B313" s="19">
        <v>2019</v>
      </c>
      <c r="C313" s="19">
        <f>'Capital Expenditures'!H$20</f>
        <v>7639</v>
      </c>
      <c r="D313" s="112" t="str">
        <f>IF(ISBLANK('Capital Expenditures'!I$20),"",'Capital Expenditures'!I$20)</f>
        <v/>
      </c>
      <c r="E313" s="19">
        <v>20</v>
      </c>
      <c r="F313" s="19">
        <f t="shared" si="7"/>
        <v>0</v>
      </c>
      <c r="G313" s="119" t="s">
        <v>26</v>
      </c>
    </row>
    <row r="314" spans="1:7" x14ac:dyDescent="0.2">
      <c r="A314" s="19">
        <f t="shared" si="6"/>
        <v>0</v>
      </c>
      <c r="B314" s="19">
        <v>2019</v>
      </c>
      <c r="C314" s="19">
        <f>'Capital Expenditures'!H$21</f>
        <v>7640</v>
      </c>
      <c r="D314" s="112" t="str">
        <f>IF(ISBLANK('Capital Expenditures'!I$21),"",'Capital Expenditures'!I$21)</f>
        <v/>
      </c>
      <c r="E314" s="19">
        <v>20</v>
      </c>
      <c r="F314" s="19">
        <f t="shared" si="7"/>
        <v>0</v>
      </c>
      <c r="G314" s="119" t="s">
        <v>26</v>
      </c>
    </row>
    <row r="315" spans="1:7" x14ac:dyDescent="0.2">
      <c r="A315" s="19">
        <f t="shared" si="6"/>
        <v>0</v>
      </c>
      <c r="B315" s="19">
        <v>2019</v>
      </c>
      <c r="C315" s="19">
        <f>'Capital Expenditures'!H$22</f>
        <v>7641</v>
      </c>
      <c r="D315" s="112" t="str">
        <f>IF(ISBLANK('Capital Expenditures'!I$22),"",'Capital Expenditures'!I$22)</f>
        <v/>
      </c>
      <c r="E315" s="19">
        <v>20</v>
      </c>
      <c r="F315" s="19">
        <f t="shared" si="7"/>
        <v>0</v>
      </c>
      <c r="G315" s="119" t="s">
        <v>26</v>
      </c>
    </row>
    <row r="316" spans="1:7" x14ac:dyDescent="0.2">
      <c r="A316" s="19">
        <f t="shared" si="6"/>
        <v>0</v>
      </c>
      <c r="B316" s="19">
        <v>2019</v>
      </c>
      <c r="C316" s="19">
        <f>'Capital Expenditures'!H$23</f>
        <v>7642</v>
      </c>
      <c r="D316" s="591" t="str">
        <f>IF(OR('Capital Expenditures'!I$23=0,ISBLANK('Capital Expenditures'!I$23)),"",'Capital Expenditures'!I$23)</f>
        <v/>
      </c>
      <c r="E316" s="19">
        <v>20</v>
      </c>
      <c r="F316" s="19">
        <f t="shared" si="7"/>
        <v>0</v>
      </c>
      <c r="G316" s="119" t="s">
        <v>26</v>
      </c>
    </row>
    <row r="317" spans="1:7" x14ac:dyDescent="0.2">
      <c r="A317" s="19">
        <f t="shared" si="6"/>
        <v>0</v>
      </c>
      <c r="B317" s="19">
        <v>2019</v>
      </c>
      <c r="C317" s="19">
        <f>'Capital Expenditures'!K$12</f>
        <v>7643</v>
      </c>
      <c r="D317" s="591" t="str">
        <f>IF(OR('Capital Expenditures'!L$12=0,ISBLANK('Capital Expenditures'!L$12)),"",'Capital Expenditures'!L$12)</f>
        <v/>
      </c>
      <c r="E317" s="19">
        <v>20</v>
      </c>
      <c r="F317" s="19">
        <f t="shared" si="7"/>
        <v>0</v>
      </c>
      <c r="G317" s="119" t="s">
        <v>26</v>
      </c>
    </row>
    <row r="318" spans="1:7" x14ac:dyDescent="0.2">
      <c r="A318" s="19">
        <f t="shared" si="6"/>
        <v>0</v>
      </c>
      <c r="B318" s="19">
        <v>2019</v>
      </c>
      <c r="C318" s="19">
        <f>'Capital Expenditures'!K$13</f>
        <v>7656</v>
      </c>
      <c r="D318" s="591" t="str">
        <f>IF(OR('Capital Expenditures'!L$13=0,ISBLANK('Capital Expenditures'!L$13)),"",'Capital Expenditures'!L$13)</f>
        <v/>
      </c>
      <c r="E318" s="19">
        <v>20</v>
      </c>
      <c r="F318" s="19">
        <f t="shared" si="7"/>
        <v>0</v>
      </c>
      <c r="G318" s="119" t="s">
        <v>26</v>
      </c>
    </row>
    <row r="319" spans="1:7" x14ac:dyDescent="0.2">
      <c r="A319" s="19">
        <f t="shared" si="6"/>
        <v>0</v>
      </c>
      <c r="B319" s="19">
        <v>2019</v>
      </c>
      <c r="C319" s="19">
        <f>'Capital Expenditures'!K$14</f>
        <v>7657</v>
      </c>
      <c r="D319" s="112" t="str">
        <f>IF(ISBLANK('Capital Expenditures'!L$14),"",'Capital Expenditures'!L$14)</f>
        <v/>
      </c>
      <c r="E319" s="19">
        <v>20</v>
      </c>
      <c r="F319" s="19">
        <f t="shared" si="7"/>
        <v>0</v>
      </c>
      <c r="G319" s="119" t="s">
        <v>26</v>
      </c>
    </row>
    <row r="320" spans="1:7" x14ac:dyDescent="0.2">
      <c r="A320" s="19">
        <f t="shared" si="6"/>
        <v>0</v>
      </c>
      <c r="B320" s="19">
        <v>2019</v>
      </c>
      <c r="C320" s="19">
        <f>'Capital Expenditures'!K$15</f>
        <v>7658</v>
      </c>
      <c r="D320" s="112" t="str">
        <f>IF(ISBLANK('Capital Expenditures'!L$15),"",'Capital Expenditures'!L$15)</f>
        <v/>
      </c>
      <c r="E320" s="19">
        <v>20</v>
      </c>
      <c r="F320" s="19">
        <f t="shared" si="7"/>
        <v>0</v>
      </c>
      <c r="G320" s="119" t="s">
        <v>26</v>
      </c>
    </row>
    <row r="321" spans="1:7" x14ac:dyDescent="0.2">
      <c r="A321" s="19">
        <f t="shared" si="6"/>
        <v>0</v>
      </c>
      <c r="B321" s="19">
        <v>2019</v>
      </c>
      <c r="C321" s="19">
        <f>'Capital Expenditures'!K$16</f>
        <v>7659</v>
      </c>
      <c r="D321" s="112" t="str">
        <f>IF(ISBLANK('Capital Expenditures'!L$16),"",'Capital Expenditures'!L$16)</f>
        <v/>
      </c>
      <c r="E321" s="19">
        <v>20</v>
      </c>
      <c r="F321" s="19">
        <f t="shared" si="7"/>
        <v>0</v>
      </c>
      <c r="G321" s="119" t="s">
        <v>26</v>
      </c>
    </row>
    <row r="322" spans="1:7" x14ac:dyDescent="0.2">
      <c r="A322" s="19">
        <f t="shared" si="6"/>
        <v>0</v>
      </c>
      <c r="B322" s="19">
        <v>2019</v>
      </c>
      <c r="C322" s="19">
        <f>'Capital Expenditures'!K$17</f>
        <v>7660</v>
      </c>
      <c r="D322" s="112" t="str">
        <f>IF(ISBLANK('Capital Expenditures'!L$17),"",'Capital Expenditures'!L$17)</f>
        <v/>
      </c>
      <c r="E322" s="19">
        <v>20</v>
      </c>
      <c r="F322" s="19">
        <f t="shared" si="7"/>
        <v>0</v>
      </c>
      <c r="G322" s="119" t="s">
        <v>26</v>
      </c>
    </row>
    <row r="323" spans="1:7" x14ac:dyDescent="0.2">
      <c r="A323" s="19">
        <f t="shared" si="6"/>
        <v>0</v>
      </c>
      <c r="B323" s="19">
        <v>2019</v>
      </c>
      <c r="C323" s="19">
        <f>'Capital Expenditures'!K$18</f>
        <v>7655</v>
      </c>
      <c r="D323" s="112" t="str">
        <f>IF(ISBLANK('Capital Expenditures'!L$18),"",'Capital Expenditures'!L$18)</f>
        <v/>
      </c>
      <c r="E323" s="19">
        <v>20</v>
      </c>
      <c r="F323" s="19">
        <f t="shared" si="7"/>
        <v>0</v>
      </c>
      <c r="G323" s="119" t="s">
        <v>26</v>
      </c>
    </row>
    <row r="324" spans="1:7" x14ac:dyDescent="0.2">
      <c r="A324" s="19">
        <f t="shared" si="6"/>
        <v>0</v>
      </c>
      <c r="B324" s="19">
        <v>2019</v>
      </c>
      <c r="C324" s="19">
        <f>'Capital Expenditures'!K$19</f>
        <v>7661</v>
      </c>
      <c r="D324" s="591" t="str">
        <f>IF(OR('Capital Expenditures'!L$19=0,ISBLANK('Capital Expenditures'!L$19)),"",'Capital Expenditures'!L$19)</f>
        <v/>
      </c>
      <c r="E324" s="19">
        <v>20</v>
      </c>
      <c r="F324" s="19">
        <f t="shared" si="7"/>
        <v>0</v>
      </c>
      <c r="G324" s="119" t="s">
        <v>26</v>
      </c>
    </row>
    <row r="325" spans="1:7" x14ac:dyDescent="0.2">
      <c r="A325" s="19">
        <f t="shared" si="6"/>
        <v>0</v>
      </c>
      <c r="B325" s="19">
        <v>2019</v>
      </c>
      <c r="C325" s="19">
        <f>'Capital Expenditures'!K$20</f>
        <v>7662</v>
      </c>
      <c r="D325" s="112" t="str">
        <f>IF(ISBLANK('Capital Expenditures'!L$20),"",'Capital Expenditures'!L$20)</f>
        <v/>
      </c>
      <c r="E325" s="19">
        <v>20</v>
      </c>
      <c r="F325" s="19">
        <f t="shared" si="7"/>
        <v>0</v>
      </c>
      <c r="G325" s="119" t="s">
        <v>26</v>
      </c>
    </row>
    <row r="326" spans="1:7" x14ac:dyDescent="0.2">
      <c r="A326" s="19">
        <f t="shared" ref="A326:A340" si="8">start</f>
        <v>0</v>
      </c>
      <c r="B326" s="19">
        <v>2019</v>
      </c>
      <c r="C326" s="19">
        <f>'Capital Expenditures'!K$21</f>
        <v>7663</v>
      </c>
      <c r="D326" s="112" t="str">
        <f>IF(ISBLANK('Capital Expenditures'!L$21),"",'Capital Expenditures'!L$21)</f>
        <v/>
      </c>
      <c r="E326" s="19">
        <v>20</v>
      </c>
      <c r="F326" s="19">
        <f t="shared" si="7"/>
        <v>0</v>
      </c>
      <c r="G326" s="119" t="s">
        <v>26</v>
      </c>
    </row>
    <row r="327" spans="1:7" x14ac:dyDescent="0.2">
      <c r="A327" s="19">
        <f t="shared" si="8"/>
        <v>0</v>
      </c>
      <c r="B327" s="19">
        <v>2019</v>
      </c>
      <c r="C327" s="19">
        <f>'Capital Expenditures'!K$22</f>
        <v>7664</v>
      </c>
      <c r="D327" s="112" t="str">
        <f>IF(ISBLANK('Capital Expenditures'!L$22),"",'Capital Expenditures'!L$22)</f>
        <v/>
      </c>
      <c r="E327" s="19">
        <v>20</v>
      </c>
      <c r="F327" s="19">
        <f t="shared" si="7"/>
        <v>0</v>
      </c>
      <c r="G327" s="119" t="s">
        <v>26</v>
      </c>
    </row>
    <row r="328" spans="1:7" x14ac:dyDescent="0.2">
      <c r="A328" s="19">
        <f t="shared" si="8"/>
        <v>0</v>
      </c>
      <c r="B328" s="19">
        <v>2019</v>
      </c>
      <c r="C328" s="19">
        <f>'Capital Expenditures'!K$23</f>
        <v>7665</v>
      </c>
      <c r="D328" s="591" t="str">
        <f>IF(OR('Capital Expenditures'!L$23=0,ISBLANK('Capital Expenditures'!L$23)),"",'Capital Expenditures'!L$23)</f>
        <v/>
      </c>
      <c r="E328" s="19">
        <v>20</v>
      </c>
      <c r="F328" s="19">
        <f t="shared" si="7"/>
        <v>0</v>
      </c>
      <c r="G328" s="119" t="s">
        <v>26</v>
      </c>
    </row>
    <row r="329" spans="1:7" x14ac:dyDescent="0.2">
      <c r="A329" s="19">
        <f t="shared" si="8"/>
        <v>0</v>
      </c>
      <c r="B329" s="19">
        <v>2019</v>
      </c>
      <c r="C329" s="19">
        <f>'Capital Expenditures'!N$12</f>
        <v>7666</v>
      </c>
      <c r="D329" s="591" t="str">
        <f>IF(OR('Capital Expenditures'!O$12=0,ISBLANK('Capital Expenditures'!O$12)),"",'Capital Expenditures'!O$12)</f>
        <v/>
      </c>
      <c r="E329" s="19">
        <v>20</v>
      </c>
      <c r="F329" s="19">
        <f t="shared" si="7"/>
        <v>0</v>
      </c>
      <c r="G329" s="119" t="s">
        <v>26</v>
      </c>
    </row>
    <row r="330" spans="1:7" x14ac:dyDescent="0.2">
      <c r="A330" s="19">
        <f t="shared" si="8"/>
        <v>0</v>
      </c>
      <c r="B330" s="19">
        <v>2019</v>
      </c>
      <c r="C330" s="19">
        <f>'Capital Expenditures'!N$13</f>
        <v>7679</v>
      </c>
      <c r="D330" s="591" t="str">
        <f>IF(OR('Capital Expenditures'!O$13=0,ISBLANK('Capital Expenditures'!O$13)),"",'Capital Expenditures'!O$13)</f>
        <v/>
      </c>
      <c r="E330" s="19">
        <v>20</v>
      </c>
      <c r="F330" s="19">
        <f t="shared" si="7"/>
        <v>0</v>
      </c>
      <c r="G330" s="119" t="s">
        <v>26</v>
      </c>
    </row>
    <row r="331" spans="1:7" x14ac:dyDescent="0.2">
      <c r="A331" s="19">
        <f t="shared" si="8"/>
        <v>0</v>
      </c>
      <c r="B331" s="19">
        <v>2019</v>
      </c>
      <c r="C331" s="19">
        <f>'Capital Expenditures'!N$14</f>
        <v>7680</v>
      </c>
      <c r="D331" s="112">
        <f>IF(ISBLANK('Capital Expenditures'!O$14),"",'Capital Expenditures'!O$14)</f>
        <v>0</v>
      </c>
      <c r="E331" s="19">
        <v>20</v>
      </c>
      <c r="F331" s="19">
        <f t="shared" si="7"/>
        <v>0</v>
      </c>
      <c r="G331" s="119" t="s">
        <v>26</v>
      </c>
    </row>
    <row r="332" spans="1:7" x14ac:dyDescent="0.2">
      <c r="A332" s="19">
        <f t="shared" si="8"/>
        <v>0</v>
      </c>
      <c r="B332" s="19">
        <v>2019</v>
      </c>
      <c r="C332" s="19">
        <f>'Capital Expenditures'!N$15</f>
        <v>7681</v>
      </c>
      <c r="D332" s="112">
        <f>IF(ISBLANK('Capital Expenditures'!O$15),"",'Capital Expenditures'!O$15)</f>
        <v>0</v>
      </c>
      <c r="E332" s="19">
        <v>20</v>
      </c>
      <c r="F332" s="19">
        <f t="shared" si="7"/>
        <v>0</v>
      </c>
      <c r="G332" s="119" t="s">
        <v>26</v>
      </c>
    </row>
    <row r="333" spans="1:7" x14ac:dyDescent="0.2">
      <c r="A333" s="19">
        <f t="shared" si="8"/>
        <v>0</v>
      </c>
      <c r="B333" s="19">
        <v>2019</v>
      </c>
      <c r="C333" s="19">
        <f>'Capital Expenditures'!N$16</f>
        <v>7682</v>
      </c>
      <c r="D333" s="112">
        <f>IF(ISBLANK('Capital Expenditures'!O$16),"",'Capital Expenditures'!O$16)</f>
        <v>0</v>
      </c>
      <c r="E333" s="19">
        <v>20</v>
      </c>
      <c r="F333" s="19">
        <f t="shared" si="7"/>
        <v>0</v>
      </c>
      <c r="G333" s="119" t="s">
        <v>26</v>
      </c>
    </row>
    <row r="334" spans="1:7" x14ac:dyDescent="0.2">
      <c r="A334" s="19">
        <f t="shared" si="8"/>
        <v>0</v>
      </c>
      <c r="B334" s="19">
        <v>2019</v>
      </c>
      <c r="C334" s="19">
        <f>'Capital Expenditures'!N$17</f>
        <v>7683</v>
      </c>
      <c r="D334" s="112">
        <f>IF(ISBLANK('Capital Expenditures'!O$17),"",'Capital Expenditures'!O$17)</f>
        <v>0</v>
      </c>
      <c r="E334" s="19">
        <v>20</v>
      </c>
      <c r="F334" s="19">
        <f t="shared" si="7"/>
        <v>0</v>
      </c>
      <c r="G334" s="119" t="s">
        <v>26</v>
      </c>
    </row>
    <row r="335" spans="1:7" x14ac:dyDescent="0.2">
      <c r="A335" s="19">
        <f t="shared" si="8"/>
        <v>0</v>
      </c>
      <c r="B335" s="19">
        <v>2019</v>
      </c>
      <c r="C335" s="19">
        <f>'Capital Expenditures'!N$18</f>
        <v>7678</v>
      </c>
      <c r="D335" s="112">
        <f>IF(ISBLANK('Capital Expenditures'!O$18),"",'Capital Expenditures'!O$18)</f>
        <v>0</v>
      </c>
      <c r="E335" s="19">
        <v>20</v>
      </c>
      <c r="F335" s="19">
        <f t="shared" si="7"/>
        <v>0</v>
      </c>
      <c r="G335" s="119" t="s">
        <v>26</v>
      </c>
    </row>
    <row r="336" spans="1:7" x14ac:dyDescent="0.2">
      <c r="A336" s="19">
        <f t="shared" si="8"/>
        <v>0</v>
      </c>
      <c r="B336" s="19">
        <v>2019</v>
      </c>
      <c r="C336" s="19">
        <f>'Capital Expenditures'!N$19</f>
        <v>7684</v>
      </c>
      <c r="D336" s="591" t="str">
        <f>IF(OR('Capital Expenditures'!O$19=0,ISBLANK('Capital Expenditures'!O$19)),"",'Capital Expenditures'!O$19)</f>
        <v/>
      </c>
      <c r="E336" s="19">
        <v>20</v>
      </c>
      <c r="F336" s="19">
        <f t="shared" si="7"/>
        <v>0</v>
      </c>
      <c r="G336" s="119" t="s">
        <v>26</v>
      </c>
    </row>
    <row r="337" spans="1:7" x14ac:dyDescent="0.2">
      <c r="A337" s="19">
        <f t="shared" si="8"/>
        <v>0</v>
      </c>
      <c r="B337" s="19">
        <v>2019</v>
      </c>
      <c r="C337" s="19">
        <f>'Capital Expenditures'!N$20</f>
        <v>7685</v>
      </c>
      <c r="D337" s="112">
        <f>IF(ISBLANK('Capital Expenditures'!O$20),"",'Capital Expenditures'!O$20)</f>
        <v>0</v>
      </c>
      <c r="E337" s="19">
        <v>20</v>
      </c>
      <c r="F337" s="19">
        <f t="shared" si="7"/>
        <v>0</v>
      </c>
      <c r="G337" s="119" t="s">
        <v>26</v>
      </c>
    </row>
    <row r="338" spans="1:7" x14ac:dyDescent="0.2">
      <c r="A338" s="19">
        <f t="shared" si="8"/>
        <v>0</v>
      </c>
      <c r="B338" s="19">
        <v>2019</v>
      </c>
      <c r="C338" s="19">
        <f>'Capital Expenditures'!N$21</f>
        <v>7686</v>
      </c>
      <c r="D338" s="112">
        <f>IF(ISBLANK('Capital Expenditures'!O$21),"",'Capital Expenditures'!O$21)</f>
        <v>0</v>
      </c>
      <c r="E338" s="19">
        <v>20</v>
      </c>
      <c r="F338" s="19">
        <f t="shared" si="7"/>
        <v>0</v>
      </c>
      <c r="G338" s="119" t="s">
        <v>26</v>
      </c>
    </row>
    <row r="339" spans="1:7" x14ac:dyDescent="0.2">
      <c r="A339" s="19">
        <f t="shared" si="8"/>
        <v>0</v>
      </c>
      <c r="B339" s="19">
        <v>2019</v>
      </c>
      <c r="C339" s="19">
        <f>'Capital Expenditures'!N$22</f>
        <v>7687</v>
      </c>
      <c r="D339" s="112">
        <f>IF(ISBLANK('Capital Expenditures'!O$22),"",'Capital Expenditures'!O$22)</f>
        <v>0</v>
      </c>
      <c r="E339" s="19">
        <v>20</v>
      </c>
      <c r="F339" s="19">
        <f t="shared" si="7"/>
        <v>0</v>
      </c>
      <c r="G339" s="119" t="s">
        <v>26</v>
      </c>
    </row>
    <row r="340" spans="1:7" x14ac:dyDescent="0.2">
      <c r="A340" s="19">
        <f t="shared" si="8"/>
        <v>0</v>
      </c>
      <c r="B340" s="19">
        <v>2019</v>
      </c>
      <c r="C340" s="19">
        <f>'Capital Expenditures'!N$23</f>
        <v>7688</v>
      </c>
      <c r="D340" s="591" t="str">
        <f>IF(OR('Capital Expenditures'!O$23=0,ISBLANK('Capital Expenditures'!O$23)),"",'Capital Expenditures'!O$23)</f>
        <v/>
      </c>
      <c r="E340" s="19">
        <v>20</v>
      </c>
      <c r="F340" s="19">
        <f t="shared" si="7"/>
        <v>0</v>
      </c>
      <c r="G340" s="119" t="s">
        <v>26</v>
      </c>
    </row>
    <row r="341" spans="1:7" s="113" customFormat="1" x14ac:dyDescent="0.2"/>
  </sheetData>
  <mergeCells count="2">
    <mergeCell ref="H1:I1"/>
    <mergeCell ref="P9:R10"/>
  </mergeCells>
  <phoneticPr fontId="6" type="noConversion"/>
  <pageMargins left="0.75" right="0.75" top="1" bottom="1" header="0.5" footer="0.5"/>
  <pageSetup scale="16"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6"/>
    <pageSetUpPr fitToPage="1"/>
  </sheetPr>
  <dimension ref="A1:U33"/>
  <sheetViews>
    <sheetView tabSelected="1" zoomScaleNormal="100" workbookViewId="0">
      <selection sqref="A1:K1"/>
    </sheetView>
  </sheetViews>
  <sheetFormatPr defaultRowHeight="15.75" x14ac:dyDescent="0.2"/>
  <cols>
    <col min="1" max="1" width="9.140625" style="136"/>
    <col min="2" max="16384" width="9.140625" style="121"/>
  </cols>
  <sheetData>
    <row r="1" spans="1:21" ht="25.5" customHeight="1" x14ac:dyDescent="0.35">
      <c r="A1" s="641" t="s">
        <v>39</v>
      </c>
      <c r="B1" s="642"/>
      <c r="C1" s="642"/>
      <c r="D1" s="642"/>
      <c r="E1" s="642"/>
      <c r="F1" s="642"/>
      <c r="G1" s="642"/>
      <c r="H1" s="642"/>
      <c r="I1" s="642"/>
      <c r="J1" s="642"/>
      <c r="K1" s="642"/>
    </row>
    <row r="2" spans="1:21" ht="25.5" customHeight="1" x14ac:dyDescent="0.2">
      <c r="A2" s="641" t="str">
        <f>CONCATENATE("Utilization Data ",'Demog Contact'!N1)</f>
        <v>Utilization Data 2019</v>
      </c>
      <c r="B2" s="643"/>
      <c r="C2" s="643"/>
      <c r="D2" s="643"/>
      <c r="E2" s="643"/>
      <c r="F2" s="643"/>
      <c r="G2" s="643"/>
      <c r="H2" s="643"/>
      <c r="I2" s="643"/>
      <c r="J2" s="643"/>
      <c r="K2" s="643"/>
    </row>
    <row r="3" spans="1:21" ht="67.5" customHeight="1" x14ac:dyDescent="0.2">
      <c r="A3" s="122">
        <v>1</v>
      </c>
      <c r="B3" s="644" t="s">
        <v>1985</v>
      </c>
      <c r="C3" s="644"/>
      <c r="D3" s="644"/>
      <c r="E3" s="644"/>
      <c r="F3" s="644"/>
      <c r="G3" s="644"/>
      <c r="H3" s="644"/>
      <c r="I3" s="644"/>
      <c r="J3" s="644"/>
      <c r="K3" s="644"/>
      <c r="L3" s="651"/>
      <c r="M3" s="651"/>
      <c r="N3" s="651"/>
      <c r="O3" s="651"/>
      <c r="P3" s="651"/>
      <c r="Q3" s="651"/>
      <c r="R3" s="651"/>
      <c r="S3" s="651"/>
      <c r="T3" s="651"/>
      <c r="U3" s="651"/>
    </row>
    <row r="4" spans="1:21" ht="15" customHeight="1" x14ac:dyDescent="0.2">
      <c r="A4" s="123"/>
      <c r="B4" s="647" t="s">
        <v>236</v>
      </c>
      <c r="C4" s="656"/>
      <c r="D4" s="656"/>
      <c r="E4" s="124"/>
      <c r="F4" s="124"/>
      <c r="G4" s="124"/>
      <c r="H4" s="124"/>
      <c r="I4" s="124"/>
      <c r="J4" s="124"/>
      <c r="K4" s="124"/>
      <c r="L4" s="125"/>
      <c r="M4" s="125"/>
      <c r="N4" s="125"/>
      <c r="O4" s="125"/>
      <c r="P4" s="125"/>
      <c r="Q4" s="125"/>
      <c r="R4" s="125"/>
      <c r="S4" s="125"/>
      <c r="T4" s="125"/>
      <c r="U4" s="125"/>
    </row>
    <row r="5" spans="1:21" x14ac:dyDescent="0.2">
      <c r="A5" s="126"/>
      <c r="B5" s="127"/>
      <c r="C5" s="127"/>
      <c r="D5" s="127"/>
      <c r="E5" s="127"/>
      <c r="F5" s="127"/>
      <c r="G5" s="127"/>
      <c r="H5" s="127"/>
      <c r="I5" s="127"/>
      <c r="J5" s="127"/>
      <c r="K5" s="127"/>
    </row>
    <row r="6" spans="1:21" ht="84.6" customHeight="1" x14ac:dyDescent="0.2">
      <c r="A6" s="122">
        <v>2</v>
      </c>
      <c r="B6" s="644" t="s">
        <v>198</v>
      </c>
      <c r="C6" s="644"/>
      <c r="D6" s="644"/>
      <c r="E6" s="644"/>
      <c r="F6" s="644"/>
      <c r="G6" s="644"/>
      <c r="H6" s="644"/>
      <c r="I6" s="644"/>
      <c r="J6" s="644"/>
      <c r="K6" s="644"/>
    </row>
    <row r="7" spans="1:21" ht="15.75" customHeight="1" x14ac:dyDescent="0.2">
      <c r="A7" s="126"/>
      <c r="B7" s="645" t="s">
        <v>237</v>
      </c>
      <c r="C7" s="646"/>
      <c r="D7" s="646"/>
      <c r="E7" s="657"/>
      <c r="F7" s="128"/>
      <c r="G7" s="128"/>
      <c r="H7" s="128"/>
      <c r="I7" s="128"/>
      <c r="J7" s="128"/>
      <c r="K7" s="128"/>
    </row>
    <row r="8" spans="1:21" ht="15" customHeight="1" x14ac:dyDescent="0.2">
      <c r="A8" s="126"/>
      <c r="B8" s="128"/>
      <c r="C8" s="129"/>
      <c r="D8" s="129"/>
      <c r="E8" s="129"/>
      <c r="F8" s="129"/>
      <c r="G8" s="129"/>
      <c r="H8" s="129"/>
      <c r="I8" s="129"/>
      <c r="J8" s="129"/>
      <c r="K8" s="129"/>
    </row>
    <row r="9" spans="1:21" ht="53.45" customHeight="1" x14ac:dyDescent="0.2">
      <c r="A9" s="122">
        <v>3</v>
      </c>
      <c r="B9" s="644" t="s">
        <v>200</v>
      </c>
      <c r="C9" s="644"/>
      <c r="D9" s="644"/>
      <c r="E9" s="644"/>
      <c r="F9" s="644"/>
      <c r="G9" s="644"/>
      <c r="H9" s="644"/>
      <c r="I9" s="644"/>
      <c r="J9" s="644"/>
      <c r="K9" s="644"/>
    </row>
    <row r="10" spans="1:21" ht="15" customHeight="1" x14ac:dyDescent="0.2">
      <c r="A10" s="122"/>
      <c r="B10" s="645" t="s">
        <v>199</v>
      </c>
      <c r="C10" s="646"/>
      <c r="D10" s="646"/>
      <c r="E10" s="646"/>
      <c r="F10" s="128"/>
      <c r="G10" s="128"/>
      <c r="H10" s="128"/>
      <c r="I10" s="128"/>
      <c r="J10" s="128"/>
      <c r="K10" s="128"/>
    </row>
    <row r="11" spans="1:21" ht="15" customHeight="1" x14ac:dyDescent="0.2">
      <c r="A11" s="130"/>
      <c r="B11" s="131"/>
      <c r="C11" s="131"/>
      <c r="D11" s="131"/>
      <c r="E11" s="131"/>
      <c r="F11" s="131"/>
      <c r="G11" s="131"/>
      <c r="H11" s="131"/>
      <c r="I11" s="131"/>
      <c r="J11" s="131"/>
      <c r="K11" s="131"/>
    </row>
    <row r="12" spans="1:21" ht="68.45" customHeight="1" x14ac:dyDescent="0.2">
      <c r="A12" s="130">
        <v>4</v>
      </c>
      <c r="B12" s="648" t="s">
        <v>666</v>
      </c>
      <c r="C12" s="649"/>
      <c r="D12" s="649"/>
      <c r="E12" s="649"/>
      <c r="F12" s="649"/>
      <c r="G12" s="649"/>
      <c r="H12" s="649"/>
      <c r="I12" s="649"/>
      <c r="J12" s="649"/>
      <c r="K12" s="649"/>
    </row>
    <row r="13" spans="1:21" ht="15" customHeight="1" x14ac:dyDescent="0.2">
      <c r="A13" s="130"/>
      <c r="B13" s="650" t="s">
        <v>479</v>
      </c>
      <c r="C13" s="650"/>
      <c r="D13" s="650"/>
      <c r="E13" s="650"/>
      <c r="F13" s="650"/>
      <c r="G13" s="132"/>
      <c r="H13" s="132"/>
      <c r="I13" s="132"/>
      <c r="J13" s="132"/>
      <c r="K13" s="132"/>
    </row>
    <row r="14" spans="1:21" x14ac:dyDescent="0.2">
      <c r="A14" s="133"/>
      <c r="B14" s="134"/>
      <c r="C14" s="134"/>
      <c r="D14" s="134"/>
      <c r="E14" s="134"/>
      <c r="F14" s="134"/>
      <c r="G14" s="134"/>
      <c r="H14" s="134"/>
      <c r="I14" s="134"/>
      <c r="J14" s="134"/>
      <c r="K14" s="134"/>
    </row>
    <row r="15" spans="1:21" ht="15" customHeight="1" x14ac:dyDescent="0.2">
      <c r="A15" s="122">
        <v>5</v>
      </c>
      <c r="B15" s="654" t="s">
        <v>667</v>
      </c>
      <c r="C15" s="654"/>
      <c r="D15" s="654"/>
      <c r="E15" s="654"/>
      <c r="F15" s="654"/>
      <c r="G15" s="654"/>
      <c r="H15" s="654"/>
      <c r="I15" s="654"/>
      <c r="J15" s="654"/>
      <c r="K15" s="654"/>
    </row>
    <row r="16" spans="1:21" x14ac:dyDescent="0.2">
      <c r="A16" s="126"/>
      <c r="B16" s="127"/>
      <c r="C16" s="127"/>
      <c r="D16" s="127"/>
      <c r="E16" s="127"/>
      <c r="F16" s="127"/>
      <c r="G16" s="127"/>
      <c r="H16" s="127"/>
      <c r="I16" s="127"/>
      <c r="J16" s="127"/>
      <c r="K16" s="127"/>
    </row>
    <row r="17" spans="1:11" ht="27" customHeight="1" x14ac:dyDescent="0.2">
      <c r="A17" s="122">
        <v>6</v>
      </c>
      <c r="B17" s="654" t="s">
        <v>89</v>
      </c>
      <c r="C17" s="654"/>
      <c r="D17" s="654"/>
      <c r="E17" s="654"/>
      <c r="F17" s="654"/>
      <c r="G17" s="654"/>
      <c r="H17" s="654"/>
      <c r="I17" s="654"/>
      <c r="J17" s="654"/>
      <c r="K17" s="654"/>
    </row>
    <row r="18" spans="1:11" x14ac:dyDescent="0.2">
      <c r="A18" s="126"/>
      <c r="B18" s="127"/>
      <c r="C18" s="127"/>
      <c r="D18" s="127"/>
      <c r="E18" s="127"/>
      <c r="F18" s="127"/>
      <c r="G18" s="127"/>
      <c r="H18" s="127"/>
      <c r="I18" s="127"/>
      <c r="J18" s="127"/>
      <c r="K18" s="127"/>
    </row>
    <row r="19" spans="1:11" ht="52.5" customHeight="1" x14ac:dyDescent="0.2">
      <c r="A19" s="122">
        <v>7</v>
      </c>
      <c r="B19" s="644" t="s">
        <v>239</v>
      </c>
      <c r="C19" s="644"/>
      <c r="D19" s="644"/>
      <c r="E19" s="644"/>
      <c r="F19" s="644"/>
      <c r="G19" s="644"/>
      <c r="H19" s="644"/>
      <c r="I19" s="644"/>
      <c r="J19" s="644"/>
      <c r="K19" s="644"/>
    </row>
    <row r="20" spans="1:11" ht="15" customHeight="1" x14ac:dyDescent="0.2">
      <c r="A20" s="122"/>
      <c r="B20" s="647" t="s">
        <v>238</v>
      </c>
      <c r="C20" s="647"/>
      <c r="D20" s="647"/>
      <c r="E20" s="647"/>
      <c r="F20" s="135"/>
      <c r="G20" s="135"/>
      <c r="H20" s="135"/>
      <c r="I20" s="135"/>
      <c r="J20" s="135"/>
      <c r="K20" s="135"/>
    </row>
    <row r="21" spans="1:11" ht="15" customHeight="1" x14ac:dyDescent="0.2">
      <c r="A21" s="126"/>
      <c r="B21" s="127"/>
      <c r="C21" s="127"/>
      <c r="D21" s="127"/>
      <c r="E21" s="127"/>
      <c r="F21" s="127"/>
      <c r="G21" s="127"/>
      <c r="H21" s="127"/>
      <c r="I21" s="127"/>
      <c r="J21" s="127"/>
      <c r="K21" s="127"/>
    </row>
    <row r="22" spans="1:11" ht="30" customHeight="1" x14ac:dyDescent="0.2">
      <c r="A22" s="122">
        <v>8</v>
      </c>
      <c r="B22" s="655" t="s">
        <v>60</v>
      </c>
      <c r="C22" s="654"/>
      <c r="D22" s="654"/>
      <c r="E22" s="654"/>
      <c r="F22" s="654"/>
      <c r="G22" s="654"/>
      <c r="H22" s="654"/>
      <c r="I22" s="654"/>
      <c r="J22" s="654"/>
      <c r="K22" s="654"/>
    </row>
    <row r="23" spans="1:11" x14ac:dyDescent="0.2">
      <c r="A23" s="126"/>
      <c r="B23" s="127"/>
      <c r="C23" s="127"/>
      <c r="D23" s="127"/>
      <c r="E23" s="127"/>
      <c r="F23" s="127"/>
      <c r="G23" s="127"/>
      <c r="H23" s="127"/>
      <c r="I23" s="127"/>
      <c r="J23" s="127"/>
      <c r="K23" s="127"/>
    </row>
    <row r="24" spans="1:11" x14ac:dyDescent="0.2">
      <c r="A24" s="126"/>
      <c r="B24" s="127"/>
      <c r="C24" s="127"/>
      <c r="D24" s="127"/>
      <c r="E24" s="127"/>
      <c r="F24" s="127"/>
      <c r="G24" s="127"/>
      <c r="H24" s="127"/>
      <c r="I24" s="127"/>
      <c r="J24" s="127"/>
      <c r="K24" s="127"/>
    </row>
    <row r="25" spans="1:11" x14ac:dyDescent="0.2">
      <c r="A25" s="126"/>
      <c r="B25" s="127"/>
      <c r="C25" s="127"/>
      <c r="D25" s="127"/>
      <c r="E25" s="652" t="s">
        <v>61</v>
      </c>
      <c r="F25" s="653"/>
      <c r="G25" s="127"/>
      <c r="H25" s="127"/>
      <c r="I25" s="127"/>
      <c r="J25" s="127"/>
      <c r="K25" s="127"/>
    </row>
    <row r="26" spans="1:11" x14ac:dyDescent="0.2">
      <c r="A26" s="126"/>
      <c r="B26" s="127"/>
      <c r="C26" s="127"/>
      <c r="D26" s="127"/>
      <c r="E26" s="127"/>
      <c r="F26" s="127"/>
      <c r="G26" s="127"/>
      <c r="H26" s="127"/>
      <c r="I26" s="127"/>
      <c r="J26" s="127"/>
      <c r="K26" s="127"/>
    </row>
    <row r="27" spans="1:11" x14ac:dyDescent="0.2">
      <c r="A27" s="126"/>
      <c r="B27" s="127"/>
      <c r="C27" s="127"/>
      <c r="D27" s="127"/>
      <c r="E27" s="127"/>
      <c r="F27" s="127"/>
      <c r="G27" s="127"/>
      <c r="H27" s="127"/>
      <c r="I27" s="127"/>
      <c r="J27" s="127"/>
      <c r="K27" s="127"/>
    </row>
    <row r="28" spans="1:11" x14ac:dyDescent="0.2">
      <c r="A28" s="126"/>
      <c r="B28" s="127"/>
      <c r="C28" s="127"/>
      <c r="D28" s="127"/>
      <c r="E28" s="127"/>
      <c r="F28" s="127"/>
      <c r="G28" s="127"/>
      <c r="H28" s="127"/>
      <c r="I28" s="127"/>
      <c r="J28" s="127"/>
      <c r="K28" s="127"/>
    </row>
    <row r="29" spans="1:11" x14ac:dyDescent="0.2">
      <c r="A29" s="126"/>
      <c r="B29" s="127"/>
      <c r="C29" s="127"/>
      <c r="D29" s="127"/>
      <c r="E29" s="127"/>
      <c r="F29" s="127"/>
      <c r="G29" s="127"/>
      <c r="H29" s="127"/>
      <c r="I29" s="127"/>
      <c r="J29" s="127"/>
      <c r="K29" s="127"/>
    </row>
    <row r="30" spans="1:11" x14ac:dyDescent="0.2">
      <c r="A30" s="126"/>
      <c r="B30" s="127"/>
      <c r="C30" s="127"/>
      <c r="D30" s="127"/>
      <c r="E30" s="127"/>
      <c r="F30" s="127"/>
      <c r="G30" s="127"/>
      <c r="H30" s="127"/>
      <c r="I30" s="127"/>
      <c r="J30" s="127"/>
      <c r="K30" s="127"/>
    </row>
    <row r="31" spans="1:11" x14ac:dyDescent="0.2">
      <c r="A31" s="126"/>
      <c r="B31" s="127"/>
      <c r="C31" s="127"/>
      <c r="D31" s="127"/>
      <c r="E31" s="127"/>
      <c r="F31" s="127"/>
      <c r="G31" s="127"/>
      <c r="H31" s="127"/>
      <c r="I31" s="127"/>
      <c r="J31" s="127"/>
      <c r="K31" s="127"/>
    </row>
    <row r="32" spans="1:11" x14ac:dyDescent="0.2">
      <c r="A32" s="126"/>
      <c r="B32" s="127"/>
      <c r="C32" s="127"/>
      <c r="D32" s="127"/>
      <c r="E32" s="127"/>
      <c r="F32" s="127"/>
      <c r="G32" s="127"/>
      <c r="H32" s="127"/>
      <c r="I32" s="127"/>
      <c r="J32" s="127"/>
      <c r="K32" s="127"/>
    </row>
    <row r="33" spans="1:11" x14ac:dyDescent="0.2">
      <c r="A33" s="126"/>
      <c r="B33" s="127"/>
      <c r="C33" s="127"/>
      <c r="D33" s="127"/>
      <c r="E33" s="127"/>
      <c r="F33" s="127"/>
      <c r="G33" s="127"/>
      <c r="H33" s="127"/>
      <c r="I33" s="127"/>
      <c r="J33" s="127"/>
      <c r="K33" s="127"/>
    </row>
  </sheetData>
  <sheetProtection sheet="1"/>
  <mergeCells count="17">
    <mergeCell ref="B20:E20"/>
    <mergeCell ref="B12:K12"/>
    <mergeCell ref="B13:F13"/>
    <mergeCell ref="L3:U3"/>
    <mergeCell ref="E25:F25"/>
    <mergeCell ref="B15:K15"/>
    <mergeCell ref="B17:K17"/>
    <mergeCell ref="B19:K19"/>
    <mergeCell ref="B22:K22"/>
    <mergeCell ref="B9:K9"/>
    <mergeCell ref="B4:D4"/>
    <mergeCell ref="B7:E7"/>
    <mergeCell ref="A1:K1"/>
    <mergeCell ref="A2:K2"/>
    <mergeCell ref="B3:K3"/>
    <mergeCell ref="B6:K6"/>
    <mergeCell ref="B10:E10"/>
  </mergeCells>
  <phoneticPr fontId="0" type="noConversion"/>
  <hyperlinks>
    <hyperlink ref="E25" location="start" display="start"/>
    <hyperlink ref="B4" r:id="rId1"/>
    <hyperlink ref="B7:D7" r:id="rId2" display="Minnesota Statutes, section 144.565"/>
    <hyperlink ref="B10:E10" r:id="rId3" display="Minnesota Statutes, section 62J.17"/>
    <hyperlink ref="B20:E20" location="def_prov_di" display="Definition: Diagnostic Imaging Facility"/>
    <hyperlink ref="B13:D13" r:id="rId4" location="stat.144.1225" display="Minnesota Statutes, section 144.1225"/>
  </hyperlinks>
  <pageMargins left="0.75" right="0.75" top="1" bottom="1" header="0.5" footer="0.5"/>
  <pageSetup scale="86" orientation="portrait" r:id="rId5"/>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AE74"/>
  <sheetViews>
    <sheetView showGridLines="0" zoomScaleNormal="100" zoomScaleSheetLayoutView="50" workbookViewId="0">
      <selection activeCell="D5" sqref="D5"/>
    </sheetView>
  </sheetViews>
  <sheetFormatPr defaultRowHeight="12.75" x14ac:dyDescent="0.2"/>
  <cols>
    <col min="1" max="13" width="9.140625" style="137"/>
    <col min="14" max="14" width="10.42578125" style="137" customWidth="1"/>
    <col min="15" max="15" width="9.140625" style="137" customWidth="1"/>
    <col min="16" max="23" width="9.140625" style="137" hidden="1" customWidth="1"/>
    <col min="24" max="16384" width="9.140625" style="137"/>
  </cols>
  <sheetData>
    <row r="1" spans="1:23" ht="24.75" customHeight="1" x14ac:dyDescent="0.4">
      <c r="A1" s="723" t="s">
        <v>39</v>
      </c>
      <c r="B1" s="724"/>
      <c r="C1" s="724"/>
      <c r="D1" s="724"/>
      <c r="E1" s="724"/>
      <c r="F1" s="724"/>
      <c r="G1" s="724"/>
      <c r="H1" s="724"/>
      <c r="I1" s="724"/>
      <c r="J1" s="724"/>
      <c r="K1" s="724"/>
      <c r="N1" s="138">
        <v>2019</v>
      </c>
      <c r="R1" s="139" t="s">
        <v>369</v>
      </c>
      <c r="S1" s="139"/>
      <c r="T1" s="139"/>
      <c r="U1" s="139"/>
      <c r="V1" s="139"/>
      <c r="W1" s="139"/>
    </row>
    <row r="2" spans="1:23" ht="19.5" customHeight="1" thickBot="1" x14ac:dyDescent="0.4">
      <c r="A2" s="725" t="str">
        <f>CONCATENATE("Utilization Data ",N1)</f>
        <v>Utilization Data 2019</v>
      </c>
      <c r="B2" s="726"/>
      <c r="C2" s="726"/>
      <c r="D2" s="726"/>
      <c r="E2" s="726"/>
      <c r="F2" s="726"/>
      <c r="G2" s="726"/>
      <c r="H2" s="726"/>
      <c r="I2" s="726"/>
      <c r="J2" s="726"/>
      <c r="K2" s="726"/>
      <c r="R2" s="139"/>
      <c r="S2" s="139"/>
      <c r="T2" s="139"/>
      <c r="U2" s="140"/>
      <c r="V2" s="140"/>
      <c r="W2" s="140"/>
    </row>
    <row r="3" spans="1:23" ht="30" customHeight="1" x14ac:dyDescent="0.2">
      <c r="A3" s="727" t="s">
        <v>2132</v>
      </c>
      <c r="B3" s="728"/>
      <c r="C3" s="728"/>
      <c r="D3" s="728"/>
      <c r="E3" s="728"/>
      <c r="F3" s="728"/>
      <c r="G3" s="728"/>
      <c r="H3" s="728"/>
      <c r="I3" s="728"/>
      <c r="J3" s="728"/>
      <c r="K3" s="729"/>
      <c r="R3" s="141"/>
      <c r="S3" s="141"/>
      <c r="T3" s="141"/>
      <c r="U3" s="140"/>
      <c r="V3" s="140"/>
      <c r="W3" s="140"/>
    </row>
    <row r="4" spans="1:23" ht="30" customHeight="1" x14ac:dyDescent="0.2">
      <c r="A4" s="733" t="s">
        <v>32</v>
      </c>
      <c r="B4" s="734"/>
      <c r="C4" s="734"/>
      <c r="D4" s="734"/>
      <c r="E4" s="734"/>
      <c r="F4" s="734"/>
      <c r="G4" s="734"/>
      <c r="H4" s="734"/>
      <c r="I4" s="734"/>
      <c r="J4" s="734"/>
      <c r="K4" s="735"/>
      <c r="R4" s="141"/>
      <c r="S4" s="141"/>
      <c r="T4" s="141"/>
      <c r="U4" s="140"/>
      <c r="V4" s="140"/>
      <c r="W4" s="140"/>
    </row>
    <row r="5" spans="1:23" ht="36.75" customHeight="1" x14ac:dyDescent="0.2">
      <c r="A5" s="736" t="s">
        <v>668</v>
      </c>
      <c r="B5" s="737"/>
      <c r="C5" s="737"/>
      <c r="D5" s="142"/>
      <c r="E5" s="738" t="str">
        <f>IF(ISBLANK(D5),"This is the unique ID assigned to your facility for the HCCIS data collection.  Please click on the HCCIS ID link, select your ID from the list, and enter it here.","Please verify the information that we have on file for your facility.")</f>
        <v>This is the unique ID assigned to your facility for the HCCIS data collection.  Please click on the HCCIS ID link, select your ID from the list, and enter it here.</v>
      </c>
      <c r="F5" s="739"/>
      <c r="G5" s="739"/>
      <c r="H5" s="739"/>
      <c r="I5" s="739"/>
      <c r="J5" s="739"/>
      <c r="K5" s="740"/>
      <c r="R5" s="141"/>
      <c r="S5" s="141"/>
      <c r="T5" s="141"/>
      <c r="U5" s="140"/>
      <c r="V5" s="140"/>
      <c r="W5" s="140"/>
    </row>
    <row r="6" spans="1:23" ht="30" customHeight="1" x14ac:dyDescent="0.2">
      <c r="A6" s="730" t="s">
        <v>209</v>
      </c>
      <c r="B6" s="731"/>
      <c r="C6" s="732"/>
      <c r="D6" s="711" t="e">
        <f>VLOOKUP($D$5,ID_list,2,FALSE)</f>
        <v>#N/A</v>
      </c>
      <c r="E6" s="711"/>
      <c r="F6" s="711"/>
      <c r="G6" s="711"/>
      <c r="H6" s="143" t="s">
        <v>87</v>
      </c>
      <c r="I6" s="751" t="e">
        <f>VLOOKUP($D$5,ID_list,91,FALSE)</f>
        <v>#N/A</v>
      </c>
      <c r="J6" s="751"/>
      <c r="K6" s="752"/>
      <c r="L6" s="753" t="e">
        <f>IF(I6=0,"Please enter the NPI assigned by CMS for the Reporting Entity."," ")</f>
        <v>#N/A</v>
      </c>
      <c r="M6" s="754"/>
      <c r="N6" s="754"/>
      <c r="O6" s="755"/>
      <c r="R6" s="144"/>
      <c r="S6" s="145"/>
      <c r="T6" s="144"/>
      <c r="U6" s="140"/>
      <c r="V6" s="144"/>
      <c r="W6" s="140"/>
    </row>
    <row r="7" spans="1:23" ht="30" customHeight="1" x14ac:dyDescent="0.2">
      <c r="A7" s="718"/>
      <c r="B7" s="659" t="s">
        <v>127</v>
      </c>
      <c r="C7" s="719"/>
      <c r="D7" s="720" t="e">
        <f>CONCATENATE(VLOOKUP($D$5,ID_list,4,FALSE)," ",VLOOKUP($D$5,ID_list,5,FALSE))</f>
        <v>#N/A</v>
      </c>
      <c r="E7" s="720"/>
      <c r="F7" s="720"/>
      <c r="G7" s="720"/>
      <c r="H7" s="741" t="e">
        <f>CONCATENATE(VLOOKUP($D$5,ID_list,10,FALSE)," ",VLOOKUP($D$5,ID_list,11,FALSE))</f>
        <v>#N/A</v>
      </c>
      <c r="I7" s="742"/>
      <c r="J7" s="743"/>
      <c r="K7" s="744" t="s">
        <v>35</v>
      </c>
      <c r="L7" s="766" t="s">
        <v>126</v>
      </c>
      <c r="M7" s="767"/>
      <c r="N7" s="768"/>
      <c r="R7" s="146" t="s">
        <v>305</v>
      </c>
      <c r="S7" s="147" t="e">
        <f>VLOOKUP($D$5,ID_list,92,FALSE)</f>
        <v>#N/A</v>
      </c>
      <c r="T7" s="144"/>
      <c r="U7" s="148"/>
      <c r="V7" s="144"/>
      <c r="W7" s="140"/>
    </row>
    <row r="8" spans="1:23" ht="30" customHeight="1" x14ac:dyDescent="0.2">
      <c r="A8" s="718"/>
      <c r="B8" s="659" t="s">
        <v>128</v>
      </c>
      <c r="C8" s="719"/>
      <c r="D8" s="720" t="e">
        <f>VLOOKUP($D$5,ID_list,3,FALSE)</f>
        <v>#N/A</v>
      </c>
      <c r="E8" s="720"/>
      <c r="F8" s="720"/>
      <c r="G8" s="720"/>
      <c r="H8" s="741" t="e">
        <f>VLOOKUP($D$5,ID_list,12,FALSE)</f>
        <v>#N/A</v>
      </c>
      <c r="I8" s="742"/>
      <c r="J8" s="743"/>
      <c r="K8" s="744"/>
      <c r="L8" s="769"/>
      <c r="M8" s="770"/>
      <c r="N8" s="771"/>
      <c r="R8" s="144"/>
      <c r="S8" s="139"/>
      <c r="T8" s="144"/>
      <c r="U8" s="140"/>
      <c r="V8" s="144"/>
      <c r="W8" s="140"/>
    </row>
    <row r="9" spans="1:23" ht="30" customHeight="1" x14ac:dyDescent="0.2">
      <c r="A9" s="718"/>
      <c r="B9" s="659" t="s">
        <v>135</v>
      </c>
      <c r="C9" s="719"/>
      <c r="D9" s="720" t="e">
        <f>VLOOKUP($D$5,ID_list,6,FALSE)</f>
        <v>#N/A</v>
      </c>
      <c r="E9" s="720"/>
      <c r="F9" s="720"/>
      <c r="G9" s="720"/>
      <c r="H9" s="741" t="e">
        <f>VLOOKUP($D$5,ID_list,13,FALSE)</f>
        <v>#N/A</v>
      </c>
      <c r="I9" s="742"/>
      <c r="J9" s="743"/>
      <c r="K9" s="744"/>
      <c r="L9" s="769"/>
      <c r="M9" s="770"/>
      <c r="N9" s="771"/>
      <c r="R9" s="144"/>
      <c r="S9" s="145"/>
      <c r="T9" s="144"/>
      <c r="U9" s="140"/>
      <c r="V9" s="149"/>
      <c r="W9" s="140"/>
    </row>
    <row r="10" spans="1:23" ht="30" customHeight="1" x14ac:dyDescent="0.2">
      <c r="A10" s="718"/>
      <c r="B10" s="659" t="s">
        <v>136</v>
      </c>
      <c r="C10" s="719"/>
      <c r="D10" s="763" t="e">
        <f>VLOOKUP($D$5,ID_list,7,FALSE)</f>
        <v>#N/A</v>
      </c>
      <c r="E10" s="764"/>
      <c r="F10" s="764"/>
      <c r="G10" s="765"/>
      <c r="H10" s="741" t="e">
        <f>VLOOKUP($D$5,ID_list,14,FALSE)</f>
        <v>#N/A</v>
      </c>
      <c r="I10" s="742"/>
      <c r="J10" s="743"/>
      <c r="K10" s="744"/>
      <c r="L10" s="769"/>
      <c r="M10" s="770"/>
      <c r="N10" s="771"/>
      <c r="R10" s="144"/>
      <c r="S10" s="145"/>
      <c r="T10" s="144"/>
      <c r="U10" s="140"/>
      <c r="V10" s="140"/>
      <c r="W10" s="140"/>
    </row>
    <row r="11" spans="1:23" ht="30" customHeight="1" x14ac:dyDescent="0.2">
      <c r="A11" s="718"/>
      <c r="B11" s="659" t="s">
        <v>129</v>
      </c>
      <c r="C11" s="719"/>
      <c r="D11" s="720" t="e">
        <f>CONCATENATE(VLOOKUP($D$5,ID_list,8,FALSE),"-",VLOOKUP($D$5,ID_list,9,FALSE))</f>
        <v>#N/A</v>
      </c>
      <c r="E11" s="720"/>
      <c r="F11" s="720"/>
      <c r="G11" s="720"/>
      <c r="H11" s="741" t="e">
        <f>CONCATENATE(VLOOKUP($D$5,ID_list,15,FALSE),"-",VLOOKUP($D$5,ID_list,16,FALSE))</f>
        <v>#N/A</v>
      </c>
      <c r="I11" s="742"/>
      <c r="J11" s="743"/>
      <c r="K11" s="744"/>
      <c r="L11" s="772"/>
      <c r="M11" s="772"/>
      <c r="N11" s="773"/>
      <c r="R11" s="144"/>
      <c r="S11" s="141"/>
      <c r="T11" s="144"/>
      <c r="U11" s="140"/>
      <c r="V11" s="140"/>
      <c r="W11" s="140"/>
    </row>
    <row r="12" spans="1:23" ht="30" customHeight="1" x14ac:dyDescent="0.2">
      <c r="A12" s="658" t="s">
        <v>130</v>
      </c>
      <c r="B12" s="692"/>
      <c r="C12" s="692"/>
      <c r="D12" s="697" t="e">
        <f>VLOOKUP($D$5,ID_list,17,FALSE)</f>
        <v>#N/A</v>
      </c>
      <c r="E12" s="697"/>
      <c r="F12" s="697"/>
      <c r="G12" s="697"/>
      <c r="H12" s="748" t="s">
        <v>59</v>
      </c>
      <c r="I12" s="749"/>
      <c r="J12" s="749"/>
      <c r="K12" s="750"/>
      <c r="L12" s="150"/>
      <c r="M12" s="150"/>
      <c r="N12" s="151"/>
      <c r="O12" s="150"/>
      <c r="R12" s="144"/>
      <c r="S12" s="141"/>
      <c r="T12" s="144"/>
      <c r="U12" s="140"/>
      <c r="V12" s="144"/>
      <c r="W12" s="140"/>
    </row>
    <row r="13" spans="1:23" ht="30" customHeight="1" x14ac:dyDescent="0.2">
      <c r="A13" s="658" t="s">
        <v>137</v>
      </c>
      <c r="B13" s="692"/>
      <c r="C13" s="692"/>
      <c r="D13" s="696" t="e">
        <f>VLOOKUP($D$5,ID_list,18,FALSE)</f>
        <v>#N/A</v>
      </c>
      <c r="E13" s="696"/>
      <c r="F13" s="696"/>
      <c r="G13" s="696"/>
      <c r="H13" s="776" t="str">
        <f>CONCATENATE(N1," Fiscal Year End Date")</f>
        <v>2019 Fiscal Year End Date</v>
      </c>
      <c r="I13" s="776"/>
      <c r="J13" s="706" t="e">
        <f>VLOOKUP($D$5,ID_list,97,FALSE)</f>
        <v>#N/A</v>
      </c>
      <c r="K13" s="707"/>
      <c r="L13" s="774" t="e">
        <f>IF(J13=0,"Please verify FY end date."," ")</f>
        <v>#N/A</v>
      </c>
      <c r="M13" s="775"/>
      <c r="N13" s="775"/>
      <c r="O13" s="152"/>
      <c r="R13" s="144"/>
      <c r="S13" s="141"/>
      <c r="T13" s="144"/>
      <c r="U13" s="140"/>
      <c r="V13" s="144"/>
      <c r="W13" s="140"/>
    </row>
    <row r="14" spans="1:23" ht="30" customHeight="1" x14ac:dyDescent="0.2">
      <c r="A14" s="658" t="s">
        <v>132</v>
      </c>
      <c r="B14" s="692"/>
      <c r="C14" s="692"/>
      <c r="D14" s="711" t="e">
        <f>CONCATENATE(VLOOKUP($D$5,ID_list,19,FALSE)," ",VLOOKUP($D$5,ID_list,20,FALSE))</f>
        <v>#N/A</v>
      </c>
      <c r="E14" s="711"/>
      <c r="F14" s="711"/>
      <c r="G14" s="711"/>
      <c r="H14" s="776" t="s">
        <v>58</v>
      </c>
      <c r="I14" s="777"/>
      <c r="J14" s="778" t="e">
        <f>VLOOKUP($D$5,ID_list,98,FALSE)</f>
        <v>#N/A</v>
      </c>
      <c r="K14" s="779"/>
      <c r="L14" s="774" t="e">
        <f>IF(J14=0,"Please verify the # of months the facility was open during the reporting year."," ")</f>
        <v>#N/A</v>
      </c>
      <c r="M14" s="656"/>
      <c r="N14" s="656"/>
      <c r="O14" s="656"/>
      <c r="R14" s="144"/>
      <c r="S14" s="153"/>
      <c r="T14" s="144"/>
      <c r="U14" s="153"/>
      <c r="V14" s="144"/>
      <c r="W14" s="140"/>
    </row>
    <row r="15" spans="1:23" ht="30" customHeight="1" x14ac:dyDescent="0.2">
      <c r="A15" s="658" t="s">
        <v>133</v>
      </c>
      <c r="B15" s="692"/>
      <c r="C15" s="692"/>
      <c r="D15" s="711" t="e">
        <f>VLOOKUP($D$5,ID_list,21,FALSE)</f>
        <v>#N/A</v>
      </c>
      <c r="E15" s="711"/>
      <c r="F15" s="711"/>
      <c r="G15" s="711"/>
      <c r="H15" s="708" t="str">
        <f>IF(NOT(ISBLANK('Capital Expenditures'!J5)),"CER System ID MDH reference only","")</f>
        <v/>
      </c>
      <c r="I15" s="709"/>
      <c r="J15" s="721" t="str">
        <f>IF(NOT(ISBLANK('Capital Expenditures'!J5)),VLOOKUP($D$5,ID_list,99,FALSE),"")</f>
        <v/>
      </c>
      <c r="K15" s="722"/>
      <c r="L15" s="154"/>
      <c r="M15" s="154"/>
      <c r="N15" s="154"/>
      <c r="O15" s="154"/>
      <c r="R15" s="144"/>
      <c r="S15" s="153"/>
      <c r="T15" s="144"/>
      <c r="U15" s="140"/>
      <c r="V15" s="144"/>
      <c r="W15" s="140"/>
    </row>
    <row r="16" spans="1:23" ht="30" customHeight="1" x14ac:dyDescent="0.2">
      <c r="A16" s="658" t="s">
        <v>267</v>
      </c>
      <c r="B16" s="659"/>
      <c r="C16" s="660"/>
      <c r="D16" s="710" t="e">
        <f>VLOOKUP($D$5,ID_list,22,FALSE)</f>
        <v>#N/A</v>
      </c>
      <c r="E16" s="711"/>
      <c r="F16" s="712"/>
      <c r="G16" s="712"/>
      <c r="H16" s="155"/>
      <c r="I16" s="155"/>
      <c r="J16" s="155"/>
      <c r="K16" s="156"/>
      <c r="L16" s="157"/>
      <c r="M16" s="154"/>
      <c r="N16" s="154"/>
      <c r="O16" s="154"/>
      <c r="R16" s="144"/>
      <c r="S16" s="153"/>
      <c r="T16" s="144"/>
      <c r="U16" s="140"/>
      <c r="V16" s="144"/>
      <c r="W16" s="140"/>
    </row>
    <row r="17" spans="1:31" ht="30" customHeight="1" x14ac:dyDescent="0.2">
      <c r="A17" s="658" t="s">
        <v>134</v>
      </c>
      <c r="B17" s="692"/>
      <c r="C17" s="692"/>
      <c r="D17" s="711" t="e">
        <f>VLOOKUP($D$5,ID_list,23,FALSE)</f>
        <v>#N/A</v>
      </c>
      <c r="E17" s="711"/>
      <c r="F17" s="711"/>
      <c r="G17" s="711"/>
      <c r="H17" s="158"/>
      <c r="I17" s="158"/>
      <c r="J17" s="159"/>
      <c r="K17" s="160"/>
      <c r="L17" s="161"/>
      <c r="M17" s="161"/>
      <c r="N17" s="161"/>
      <c r="O17" s="154"/>
      <c r="R17" s="144"/>
      <c r="S17" s="153"/>
      <c r="T17" s="144"/>
      <c r="U17" s="140"/>
      <c r="V17" s="144"/>
      <c r="W17" s="140"/>
    </row>
    <row r="18" spans="1:31" ht="30" customHeight="1" x14ac:dyDescent="0.2">
      <c r="A18" s="658" t="s">
        <v>33</v>
      </c>
      <c r="B18" s="692"/>
      <c r="C18" s="692"/>
      <c r="D18" s="713" t="e">
        <f>VLOOKUP($D$5,ID_list,84,FALSE)</f>
        <v>#N/A</v>
      </c>
      <c r="E18" s="714"/>
      <c r="F18" s="714"/>
      <c r="G18" s="715"/>
      <c r="H18" s="162"/>
      <c r="I18" s="162"/>
      <c r="J18" s="162"/>
      <c r="K18" s="163"/>
      <c r="L18" s="164"/>
      <c r="M18" s="165"/>
      <c r="N18" s="165"/>
      <c r="O18" s="165"/>
      <c r="R18" s="144"/>
      <c r="S18" s="153"/>
      <c r="T18" s="144"/>
      <c r="U18" s="140"/>
      <c r="V18" s="144"/>
      <c r="W18" s="140"/>
    </row>
    <row r="19" spans="1:31" s="152" customFormat="1" ht="30" customHeight="1" x14ac:dyDescent="0.2">
      <c r="A19" s="658"/>
      <c r="B19" s="692"/>
      <c r="C19" s="692"/>
      <c r="D19" s="699" t="s">
        <v>213</v>
      </c>
      <c r="E19" s="700"/>
      <c r="F19" s="700"/>
      <c r="G19" s="701"/>
      <c r="H19" s="745" t="s">
        <v>140</v>
      </c>
      <c r="I19" s="746"/>
      <c r="J19" s="746"/>
      <c r="K19" s="747"/>
      <c r="L19" s="166"/>
      <c r="M19" s="166"/>
      <c r="N19" s="166"/>
      <c r="O19" s="166"/>
      <c r="P19" s="166"/>
      <c r="Q19" s="167"/>
      <c r="R19" s="168"/>
      <c r="S19" s="169"/>
      <c r="T19" s="144"/>
      <c r="U19" s="140"/>
      <c r="V19" s="144"/>
      <c r="W19" s="140"/>
    </row>
    <row r="20" spans="1:31" s="152" customFormat="1" ht="30" customHeight="1" x14ac:dyDescent="0.2">
      <c r="A20" s="658"/>
      <c r="B20" s="692"/>
      <c r="C20" s="692"/>
      <c r="D20" s="702"/>
      <c r="E20" s="703"/>
      <c r="F20" s="703"/>
      <c r="G20" s="704"/>
      <c r="H20" s="170" t="s">
        <v>141</v>
      </c>
      <c r="I20" s="170" t="s">
        <v>142</v>
      </c>
      <c r="J20" s="170" t="s">
        <v>143</v>
      </c>
      <c r="K20" s="171" t="s">
        <v>56</v>
      </c>
      <c r="L20" s="172"/>
      <c r="M20" s="173"/>
      <c r="N20" s="173"/>
      <c r="O20" s="147"/>
      <c r="R20" s="144"/>
      <c r="S20" s="140"/>
      <c r="T20" s="144"/>
      <c r="U20" s="140"/>
      <c r="V20" s="144"/>
      <c r="W20" s="140"/>
    </row>
    <row r="21" spans="1:31" s="152" customFormat="1" ht="30" customHeight="1" x14ac:dyDescent="0.2">
      <c r="A21" s="691"/>
      <c r="B21" s="692"/>
      <c r="C21" s="692"/>
      <c r="D21" s="711" t="e">
        <f>VLOOKUP($D$5,ID_list,85,FALSE)</f>
        <v>#N/A</v>
      </c>
      <c r="E21" s="711"/>
      <c r="F21" s="711"/>
      <c r="G21" s="711"/>
      <c r="H21" s="174" t="e">
        <f>IF(EXACT(VLOOKUP($D$5,ID_list,86,FALSE),"Owned"),"X","")</f>
        <v>#N/A</v>
      </c>
      <c r="I21" s="174" t="e">
        <f>IF(EXACT(VLOOKUP($D$5,ID_list,86,FALSE),"Managed"),"X","")</f>
        <v>#N/A</v>
      </c>
      <c r="J21" s="174" t="e">
        <f>IF(EXACT(VLOOKUP($D$5,ID_list,86,FALSE),"Leased"),"X","")</f>
        <v>#N/A</v>
      </c>
      <c r="K21" s="175" t="e">
        <f>IF(EXACT(VLOOKUP($D$5,ID_list,86,FALSE),"N/A"),"X","")</f>
        <v>#N/A</v>
      </c>
      <c r="L21" s="147"/>
      <c r="M21" s="147"/>
      <c r="N21" s="176"/>
      <c r="R21" s="177" t="e">
        <f>IF(LEN(T21)&gt;0,"Owned",IF(LEN(U21)&gt;0,"Managed",IF(LEN(V21)&gt;0,"Leased",IF(LEN(W21)&gt;0,"N/A",""))))</f>
        <v>#N/A</v>
      </c>
      <c r="S21" s="178" t="e">
        <f>R21</f>
        <v>#N/A</v>
      </c>
      <c r="T21" s="141" t="e">
        <f t="shared" ref="T21:V23" si="0">IF(OR(H21=0,ISBLANK(H21)),"",H21)</f>
        <v>#N/A</v>
      </c>
      <c r="U21" s="141" t="e">
        <f t="shared" si="0"/>
        <v>#N/A</v>
      </c>
      <c r="V21" s="141" t="e">
        <f t="shared" si="0"/>
        <v>#N/A</v>
      </c>
      <c r="W21" s="141" t="e">
        <f>IF(OR(K21=0,ISBLANK(K21)),"",K21)</f>
        <v>#N/A</v>
      </c>
    </row>
    <row r="22" spans="1:31" s="152" customFormat="1" ht="30" customHeight="1" x14ac:dyDescent="0.2">
      <c r="A22" s="691"/>
      <c r="B22" s="692"/>
      <c r="C22" s="692"/>
      <c r="D22" s="756" t="e">
        <f>VLOOKUP($D$5,ID_list,87,FALSE)</f>
        <v>#N/A</v>
      </c>
      <c r="E22" s="756"/>
      <c r="F22" s="756"/>
      <c r="G22" s="756"/>
      <c r="H22" s="174" t="e">
        <f>IF(EXACT(VLOOKUP($D$5,ID_list,88,FALSE),"Owned"),"X","")</f>
        <v>#N/A</v>
      </c>
      <c r="I22" s="174" t="e">
        <f>IF(EXACT(VLOOKUP($D$5,ID_list,88,FALSE),"Managed"),"X","")</f>
        <v>#N/A</v>
      </c>
      <c r="J22" s="174" t="e">
        <f>IF(EXACT(VLOOKUP($D$5,ID_list,88,FALSE),"Leased"),"X","")</f>
        <v>#N/A</v>
      </c>
      <c r="K22" s="179" t="e">
        <f>IF(EXACT(VLOOKUP($D$5,ID_list,88,FALSE),"N/A"),"X","")</f>
        <v>#N/A</v>
      </c>
      <c r="L22" s="147"/>
      <c r="M22" s="147"/>
      <c r="N22" s="176"/>
      <c r="R22" s="177" t="e">
        <f>IF(LEN(T22)&gt;0,"Owned",IF(LEN(U22)&gt;0,"Managed",IF(LEN(V22)&gt;0,"Leased",IF(LEN(W22)&gt;0,"N/A",""))))</f>
        <v>#N/A</v>
      </c>
      <c r="S22" s="178" t="e">
        <f>R22</f>
        <v>#N/A</v>
      </c>
      <c r="T22" s="141" t="e">
        <f t="shared" si="0"/>
        <v>#N/A</v>
      </c>
      <c r="U22" s="141" t="e">
        <f t="shared" si="0"/>
        <v>#N/A</v>
      </c>
      <c r="V22" s="141" t="e">
        <f t="shared" si="0"/>
        <v>#N/A</v>
      </c>
      <c r="W22" s="141" t="e">
        <f>IF(OR(K22=0,ISBLANK(K22)),"",K22)</f>
        <v>#N/A</v>
      </c>
    </row>
    <row r="23" spans="1:31" s="152" customFormat="1" ht="30" customHeight="1" thickBot="1" x14ac:dyDescent="0.25">
      <c r="A23" s="693"/>
      <c r="B23" s="694"/>
      <c r="C23" s="694"/>
      <c r="D23" s="695" t="e">
        <f>VLOOKUP($D$5,ID_list,89,FALSE)</f>
        <v>#N/A</v>
      </c>
      <c r="E23" s="695"/>
      <c r="F23" s="695"/>
      <c r="G23" s="695"/>
      <c r="H23" s="180" t="e">
        <f>IF(EXACT(VLOOKUP($D$5,ID_list,90,FALSE),"Owned"),"X","")</f>
        <v>#N/A</v>
      </c>
      <c r="I23" s="180" t="e">
        <f>IF(EXACT(VLOOKUP($D$5,ID_list,90,FALSE),"Managed"),"X","")</f>
        <v>#N/A</v>
      </c>
      <c r="J23" s="180" t="e">
        <f>IF(EXACT(VLOOKUP($D$5,ID_list,90,FALSE),"Leased"),"X","")</f>
        <v>#N/A</v>
      </c>
      <c r="K23" s="181" t="e">
        <f>IF(EXACT(VLOOKUP($D$5,ID_list,90,FALSE),"N/A"),"X","")</f>
        <v>#N/A</v>
      </c>
      <c r="L23" s="147"/>
      <c r="M23" s="147"/>
      <c r="N23" s="176"/>
      <c r="R23" s="177" t="e">
        <f>IF(LEN(T23)&gt;0,"Owned",IF(LEN(U23)&gt;0,"Managed",IF(LEN(V23)&gt;0,"Leased",IF(LEN(W23)&gt;0,"N/A",""))))</f>
        <v>#N/A</v>
      </c>
      <c r="S23" s="178" t="e">
        <f>R23</f>
        <v>#N/A</v>
      </c>
      <c r="T23" s="141" t="e">
        <f t="shared" si="0"/>
        <v>#N/A</v>
      </c>
      <c r="U23" s="141" t="e">
        <f t="shared" si="0"/>
        <v>#N/A</v>
      </c>
      <c r="V23" s="141" t="e">
        <f t="shared" si="0"/>
        <v>#N/A</v>
      </c>
      <c r="W23" s="141" t="e">
        <f>IF(OR(K23=0,ISBLANK(K23)),"",K23)</f>
        <v>#N/A</v>
      </c>
    </row>
    <row r="24" spans="1:31" ht="30" customHeight="1" thickBot="1" x14ac:dyDescent="0.25">
      <c r="A24" s="182"/>
      <c r="B24" s="183"/>
      <c r="C24" s="183"/>
      <c r="D24" s="783" t="s">
        <v>88</v>
      </c>
      <c r="E24" s="692"/>
      <c r="F24" s="692"/>
      <c r="G24" s="692"/>
      <c r="H24" s="705" t="str">
        <f>IF(COUNTBLANK(H21:K21)=4,"Please enter Type of Affiliation.",IF(COUNTBLANK(H21:K21)&lt;&gt;3,"Please VERIFY Type of Affiliation.",""))</f>
        <v>Please VERIFY Type of Affiliation.</v>
      </c>
      <c r="I24" s="705"/>
      <c r="J24" s="705"/>
      <c r="K24" s="705"/>
      <c r="L24" s="147"/>
      <c r="M24" s="147"/>
      <c r="N24" s="147"/>
      <c r="O24" s="152"/>
      <c r="R24" s="144"/>
      <c r="S24" s="140"/>
      <c r="T24" s="144"/>
      <c r="U24" s="140"/>
      <c r="V24" s="144"/>
      <c r="W24" s="140"/>
    </row>
    <row r="25" spans="1:31" ht="30" customHeight="1" x14ac:dyDescent="0.2">
      <c r="A25" s="727" t="s">
        <v>1983</v>
      </c>
      <c r="B25" s="786"/>
      <c r="C25" s="786"/>
      <c r="D25" s="786"/>
      <c r="E25" s="786"/>
      <c r="F25" s="786"/>
      <c r="G25" s="786"/>
      <c r="H25" s="786"/>
      <c r="I25" s="786"/>
      <c r="J25" s="786"/>
      <c r="K25" s="787"/>
      <c r="R25" s="144"/>
      <c r="S25" s="139"/>
      <c r="T25" s="144"/>
      <c r="U25" s="140"/>
      <c r="V25" s="144"/>
      <c r="W25" s="585"/>
      <c r="X25" s="584"/>
      <c r="Y25" s="584"/>
      <c r="Z25" s="584"/>
      <c r="AA25" s="584"/>
      <c r="AB25" s="584"/>
      <c r="AC25" s="584"/>
      <c r="AD25" s="584"/>
      <c r="AE25" s="584"/>
    </row>
    <row r="26" spans="1:31" s="184" customFormat="1" ht="30" customHeight="1" x14ac:dyDescent="0.2">
      <c r="A26" s="683" t="s">
        <v>1984</v>
      </c>
      <c r="B26" s="684"/>
      <c r="C26" s="684"/>
      <c r="D26" s="684"/>
      <c r="E26" s="684"/>
      <c r="F26" s="684"/>
      <c r="G26" s="684"/>
      <c r="H26" s="684"/>
      <c r="I26" s="684"/>
      <c r="J26" s="684"/>
      <c r="K26" s="685"/>
      <c r="L26" s="716"/>
      <c r="M26" s="717"/>
      <c r="N26" s="717"/>
      <c r="R26" s="168"/>
      <c r="S26" s="139"/>
      <c r="T26" s="144"/>
      <c r="U26" s="140"/>
      <c r="V26" s="144"/>
      <c r="W26" s="585"/>
      <c r="X26" s="584"/>
      <c r="Y26" s="584"/>
      <c r="Z26" s="584"/>
      <c r="AA26" s="584"/>
      <c r="AB26" s="584"/>
      <c r="AC26" s="584"/>
      <c r="AD26" s="584"/>
      <c r="AE26" s="584"/>
    </row>
    <row r="27" spans="1:31" s="184" customFormat="1" ht="30" customHeight="1" x14ac:dyDescent="0.2">
      <c r="A27" s="686"/>
      <c r="B27" s="687"/>
      <c r="C27" s="687"/>
      <c r="D27" s="687"/>
      <c r="E27" s="687"/>
      <c r="F27" s="687"/>
      <c r="G27" s="687"/>
      <c r="H27" s="687"/>
      <c r="I27" s="687"/>
      <c r="J27" s="687"/>
      <c r="K27" s="688"/>
      <c r="L27" s="716"/>
      <c r="M27" s="717"/>
      <c r="N27" s="717"/>
      <c r="R27" s="144"/>
      <c r="S27" s="139"/>
      <c r="T27" s="144"/>
      <c r="U27" s="140"/>
      <c r="V27" s="144"/>
      <c r="W27" s="140"/>
    </row>
    <row r="28" spans="1:31" s="184" customFormat="1" ht="30" customHeight="1" x14ac:dyDescent="0.2">
      <c r="A28" s="780" t="s">
        <v>145</v>
      </c>
      <c r="B28" s="781"/>
      <c r="C28" s="791"/>
      <c r="D28" s="792"/>
      <c r="E28" s="792"/>
      <c r="F28" s="792"/>
      <c r="G28" s="792"/>
      <c r="H28" s="793"/>
      <c r="I28" s="185" t="s">
        <v>146</v>
      </c>
      <c r="J28" s="794"/>
      <c r="K28" s="795"/>
      <c r="L28" s="716"/>
      <c r="M28" s="717"/>
      <c r="N28" s="717"/>
      <c r="R28" s="144"/>
      <c r="S28" s="139"/>
      <c r="T28" s="144"/>
      <c r="U28" s="140"/>
      <c r="V28" s="144"/>
      <c r="W28" s="140"/>
    </row>
    <row r="29" spans="1:31" ht="30" customHeight="1" thickBot="1" x14ac:dyDescent="0.25">
      <c r="A29" s="784" t="s">
        <v>147</v>
      </c>
      <c r="B29" s="785"/>
      <c r="C29" s="788"/>
      <c r="D29" s="789"/>
      <c r="E29" s="789"/>
      <c r="F29" s="789"/>
      <c r="G29" s="789"/>
      <c r="H29" s="789"/>
      <c r="I29" s="789"/>
      <c r="J29" s="789"/>
      <c r="K29" s="790"/>
      <c r="L29" s="716"/>
      <c r="M29" s="717"/>
      <c r="N29" s="717"/>
      <c r="R29" s="144"/>
      <c r="S29" s="139"/>
      <c r="T29" s="144"/>
      <c r="U29" s="140"/>
      <c r="V29" s="144"/>
      <c r="W29" s="140"/>
    </row>
    <row r="30" spans="1:31" ht="30" customHeight="1" x14ac:dyDescent="0.2">
      <c r="A30" s="782" t="str">
        <f>IF(OR('Capital Expend Project Specific'!AH14&gt;0,'Capital Expenditures'!R25="X",'Capital Expenditures'!T25="X"),"Warning! There is an error which will result in your report being rejected. Please review Capital Expenditure Reporting and correct any errors before submitting.","")</f>
        <v/>
      </c>
      <c r="B30" s="782"/>
      <c r="C30" s="782"/>
      <c r="D30" s="782"/>
      <c r="E30" s="782"/>
      <c r="F30" s="782"/>
      <c r="G30" s="782"/>
      <c r="H30" s="782"/>
      <c r="I30" s="782"/>
      <c r="J30" s="782"/>
      <c r="K30" s="782"/>
      <c r="L30" s="186"/>
      <c r="R30" s="177" t="str">
        <f>IF(LEN(A30)&gt;0,"X","")</f>
        <v/>
      </c>
      <c r="S30" s="139"/>
      <c r="T30" s="144"/>
      <c r="U30" s="140"/>
      <c r="V30" s="144"/>
      <c r="W30" s="140"/>
    </row>
    <row r="31" spans="1:31" ht="30" customHeight="1" x14ac:dyDescent="0.2">
      <c r="A31" s="757" t="str">
        <f>IF(R30="X","Capital Expenditure Sections 13 and 14","")</f>
        <v/>
      </c>
      <c r="B31" s="757"/>
      <c r="C31" s="757"/>
      <c r="D31" s="757"/>
      <c r="E31" s="757"/>
      <c r="F31" s="757" t="str">
        <f>IF(R30="X","Capital Expenditure Project Specific Tab","")</f>
        <v/>
      </c>
      <c r="G31" s="757"/>
      <c r="H31" s="757"/>
      <c r="I31" s="757"/>
      <c r="J31" s="757"/>
      <c r="K31" s="757"/>
      <c r="L31" s="184"/>
      <c r="R31" s="144"/>
      <c r="S31" s="139"/>
      <c r="T31" s="144"/>
      <c r="U31" s="140"/>
      <c r="V31" s="144"/>
      <c r="W31" s="140"/>
    </row>
    <row r="32" spans="1:31" s="192" customFormat="1" ht="24.95" customHeight="1" thickBot="1" x14ac:dyDescent="0.25">
      <c r="A32" s="187" t="e">
        <f>CONCATENATE(D$5," ",(UPPER(D$6)))</f>
        <v>#N/A</v>
      </c>
      <c r="B32" s="188"/>
      <c r="C32" s="189"/>
      <c r="D32" s="189"/>
      <c r="E32" s="189"/>
      <c r="F32" s="189"/>
      <c r="G32" s="189"/>
      <c r="H32" s="189"/>
      <c r="I32" s="189"/>
      <c r="J32" s="189"/>
      <c r="K32" s="189"/>
      <c r="L32" s="190"/>
      <c r="M32" s="176"/>
      <c r="N32" s="191"/>
      <c r="O32" s="176"/>
      <c r="R32" s="144"/>
      <c r="S32" s="139"/>
      <c r="T32" s="144"/>
      <c r="U32" s="140"/>
      <c r="V32" s="144"/>
      <c r="W32" s="140"/>
    </row>
    <row r="33" spans="1:23" s="192" customFormat="1" ht="30" customHeight="1" x14ac:dyDescent="0.2">
      <c r="A33" s="758" t="s">
        <v>260</v>
      </c>
      <c r="B33" s="759"/>
      <c r="C33" s="759"/>
      <c r="D33" s="759"/>
      <c r="E33" s="759"/>
      <c r="F33" s="759"/>
      <c r="G33" s="759"/>
      <c r="H33" s="759"/>
      <c r="I33" s="759"/>
      <c r="J33" s="759"/>
      <c r="K33" s="760"/>
      <c r="L33" s="190"/>
      <c r="M33" s="176"/>
      <c r="N33" s="191"/>
      <c r="O33" s="176"/>
      <c r="R33" s="144"/>
      <c r="S33" s="139"/>
      <c r="T33" s="144"/>
      <c r="U33" s="140"/>
      <c r="V33" s="144"/>
      <c r="W33" s="140"/>
    </row>
    <row r="34" spans="1:23" s="192" customFormat="1" ht="26.25" customHeight="1" x14ac:dyDescent="0.2">
      <c r="A34" s="670" t="s">
        <v>377</v>
      </c>
      <c r="B34" s="671"/>
      <c r="C34" s="671"/>
      <c r="D34" s="671"/>
      <c r="E34" s="671"/>
      <c r="F34" s="671"/>
      <c r="G34" s="671"/>
      <c r="H34" s="671"/>
      <c r="I34" s="671"/>
      <c r="J34" s="671"/>
      <c r="K34" s="672"/>
      <c r="L34" s="190"/>
      <c r="M34" s="176"/>
      <c r="N34" s="191"/>
      <c r="O34" s="176"/>
      <c r="R34" s="177" t="s">
        <v>306</v>
      </c>
      <c r="S34" s="193" t="e">
        <f>VLOOKUP($D$5,ID_list,93,FALSE)</f>
        <v>#N/A</v>
      </c>
      <c r="T34" s="144"/>
      <c r="U34" s="140"/>
      <c r="V34" s="144"/>
      <c r="W34" s="140"/>
    </row>
    <row r="35" spans="1:23" s="192" customFormat="1" ht="26.25" customHeight="1" x14ac:dyDescent="0.2">
      <c r="A35" s="673" t="s">
        <v>183</v>
      </c>
      <c r="B35" s="674"/>
      <c r="C35" s="675"/>
      <c r="D35" s="661" t="e">
        <f>CONCATENATE(VLOOKUP($D$5,ID_list,24,FALSE)," ",VLOOKUP($D$5,ID_list,25,FALSE))</f>
        <v>#N/A</v>
      </c>
      <c r="E35" s="661"/>
      <c r="F35" s="661"/>
      <c r="G35" s="661"/>
      <c r="H35" s="194" t="s">
        <v>138</v>
      </c>
      <c r="I35" s="661" t="e">
        <f>VLOOKUP($D$5,ID_list,26,FALSE)</f>
        <v>#N/A</v>
      </c>
      <c r="J35" s="662"/>
      <c r="K35" s="663"/>
      <c r="L35" s="698" t="e">
        <f>IF(OR(D35=0,D35=" "),"Please complete contact information for person completing the formset."," ")</f>
        <v>#N/A</v>
      </c>
      <c r="M35" s="612"/>
      <c r="N35" s="612"/>
      <c r="O35" s="612"/>
      <c r="R35" s="144"/>
      <c r="S35" s="139"/>
      <c r="T35" s="144"/>
      <c r="U35" s="140"/>
      <c r="V35" s="144"/>
      <c r="W35" s="140"/>
    </row>
    <row r="36" spans="1:23" s="192" customFormat="1" ht="26.25" customHeight="1" x14ac:dyDescent="0.2">
      <c r="A36" s="658" t="s">
        <v>262</v>
      </c>
      <c r="B36" s="659"/>
      <c r="C36" s="660"/>
      <c r="D36" s="665" t="e">
        <f>VLOOKUP($D$5,ID_list,27,FALSE)</f>
        <v>#N/A</v>
      </c>
      <c r="E36" s="665"/>
      <c r="F36" s="665"/>
      <c r="G36" s="665"/>
      <c r="H36" s="195"/>
      <c r="I36" s="196"/>
      <c r="J36" s="197"/>
      <c r="K36" s="198"/>
      <c r="L36" s="689" t="s">
        <v>105</v>
      </c>
      <c r="M36" s="690"/>
      <c r="N36" s="690"/>
      <c r="O36" s="690"/>
      <c r="R36" s="144"/>
      <c r="S36" s="139"/>
      <c r="T36" s="144"/>
      <c r="U36" s="140"/>
      <c r="V36" s="144"/>
      <c r="W36" s="140"/>
    </row>
    <row r="37" spans="1:23" s="192" customFormat="1" ht="26.25" customHeight="1" x14ac:dyDescent="0.2">
      <c r="A37" s="658" t="s">
        <v>127</v>
      </c>
      <c r="B37" s="659"/>
      <c r="C37" s="660"/>
      <c r="D37" s="661" t="e">
        <f>CONCATENATE(VLOOKUP($D$5,ID_list,32,FALSE)," ",VLOOKUP($D$5,ID_list,33,FALSE))</f>
        <v>#N/A</v>
      </c>
      <c r="E37" s="661"/>
      <c r="F37" s="661"/>
      <c r="G37" s="661"/>
      <c r="H37" s="199" t="s">
        <v>55</v>
      </c>
      <c r="I37" s="664" t="e">
        <f>VLOOKUP($D$5,ID_list,31,FALSE)</f>
        <v>#N/A</v>
      </c>
      <c r="J37" s="665"/>
      <c r="K37" s="666"/>
      <c r="L37" s="669" t="s">
        <v>102</v>
      </c>
      <c r="M37" s="646"/>
      <c r="N37" s="646"/>
      <c r="O37" s="646"/>
      <c r="R37" s="144"/>
      <c r="S37" s="139"/>
      <c r="T37" s="144"/>
      <c r="U37" s="140"/>
      <c r="V37" s="144"/>
      <c r="W37" s="140"/>
    </row>
    <row r="38" spans="1:23" s="192" customFormat="1" ht="26.25" customHeight="1" x14ac:dyDescent="0.2">
      <c r="A38" s="658" t="s">
        <v>128</v>
      </c>
      <c r="B38" s="659"/>
      <c r="C38" s="660"/>
      <c r="D38" s="665" t="e">
        <f>VLOOKUP($D$5,ID_list,34,FALSE)</f>
        <v>#N/A</v>
      </c>
      <c r="E38" s="665"/>
      <c r="F38" s="665"/>
      <c r="G38" s="665"/>
      <c r="H38" s="194" t="s">
        <v>139</v>
      </c>
      <c r="I38" s="800" t="e">
        <f>VLOOKUP($D$5,ID_list,28,FALSE)</f>
        <v>#N/A</v>
      </c>
      <c r="J38" s="801"/>
      <c r="K38" s="802"/>
      <c r="L38" s="669" t="s">
        <v>103</v>
      </c>
      <c r="M38" s="646"/>
      <c r="N38" s="646"/>
      <c r="O38" s="646"/>
      <c r="R38" s="144"/>
      <c r="S38" s="139"/>
      <c r="T38" s="144"/>
      <c r="U38" s="140"/>
      <c r="V38" s="144"/>
      <c r="W38" s="140"/>
    </row>
    <row r="39" spans="1:23" s="192" customFormat="1" ht="26.25" customHeight="1" x14ac:dyDescent="0.2">
      <c r="A39" s="658" t="s">
        <v>135</v>
      </c>
      <c r="B39" s="659"/>
      <c r="C39" s="660"/>
      <c r="D39" s="665" t="e">
        <f>VLOOKUP($D$5,ID_list,35,FALSE)</f>
        <v>#N/A</v>
      </c>
      <c r="E39" s="665"/>
      <c r="F39" s="665"/>
      <c r="G39" s="665"/>
      <c r="H39" s="200" t="s">
        <v>214</v>
      </c>
      <c r="I39" s="680" t="e">
        <f>VLOOKUP($D$5,ID_list,29,FALSE)</f>
        <v>#N/A</v>
      </c>
      <c r="J39" s="681"/>
      <c r="K39" s="682"/>
      <c r="L39" s="669" t="s">
        <v>104</v>
      </c>
      <c r="M39" s="646"/>
      <c r="N39" s="646"/>
      <c r="O39" s="646"/>
      <c r="R39" s="144"/>
      <c r="S39" s="139"/>
      <c r="T39" s="144"/>
      <c r="U39" s="140"/>
      <c r="V39" s="144"/>
      <c r="W39" s="140"/>
    </row>
    <row r="40" spans="1:23" s="192" customFormat="1" ht="26.25" customHeight="1" x14ac:dyDescent="0.2">
      <c r="A40" s="658" t="s">
        <v>136</v>
      </c>
      <c r="B40" s="659"/>
      <c r="C40" s="660"/>
      <c r="D40" s="679" t="e">
        <f>VLOOKUP($D$5,ID_list,36,FALSE)</f>
        <v>#N/A</v>
      </c>
      <c r="E40" s="679"/>
      <c r="F40" s="679"/>
      <c r="G40" s="679"/>
      <c r="H40" s="200" t="s">
        <v>131</v>
      </c>
      <c r="I40" s="680" t="e">
        <f>VLOOKUP($D$5,ID_list,30,FALSE)</f>
        <v>#N/A</v>
      </c>
      <c r="J40" s="681"/>
      <c r="K40" s="682"/>
      <c r="L40" s="167"/>
      <c r="M40" s="167"/>
      <c r="N40" s="166"/>
      <c r="O40" s="166"/>
      <c r="R40" s="144"/>
      <c r="S40" s="139"/>
      <c r="T40" s="144"/>
      <c r="U40" s="140"/>
      <c r="V40" s="144"/>
      <c r="W40" s="140"/>
    </row>
    <row r="41" spans="1:23" s="192" customFormat="1" ht="26.25" customHeight="1" x14ac:dyDescent="0.2">
      <c r="A41" s="676" t="s">
        <v>129</v>
      </c>
      <c r="B41" s="677"/>
      <c r="C41" s="678"/>
      <c r="D41" s="679" t="e">
        <f>CONCATENATE(VLOOKUP($D$5,ID_list,37,FALSE),"-",VLOOKUP($D$5,ID_list,38,FALSE))</f>
        <v>#N/A</v>
      </c>
      <c r="E41" s="679"/>
      <c r="F41" s="679"/>
      <c r="G41" s="679"/>
      <c r="H41" s="201"/>
      <c r="I41" s="201"/>
      <c r="J41" s="201"/>
      <c r="K41" s="202"/>
      <c r="L41" s="172"/>
      <c r="M41" s="173"/>
      <c r="N41" s="173"/>
      <c r="O41" s="147"/>
      <c r="R41" s="144"/>
      <c r="S41" s="139"/>
      <c r="T41" s="144"/>
      <c r="U41" s="140"/>
      <c r="V41" s="144"/>
      <c r="W41" s="140"/>
    </row>
    <row r="42" spans="1:23" s="192" customFormat="1" ht="26.25" customHeight="1" x14ac:dyDescent="0.2">
      <c r="A42" s="670" t="s">
        <v>378</v>
      </c>
      <c r="B42" s="671"/>
      <c r="C42" s="671"/>
      <c r="D42" s="671"/>
      <c r="E42" s="671"/>
      <c r="F42" s="671"/>
      <c r="G42" s="671"/>
      <c r="H42" s="671"/>
      <c r="I42" s="671"/>
      <c r="J42" s="671"/>
      <c r="K42" s="672"/>
      <c r="L42" s="190"/>
      <c r="M42" s="176"/>
      <c r="N42" s="191"/>
      <c r="O42" s="176"/>
      <c r="R42" s="177" t="s">
        <v>307</v>
      </c>
      <c r="S42" s="193" t="e">
        <f>VLOOKUP($D$5,ID_list,94,FALSE)</f>
        <v>#N/A</v>
      </c>
      <c r="T42" s="144"/>
      <c r="U42" s="140"/>
      <c r="V42" s="144"/>
      <c r="W42" s="140"/>
    </row>
    <row r="43" spans="1:23" s="192" customFormat="1" ht="26.25" customHeight="1" x14ac:dyDescent="0.2">
      <c r="A43" s="673" t="s">
        <v>264</v>
      </c>
      <c r="B43" s="674"/>
      <c r="C43" s="675"/>
      <c r="D43" s="661" t="e">
        <f>CONCATENATE(VLOOKUP($D$5,ID_list,39,FALSE)," ",VLOOKUP($D$5,ID_list,40,FALSE))</f>
        <v>#N/A</v>
      </c>
      <c r="E43" s="661"/>
      <c r="F43" s="661"/>
      <c r="G43" s="661"/>
      <c r="H43" s="194" t="s">
        <v>138</v>
      </c>
      <c r="I43" s="661" t="e">
        <f>VLOOKUP($D$5,ID_list,41,FALSE)</f>
        <v>#N/A</v>
      </c>
      <c r="J43" s="662"/>
      <c r="K43" s="663"/>
      <c r="L43" s="190"/>
      <c r="M43" s="176"/>
      <c r="N43" s="191"/>
      <c r="O43" s="176"/>
      <c r="R43" s="144"/>
      <c r="S43" s="139"/>
      <c r="T43" s="144"/>
      <c r="U43" s="140"/>
      <c r="V43" s="144"/>
      <c r="W43" s="140"/>
    </row>
    <row r="44" spans="1:23" s="192" customFormat="1" ht="26.25" customHeight="1" x14ac:dyDescent="0.2">
      <c r="A44" s="658" t="s">
        <v>262</v>
      </c>
      <c r="B44" s="659"/>
      <c r="C44" s="660"/>
      <c r="D44" s="661" t="e">
        <f>VLOOKUP($D$5,ID_list,42,FALSE)</f>
        <v>#N/A</v>
      </c>
      <c r="E44" s="661"/>
      <c r="F44" s="661"/>
      <c r="G44" s="661"/>
      <c r="H44" s="195"/>
      <c r="I44" s="196"/>
      <c r="J44" s="197"/>
      <c r="K44" s="198"/>
      <c r="L44" s="190"/>
      <c r="M44" s="176"/>
      <c r="N44" s="191"/>
      <c r="O44" s="176"/>
      <c r="R44" s="144"/>
      <c r="S44" s="139"/>
      <c r="T44" s="144"/>
      <c r="U44" s="140"/>
      <c r="V44" s="144"/>
      <c r="W44" s="140"/>
    </row>
    <row r="45" spans="1:23" s="192" customFormat="1" ht="26.25" customHeight="1" x14ac:dyDescent="0.2">
      <c r="A45" s="658" t="s">
        <v>127</v>
      </c>
      <c r="B45" s="659"/>
      <c r="C45" s="660"/>
      <c r="D45" s="661" t="e">
        <f>CONCATENATE(VLOOKUP($D$5,ID_list,47,FALSE)," ",VLOOKUP($D$5,ID_list,48,FALSE))</f>
        <v>#N/A</v>
      </c>
      <c r="E45" s="661"/>
      <c r="F45" s="661"/>
      <c r="G45" s="661"/>
      <c r="H45" s="199" t="s">
        <v>55</v>
      </c>
      <c r="I45" s="664" t="e">
        <f>VLOOKUP($D$5,ID_list,46,FALSE)</f>
        <v>#N/A</v>
      </c>
      <c r="J45" s="665"/>
      <c r="K45" s="666"/>
      <c r="L45" s="190"/>
      <c r="M45" s="176"/>
      <c r="N45" s="191"/>
      <c r="O45" s="176"/>
      <c r="R45" s="144"/>
      <c r="S45" s="139"/>
      <c r="T45" s="144"/>
      <c r="U45" s="140"/>
      <c r="V45" s="144"/>
      <c r="W45" s="140"/>
    </row>
    <row r="46" spans="1:23" s="192" customFormat="1" ht="26.25" customHeight="1" x14ac:dyDescent="0.2">
      <c r="A46" s="658" t="s">
        <v>265</v>
      </c>
      <c r="B46" s="659"/>
      <c r="C46" s="660"/>
      <c r="D46" s="665" t="e">
        <f>VLOOKUP($D$5,ID_list,49,FALSE)</f>
        <v>#N/A</v>
      </c>
      <c r="E46" s="665"/>
      <c r="F46" s="665"/>
      <c r="G46" s="665"/>
      <c r="H46" s="194" t="s">
        <v>139</v>
      </c>
      <c r="I46" s="800" t="e">
        <f>VLOOKUP($D$5,ID_list,43,FALSE)</f>
        <v>#N/A</v>
      </c>
      <c r="J46" s="801"/>
      <c r="K46" s="802"/>
      <c r="L46" s="190"/>
      <c r="M46" s="176"/>
      <c r="N46" s="191"/>
      <c r="O46" s="176"/>
      <c r="R46" s="144"/>
      <c r="S46" s="139"/>
      <c r="T46" s="144"/>
      <c r="U46" s="140"/>
      <c r="V46" s="144"/>
      <c r="W46" s="140"/>
    </row>
    <row r="47" spans="1:23" s="192" customFormat="1" ht="26.25" customHeight="1" x14ac:dyDescent="0.2">
      <c r="A47" s="658" t="s">
        <v>135</v>
      </c>
      <c r="B47" s="659"/>
      <c r="C47" s="660"/>
      <c r="D47" s="665" t="e">
        <f>VLOOKUP($D$5,ID_list,50,FALSE)</f>
        <v>#N/A</v>
      </c>
      <c r="E47" s="665"/>
      <c r="F47" s="665"/>
      <c r="G47" s="665"/>
      <c r="H47" s="200" t="s">
        <v>214</v>
      </c>
      <c r="I47" s="680" t="e">
        <f>VLOOKUP($D$5,ID_list,44,FALSE)</f>
        <v>#N/A</v>
      </c>
      <c r="J47" s="681"/>
      <c r="K47" s="682"/>
      <c r="L47" s="190"/>
      <c r="M47" s="176"/>
      <c r="N47" s="191"/>
      <c r="O47" s="176"/>
      <c r="R47" s="144"/>
      <c r="S47" s="139"/>
      <c r="T47" s="144"/>
      <c r="U47" s="140"/>
      <c r="V47" s="144"/>
      <c r="W47" s="140"/>
    </row>
    <row r="48" spans="1:23" s="192" customFormat="1" ht="26.25" customHeight="1" x14ac:dyDescent="0.2">
      <c r="A48" s="658" t="s">
        <v>136</v>
      </c>
      <c r="B48" s="659"/>
      <c r="C48" s="660"/>
      <c r="D48" s="665" t="e">
        <f>VLOOKUP($D$5,ID_list,51,FALSE)</f>
        <v>#N/A</v>
      </c>
      <c r="E48" s="665"/>
      <c r="F48" s="665"/>
      <c r="G48" s="665"/>
      <c r="H48" s="200" t="s">
        <v>131</v>
      </c>
      <c r="I48" s="680" t="e">
        <f>VLOOKUP($D$5,ID_list,45,FALSE)</f>
        <v>#N/A</v>
      </c>
      <c r="J48" s="681"/>
      <c r="K48" s="682"/>
      <c r="L48" s="190"/>
      <c r="M48" s="176"/>
      <c r="N48" s="191"/>
      <c r="O48" s="176"/>
      <c r="R48" s="144"/>
      <c r="S48" s="139"/>
      <c r="T48" s="144"/>
      <c r="U48" s="140"/>
      <c r="V48" s="144"/>
      <c r="W48" s="140"/>
    </row>
    <row r="49" spans="1:23" s="192" customFormat="1" ht="26.25" customHeight="1" x14ac:dyDescent="0.2">
      <c r="A49" s="676" t="s">
        <v>129</v>
      </c>
      <c r="B49" s="677"/>
      <c r="C49" s="678"/>
      <c r="D49" s="679" t="e">
        <f>CONCATENATE(VLOOKUP($D$5,ID_list,52,FALSE),"-",VLOOKUP($D$5,ID_list,53,FALSE))</f>
        <v>#N/A</v>
      </c>
      <c r="E49" s="679"/>
      <c r="F49" s="679"/>
      <c r="G49" s="679"/>
      <c r="H49" s="201"/>
      <c r="I49" s="201"/>
      <c r="J49" s="201"/>
      <c r="K49" s="202"/>
      <c r="L49" s="190"/>
      <c r="M49" s="176"/>
      <c r="N49" s="191"/>
      <c r="O49" s="176"/>
      <c r="R49" s="144"/>
      <c r="S49" s="139"/>
      <c r="T49" s="144"/>
      <c r="U49" s="140"/>
      <c r="V49" s="144"/>
      <c r="W49" s="140"/>
    </row>
    <row r="50" spans="1:23" s="192" customFormat="1" ht="26.25" customHeight="1" x14ac:dyDescent="0.2">
      <c r="A50" s="670" t="s">
        <v>379</v>
      </c>
      <c r="B50" s="671"/>
      <c r="C50" s="671"/>
      <c r="D50" s="671"/>
      <c r="E50" s="671"/>
      <c r="F50" s="671"/>
      <c r="G50" s="671"/>
      <c r="H50" s="671"/>
      <c r="I50" s="671"/>
      <c r="J50" s="671"/>
      <c r="K50" s="672"/>
      <c r="L50" s="190"/>
      <c r="M50" s="176"/>
      <c r="N50" s="191"/>
      <c r="O50" s="176"/>
      <c r="R50" s="177" t="s">
        <v>308</v>
      </c>
      <c r="S50" s="193" t="e">
        <f>VLOOKUP($D$5,ID_list,95,FALSE)</f>
        <v>#N/A</v>
      </c>
      <c r="T50" s="144"/>
      <c r="U50" s="140"/>
      <c r="V50" s="144"/>
      <c r="W50" s="140"/>
    </row>
    <row r="51" spans="1:23" s="192" customFormat="1" ht="26.25" customHeight="1" x14ac:dyDescent="0.2">
      <c r="A51" s="673" t="s">
        <v>264</v>
      </c>
      <c r="B51" s="674"/>
      <c r="C51" s="675"/>
      <c r="D51" s="661" t="e">
        <f>CONCATENATE(VLOOKUP($D$5,ID_list,54,FALSE)," ",VLOOKUP($D$5,ID_list,55,FALSE))</f>
        <v>#N/A</v>
      </c>
      <c r="E51" s="661"/>
      <c r="F51" s="661"/>
      <c r="G51" s="661"/>
      <c r="H51" s="194" t="s">
        <v>138</v>
      </c>
      <c r="I51" s="661" t="e">
        <f>VLOOKUP($D$5,ID_list,56,FALSE)</f>
        <v>#N/A</v>
      </c>
      <c r="J51" s="662"/>
      <c r="K51" s="663"/>
      <c r="L51" s="190"/>
      <c r="M51" s="176"/>
      <c r="N51" s="191"/>
      <c r="O51" s="176"/>
      <c r="R51" s="144"/>
      <c r="S51" s="139"/>
      <c r="T51" s="144"/>
      <c r="U51" s="140"/>
      <c r="V51" s="144"/>
      <c r="W51" s="140"/>
    </row>
    <row r="52" spans="1:23" s="192" customFormat="1" ht="26.25" customHeight="1" x14ac:dyDescent="0.2">
      <c r="A52" s="658" t="s">
        <v>262</v>
      </c>
      <c r="B52" s="659"/>
      <c r="C52" s="660"/>
      <c r="D52" s="665" t="e">
        <f>VLOOKUP($D$5,ID_list,57,FALSE)</f>
        <v>#N/A</v>
      </c>
      <c r="E52" s="665"/>
      <c r="F52" s="665"/>
      <c r="G52" s="665"/>
      <c r="H52" s="195"/>
      <c r="I52" s="196"/>
      <c r="J52" s="197"/>
      <c r="K52" s="198"/>
      <c r="L52" s="190"/>
      <c r="M52" s="176"/>
      <c r="N52" s="191"/>
      <c r="O52" s="176"/>
      <c r="R52" s="144"/>
      <c r="S52" s="139"/>
      <c r="T52" s="144"/>
      <c r="U52" s="140"/>
      <c r="V52" s="144"/>
      <c r="W52" s="140"/>
    </row>
    <row r="53" spans="1:23" s="192" customFormat="1" ht="26.25" customHeight="1" x14ac:dyDescent="0.2">
      <c r="A53" s="658" t="s">
        <v>127</v>
      </c>
      <c r="B53" s="659"/>
      <c r="C53" s="660"/>
      <c r="D53" s="661" t="e">
        <f>CONCATENATE(VLOOKUP($D$5,ID_list,62,FALSE)," ",VLOOKUP($D$5,ID_list,63,FALSE))</f>
        <v>#N/A</v>
      </c>
      <c r="E53" s="661"/>
      <c r="F53" s="661"/>
      <c r="G53" s="661"/>
      <c r="H53" s="199" t="s">
        <v>55</v>
      </c>
      <c r="I53" s="664" t="e">
        <f>VLOOKUP($D$5,ID_list,61,FALSE)</f>
        <v>#N/A</v>
      </c>
      <c r="J53" s="665"/>
      <c r="K53" s="666"/>
      <c r="L53" s="190"/>
      <c r="M53" s="176"/>
      <c r="N53" s="191"/>
      <c r="O53" s="176"/>
      <c r="R53" s="144"/>
      <c r="S53" s="139"/>
      <c r="T53" s="144"/>
      <c r="U53" s="140"/>
      <c r="V53" s="144"/>
      <c r="W53" s="140"/>
    </row>
    <row r="54" spans="1:23" s="192" customFormat="1" ht="26.25" customHeight="1" x14ac:dyDescent="0.2">
      <c r="A54" s="658" t="s">
        <v>265</v>
      </c>
      <c r="B54" s="659"/>
      <c r="C54" s="660"/>
      <c r="D54" s="665" t="e">
        <f>VLOOKUP($D$5,ID_list,64,FALSE)</f>
        <v>#N/A</v>
      </c>
      <c r="E54" s="665"/>
      <c r="F54" s="665"/>
      <c r="G54" s="665"/>
      <c r="H54" s="194" t="s">
        <v>139</v>
      </c>
      <c r="I54" s="800" t="e">
        <f>VLOOKUP($D$5,ID_list,58,FALSE)</f>
        <v>#N/A</v>
      </c>
      <c r="J54" s="801"/>
      <c r="K54" s="802"/>
      <c r="L54" s="190"/>
      <c r="M54" s="176"/>
      <c r="N54" s="191"/>
      <c r="O54" s="176"/>
      <c r="R54" s="144"/>
      <c r="S54" s="139"/>
      <c r="T54" s="144"/>
      <c r="U54" s="140"/>
      <c r="V54" s="144"/>
      <c r="W54" s="140"/>
    </row>
    <row r="55" spans="1:23" s="192" customFormat="1" ht="26.25" customHeight="1" x14ac:dyDescent="0.2">
      <c r="A55" s="658" t="s">
        <v>135</v>
      </c>
      <c r="B55" s="659"/>
      <c r="C55" s="660"/>
      <c r="D55" s="665" t="e">
        <f>VLOOKUP($D$5,ID_list,65,FALSE)</f>
        <v>#N/A</v>
      </c>
      <c r="E55" s="665"/>
      <c r="F55" s="665"/>
      <c r="G55" s="665"/>
      <c r="H55" s="200" t="s">
        <v>214</v>
      </c>
      <c r="I55" s="680" t="e">
        <f>VLOOKUP($D$5,ID_list,59,FALSE)</f>
        <v>#N/A</v>
      </c>
      <c r="J55" s="681"/>
      <c r="K55" s="682"/>
      <c r="L55" s="203"/>
      <c r="M55" s="176"/>
      <c r="N55" s="191"/>
      <c r="O55" s="176"/>
      <c r="R55" s="144"/>
      <c r="S55" s="139"/>
      <c r="T55" s="144"/>
      <c r="U55" s="140"/>
      <c r="V55" s="144"/>
      <c r="W55" s="140"/>
    </row>
    <row r="56" spans="1:23" s="192" customFormat="1" ht="26.25" customHeight="1" x14ac:dyDescent="0.2">
      <c r="A56" s="658" t="s">
        <v>136</v>
      </c>
      <c r="B56" s="659"/>
      <c r="C56" s="660"/>
      <c r="D56" s="665" t="e">
        <f>VLOOKUP($D$5,ID_list,66,FALSE)</f>
        <v>#N/A</v>
      </c>
      <c r="E56" s="665"/>
      <c r="F56" s="665"/>
      <c r="G56" s="665"/>
      <c r="H56" s="200" t="s">
        <v>131</v>
      </c>
      <c r="I56" s="680" t="e">
        <f>VLOOKUP($D$5,ID_list,60,FALSE)</f>
        <v>#N/A</v>
      </c>
      <c r="J56" s="681"/>
      <c r="K56" s="682"/>
      <c r="L56" s="190"/>
      <c r="M56" s="176"/>
      <c r="N56" s="191"/>
      <c r="O56" s="176"/>
      <c r="R56" s="144"/>
      <c r="S56" s="139"/>
      <c r="T56" s="144"/>
      <c r="U56" s="140"/>
      <c r="V56" s="144"/>
      <c r="W56" s="140"/>
    </row>
    <row r="57" spans="1:23" s="192" customFormat="1" ht="26.25" customHeight="1" x14ac:dyDescent="0.2">
      <c r="A57" s="676" t="s">
        <v>129</v>
      </c>
      <c r="B57" s="677"/>
      <c r="C57" s="678"/>
      <c r="D57" s="679" t="e">
        <f>CONCATENATE(VLOOKUP($D$5,ID_list,67,FALSE),"-",VLOOKUP($D$5,ID_list,68,FALSE))</f>
        <v>#N/A</v>
      </c>
      <c r="E57" s="679"/>
      <c r="F57" s="679"/>
      <c r="G57" s="679"/>
      <c r="H57" s="201"/>
      <c r="I57" s="201"/>
      <c r="J57" s="201"/>
      <c r="K57" s="202"/>
      <c r="M57" s="176"/>
      <c r="N57" s="191"/>
      <c r="O57" s="176"/>
      <c r="R57" s="144"/>
      <c r="S57" s="139"/>
      <c r="T57" s="144"/>
      <c r="U57" s="140"/>
      <c r="V57" s="144"/>
      <c r="W57" s="140"/>
    </row>
    <row r="58" spans="1:23" s="192" customFormat="1" ht="26.25" customHeight="1" x14ac:dyDescent="0.2">
      <c r="A58" s="670" t="s">
        <v>115</v>
      </c>
      <c r="B58" s="671"/>
      <c r="C58" s="671"/>
      <c r="D58" s="671"/>
      <c r="E58" s="671"/>
      <c r="F58" s="671"/>
      <c r="G58" s="671"/>
      <c r="H58" s="671"/>
      <c r="I58" s="671"/>
      <c r="J58" s="671"/>
      <c r="K58" s="672"/>
      <c r="R58" s="177" t="s">
        <v>309</v>
      </c>
      <c r="S58" s="193" t="e">
        <f>VLOOKUP($D$5,ID_list,96,FALSE)</f>
        <v>#N/A</v>
      </c>
      <c r="T58" s="144"/>
      <c r="U58" s="140"/>
      <c r="V58" s="144"/>
      <c r="W58" s="140"/>
    </row>
    <row r="59" spans="1:23" s="192" customFormat="1" ht="26.25" customHeight="1" x14ac:dyDescent="0.2">
      <c r="A59" s="673" t="s">
        <v>182</v>
      </c>
      <c r="B59" s="674"/>
      <c r="C59" s="675"/>
      <c r="D59" s="661" t="e">
        <f>CONCATENATE(VLOOKUP($D$5,ID_list,69,FALSE)," ",VLOOKUP($D$5,ID_list,70,FALSE))</f>
        <v>#N/A</v>
      </c>
      <c r="E59" s="661"/>
      <c r="F59" s="661"/>
      <c r="G59" s="661"/>
      <c r="H59" s="194" t="s">
        <v>138</v>
      </c>
      <c r="I59" s="661" t="e">
        <f>VLOOKUP($D$5,ID_list,71,FALSE)</f>
        <v>#N/A</v>
      </c>
      <c r="J59" s="662"/>
      <c r="K59" s="663"/>
      <c r="L59" s="761" t="str">
        <f>IF(LEN('Capital Expenditures'!J5)&gt;0,"Capital Expenditure Reporting Section","")</f>
        <v/>
      </c>
      <c r="M59" s="762"/>
      <c r="N59" s="762"/>
      <c r="O59" s="762"/>
      <c r="R59" s="144"/>
      <c r="S59" s="139"/>
      <c r="T59" s="144"/>
      <c r="U59" s="140"/>
      <c r="V59" s="144"/>
      <c r="W59" s="140"/>
    </row>
    <row r="60" spans="1:23" s="192" customFormat="1" ht="26.25" customHeight="1" x14ac:dyDescent="0.2">
      <c r="A60" s="658" t="s">
        <v>262</v>
      </c>
      <c r="B60" s="659"/>
      <c r="C60" s="660"/>
      <c r="D60" s="665" t="e">
        <f>VLOOKUP($D$5,ID_list,72,FALSE)</f>
        <v>#N/A</v>
      </c>
      <c r="E60" s="665"/>
      <c r="F60" s="665"/>
      <c r="G60" s="665"/>
      <c r="H60" s="195"/>
      <c r="I60" s="196"/>
      <c r="J60" s="197"/>
      <c r="K60" s="198"/>
      <c r="L60" s="667" t="str">
        <f>IF(NOT(ISBLANK('Capital Expenditures'!J5)),"Capital Expenditure Project Specific Tab","")</f>
        <v/>
      </c>
      <c r="M60" s="667"/>
      <c r="N60" s="667"/>
      <c r="O60" s="667"/>
      <c r="P60" s="668"/>
      <c r="R60" s="144"/>
      <c r="S60" s="139"/>
      <c r="T60" s="144"/>
      <c r="U60" s="140"/>
      <c r="V60" s="144"/>
      <c r="W60" s="140"/>
    </row>
    <row r="61" spans="1:23" s="192" customFormat="1" ht="26.25" customHeight="1" x14ac:dyDescent="0.2">
      <c r="A61" s="658" t="s">
        <v>127</v>
      </c>
      <c r="B61" s="659"/>
      <c r="C61" s="660"/>
      <c r="D61" s="661" t="e">
        <f>CONCATENATE(VLOOKUP($D$5,ID_list,77,FALSE)," ",VLOOKUP($D$5,ID_list,78,FALSE))</f>
        <v>#N/A</v>
      </c>
      <c r="E61" s="661"/>
      <c r="F61" s="661"/>
      <c r="G61" s="661"/>
      <c r="H61" s="199" t="s">
        <v>55</v>
      </c>
      <c r="I61" s="664" t="e">
        <f>VLOOKUP($D$5,ID_list,76,FALSE)</f>
        <v>#N/A</v>
      </c>
      <c r="J61" s="665"/>
      <c r="K61" s="666"/>
      <c r="R61" s="144"/>
      <c r="S61" s="139"/>
      <c r="T61" s="144"/>
      <c r="U61" s="140"/>
      <c r="V61" s="144"/>
      <c r="W61" s="140"/>
    </row>
    <row r="62" spans="1:23" s="192" customFormat="1" ht="26.25" customHeight="1" x14ac:dyDescent="0.2">
      <c r="A62" s="658" t="s">
        <v>265</v>
      </c>
      <c r="B62" s="659"/>
      <c r="C62" s="660"/>
      <c r="D62" s="665" t="e">
        <f>VLOOKUP($D$5,ID_list,79,FALSE)</f>
        <v>#N/A</v>
      </c>
      <c r="E62" s="665"/>
      <c r="F62" s="665"/>
      <c r="G62" s="665"/>
      <c r="H62" s="194" t="s">
        <v>139</v>
      </c>
      <c r="I62" s="800" t="e">
        <f>VLOOKUP($D$5,ID_list,73,FALSE)</f>
        <v>#N/A</v>
      </c>
      <c r="J62" s="801"/>
      <c r="K62" s="802"/>
      <c r="R62" s="144"/>
      <c r="S62" s="139"/>
      <c r="T62" s="144"/>
      <c r="U62" s="140"/>
      <c r="V62" s="144"/>
      <c r="W62" s="140"/>
    </row>
    <row r="63" spans="1:23" s="192" customFormat="1" ht="26.25" customHeight="1" x14ac:dyDescent="0.2">
      <c r="A63" s="658" t="s">
        <v>135</v>
      </c>
      <c r="B63" s="659"/>
      <c r="C63" s="660"/>
      <c r="D63" s="665" t="e">
        <f>VLOOKUP($D$5,ID_list,80,FALSE)</f>
        <v>#N/A</v>
      </c>
      <c r="E63" s="665"/>
      <c r="F63" s="665"/>
      <c r="G63" s="665"/>
      <c r="H63" s="200" t="s">
        <v>214</v>
      </c>
      <c r="I63" s="680" t="e">
        <f>VLOOKUP($D$5,ID_list,74,FALSE)</f>
        <v>#N/A</v>
      </c>
      <c r="J63" s="681"/>
      <c r="K63" s="682"/>
      <c r="R63" s="144"/>
      <c r="S63" s="139"/>
      <c r="T63" s="144"/>
      <c r="U63" s="140"/>
      <c r="V63" s="144"/>
      <c r="W63" s="140"/>
    </row>
    <row r="64" spans="1:23" s="192" customFormat="1" ht="26.25" customHeight="1" x14ac:dyDescent="0.2">
      <c r="A64" s="658" t="s">
        <v>136</v>
      </c>
      <c r="B64" s="659"/>
      <c r="C64" s="660"/>
      <c r="D64" s="665" t="e">
        <f>VLOOKUP($D$5,ID_list,81,FALSE)</f>
        <v>#N/A</v>
      </c>
      <c r="E64" s="665"/>
      <c r="F64" s="665"/>
      <c r="G64" s="665"/>
      <c r="H64" s="200" t="s">
        <v>131</v>
      </c>
      <c r="I64" s="680" t="e">
        <f>VLOOKUP($D$5,ID_list,75,FALSE)</f>
        <v>#N/A</v>
      </c>
      <c r="J64" s="681"/>
      <c r="K64" s="682"/>
      <c r="R64" s="144"/>
      <c r="S64" s="139"/>
      <c r="T64" s="144"/>
      <c r="U64" s="140"/>
      <c r="V64" s="144"/>
      <c r="W64" s="140"/>
    </row>
    <row r="65" spans="1:23" s="192" customFormat="1" ht="26.25" customHeight="1" thickBot="1" x14ac:dyDescent="0.25">
      <c r="A65" s="796" t="s">
        <v>129</v>
      </c>
      <c r="B65" s="797"/>
      <c r="C65" s="798"/>
      <c r="D65" s="799" t="e">
        <f>CONCATENATE(VLOOKUP($D$5,ID_list,82,FALSE)," ",VLOOKUP($D$5,ID_list,83,FALSE))</f>
        <v>#N/A</v>
      </c>
      <c r="E65" s="799"/>
      <c r="F65" s="799"/>
      <c r="G65" s="799"/>
      <c r="H65" s="204"/>
      <c r="I65" s="204"/>
      <c r="J65" s="204"/>
      <c r="K65" s="205"/>
      <c r="R65" s="144"/>
      <c r="S65" s="139"/>
      <c r="T65" s="144"/>
      <c r="U65" s="140"/>
      <c r="V65" s="144"/>
      <c r="W65" s="140"/>
    </row>
    <row r="66" spans="1:23" s="192" customFormat="1" x14ac:dyDescent="0.2">
      <c r="R66" s="137"/>
      <c r="S66" s="137"/>
      <c r="T66" s="137"/>
      <c r="U66" s="137"/>
      <c r="V66" s="137"/>
      <c r="W66" s="137"/>
    </row>
    <row r="67" spans="1:23" s="192" customFormat="1" x14ac:dyDescent="0.2">
      <c r="R67" s="137"/>
      <c r="S67" s="137"/>
      <c r="T67" s="137"/>
      <c r="U67" s="137"/>
      <c r="V67" s="137"/>
      <c r="W67" s="137"/>
    </row>
    <row r="68" spans="1:23" s="192" customFormat="1" x14ac:dyDescent="0.2">
      <c r="R68" s="137"/>
      <c r="S68" s="137"/>
      <c r="T68" s="137"/>
      <c r="U68" s="137"/>
      <c r="V68" s="137"/>
      <c r="W68" s="137"/>
    </row>
    <row r="69" spans="1:23" s="192" customFormat="1" x14ac:dyDescent="0.2">
      <c r="R69" s="137"/>
      <c r="S69" s="137"/>
      <c r="T69" s="137"/>
      <c r="U69" s="137"/>
      <c r="V69" s="137"/>
      <c r="W69" s="137"/>
    </row>
    <row r="70" spans="1:23" s="192" customFormat="1" x14ac:dyDescent="0.2">
      <c r="A70" s="206"/>
      <c r="B70" s="206"/>
      <c r="C70" s="206"/>
      <c r="D70" s="206"/>
      <c r="E70" s="206"/>
      <c r="R70" s="137"/>
      <c r="S70" s="137"/>
      <c r="T70" s="137"/>
      <c r="U70" s="137"/>
      <c r="V70" s="137"/>
      <c r="W70" s="137"/>
    </row>
    <row r="71" spans="1:23" s="192" customFormat="1" x14ac:dyDescent="0.2">
      <c r="R71" s="137"/>
      <c r="S71" s="137"/>
      <c r="T71" s="137"/>
      <c r="U71" s="137"/>
      <c r="V71" s="137"/>
      <c r="W71" s="137"/>
    </row>
    <row r="72" spans="1:23" s="192" customFormat="1" x14ac:dyDescent="0.2">
      <c r="R72" s="137"/>
      <c r="S72" s="137"/>
      <c r="T72" s="137"/>
      <c r="U72" s="137"/>
      <c r="V72" s="137"/>
      <c r="W72" s="137"/>
    </row>
    <row r="73" spans="1:23" s="192" customFormat="1" x14ac:dyDescent="0.2">
      <c r="R73" s="137"/>
      <c r="S73" s="137"/>
      <c r="T73" s="137"/>
      <c r="U73" s="137"/>
      <c r="V73" s="137"/>
      <c r="W73" s="137"/>
    </row>
    <row r="74" spans="1:23" s="192" customFormat="1" x14ac:dyDescent="0.2">
      <c r="R74" s="137"/>
      <c r="S74" s="137"/>
      <c r="T74" s="137"/>
      <c r="U74" s="137"/>
      <c r="V74" s="137"/>
      <c r="W74" s="137"/>
    </row>
  </sheetData>
  <sheetProtection sheet="1"/>
  <mergeCells count="162">
    <mergeCell ref="A65:C65"/>
    <mergeCell ref="D65:G65"/>
    <mergeCell ref="A64:C64"/>
    <mergeCell ref="D64:G64"/>
    <mergeCell ref="A61:C61"/>
    <mergeCell ref="D61:G61"/>
    <mergeCell ref="D55:G55"/>
    <mergeCell ref="A56:C56"/>
    <mergeCell ref="F31:K31"/>
    <mergeCell ref="I56:K56"/>
    <mergeCell ref="I54:K54"/>
    <mergeCell ref="I64:K64"/>
    <mergeCell ref="I62:K62"/>
    <mergeCell ref="I38:K38"/>
    <mergeCell ref="I48:K48"/>
    <mergeCell ref="I46:K46"/>
    <mergeCell ref="A42:K42"/>
    <mergeCell ref="A41:C41"/>
    <mergeCell ref="I43:K43"/>
    <mergeCell ref="A36:C36"/>
    <mergeCell ref="D43:G43"/>
    <mergeCell ref="A44:C44"/>
    <mergeCell ref="A54:C54"/>
    <mergeCell ref="A53:C53"/>
    <mergeCell ref="A63:C63"/>
    <mergeCell ref="D63:G63"/>
    <mergeCell ref="I63:K63"/>
    <mergeCell ref="I61:K61"/>
    <mergeCell ref="A62:C62"/>
    <mergeCell ref="D36:G36"/>
    <mergeCell ref="A37:C37"/>
    <mergeCell ref="D37:G37"/>
    <mergeCell ref="D15:G15"/>
    <mergeCell ref="A17:C17"/>
    <mergeCell ref="A28:B28"/>
    <mergeCell ref="A43:C43"/>
    <mergeCell ref="A40:C40"/>
    <mergeCell ref="A30:K30"/>
    <mergeCell ref="D24:G24"/>
    <mergeCell ref="A29:B29"/>
    <mergeCell ref="A25:K25"/>
    <mergeCell ref="C29:K29"/>
    <mergeCell ref="C28:H28"/>
    <mergeCell ref="J28:K28"/>
    <mergeCell ref="A52:C52"/>
    <mergeCell ref="A51:C51"/>
    <mergeCell ref="A48:C48"/>
    <mergeCell ref="A46:C46"/>
    <mergeCell ref="D62:G62"/>
    <mergeCell ref="A60:C60"/>
    <mergeCell ref="D60:G60"/>
    <mergeCell ref="I6:K6"/>
    <mergeCell ref="L6:O6"/>
    <mergeCell ref="D21:G21"/>
    <mergeCell ref="A22:C22"/>
    <mergeCell ref="D22:G22"/>
    <mergeCell ref="A15:C15"/>
    <mergeCell ref="A38:C38"/>
    <mergeCell ref="D38:G38"/>
    <mergeCell ref="A31:E31"/>
    <mergeCell ref="A33:K33"/>
    <mergeCell ref="L59:O59"/>
    <mergeCell ref="D10:G10"/>
    <mergeCell ref="D11:G11"/>
    <mergeCell ref="A14:C14"/>
    <mergeCell ref="D14:G14"/>
    <mergeCell ref="L7:N11"/>
    <mergeCell ref="L13:N13"/>
    <mergeCell ref="H14:I14"/>
    <mergeCell ref="J14:K14"/>
    <mergeCell ref="L14:O14"/>
    <mergeCell ref="H13:I13"/>
    <mergeCell ref="A1:K1"/>
    <mergeCell ref="A2:K2"/>
    <mergeCell ref="A3:K3"/>
    <mergeCell ref="A6:C6"/>
    <mergeCell ref="D6:G6"/>
    <mergeCell ref="A4:K4"/>
    <mergeCell ref="A5:C5"/>
    <mergeCell ref="E5:K5"/>
    <mergeCell ref="I59:K59"/>
    <mergeCell ref="H7:J7"/>
    <mergeCell ref="H8:J8"/>
    <mergeCell ref="H9:J9"/>
    <mergeCell ref="H10:J10"/>
    <mergeCell ref="D44:G44"/>
    <mergeCell ref="K7:K11"/>
    <mergeCell ref="H11:J11"/>
    <mergeCell ref="A34:K34"/>
    <mergeCell ref="A35:C35"/>
    <mergeCell ref="D35:G35"/>
    <mergeCell ref="I35:K35"/>
    <mergeCell ref="H19:K19"/>
    <mergeCell ref="H12:K12"/>
    <mergeCell ref="A13:C13"/>
    <mergeCell ref="D8:G8"/>
    <mergeCell ref="A7:A11"/>
    <mergeCell ref="B7:C7"/>
    <mergeCell ref="B8:C8"/>
    <mergeCell ref="B9:C9"/>
    <mergeCell ref="B10:C10"/>
    <mergeCell ref="B11:C11"/>
    <mergeCell ref="D9:G9"/>
    <mergeCell ref="D7:G7"/>
    <mergeCell ref="J15:K15"/>
    <mergeCell ref="A21:C21"/>
    <mergeCell ref="A23:C23"/>
    <mergeCell ref="D23:G23"/>
    <mergeCell ref="D13:G13"/>
    <mergeCell ref="A20:C20"/>
    <mergeCell ref="A12:C12"/>
    <mergeCell ref="D12:G12"/>
    <mergeCell ref="L38:O38"/>
    <mergeCell ref="A39:C39"/>
    <mergeCell ref="D39:G39"/>
    <mergeCell ref="I39:K39"/>
    <mergeCell ref="L35:O35"/>
    <mergeCell ref="A19:C19"/>
    <mergeCell ref="D19:G20"/>
    <mergeCell ref="H24:K24"/>
    <mergeCell ref="J13:K13"/>
    <mergeCell ref="H15:I15"/>
    <mergeCell ref="A16:C16"/>
    <mergeCell ref="D16:G16"/>
    <mergeCell ref="A18:C18"/>
    <mergeCell ref="D18:G18"/>
    <mergeCell ref="D17:G17"/>
    <mergeCell ref="L26:N29"/>
    <mergeCell ref="D47:G47"/>
    <mergeCell ref="A26:K27"/>
    <mergeCell ref="I47:K47"/>
    <mergeCell ref="D46:G46"/>
    <mergeCell ref="D40:G40"/>
    <mergeCell ref="D41:G41"/>
    <mergeCell ref="L36:O36"/>
    <mergeCell ref="I40:K40"/>
    <mergeCell ref="I37:K37"/>
    <mergeCell ref="L37:O37"/>
    <mergeCell ref="A55:C55"/>
    <mergeCell ref="I51:K51"/>
    <mergeCell ref="I53:K53"/>
    <mergeCell ref="D52:G52"/>
    <mergeCell ref="D53:G53"/>
    <mergeCell ref="L60:P60"/>
    <mergeCell ref="L39:O39"/>
    <mergeCell ref="A58:K58"/>
    <mergeCell ref="A59:C59"/>
    <mergeCell ref="D59:G59"/>
    <mergeCell ref="A49:C49"/>
    <mergeCell ref="D49:G49"/>
    <mergeCell ref="A57:C57"/>
    <mergeCell ref="D57:G57"/>
    <mergeCell ref="A47:C47"/>
    <mergeCell ref="I55:K55"/>
    <mergeCell ref="I45:K45"/>
    <mergeCell ref="D56:G56"/>
    <mergeCell ref="A45:C45"/>
    <mergeCell ref="D45:G45"/>
    <mergeCell ref="D48:G48"/>
    <mergeCell ref="D54:G54"/>
    <mergeCell ref="A50:K50"/>
    <mergeCell ref="D51:G51"/>
  </mergeCells>
  <phoneticPr fontId="0" type="noConversion"/>
  <conditionalFormatting sqref="E5:K5">
    <cfRule type="expression" dxfId="122" priority="1" stopIfTrue="1">
      <formula>ISBLANK($D$5)</formula>
    </cfRule>
  </conditionalFormatting>
  <hyperlinks>
    <hyperlink ref="A6:C6" location="definitions!A4" display="Facility Name"/>
    <hyperlink ref="A5:C5" location="HCCIS_ID_list" display="HCCIS ID"/>
    <hyperlink ref="H6" location="defs_NPI" display="NPI"/>
    <hyperlink ref="L59:O59" location="code_7594" display="Capital Expenditure Reporting Section"/>
    <hyperlink ref="L37:O37" location="'Fixed Equip'!A1" display="Fixed Equipment"/>
    <hyperlink ref="L38:O38" location="'Portable Equip'!A1" display="Portable Equipment"/>
    <hyperlink ref="L39:O39" location="'Mobile Equip'!A1" display="Mobile Equipment"/>
    <hyperlink ref="L60:O60" location="'Capital Expend Project Specific'!A1" display="Click here to go the the Capital Expenditure Project Specific Tab"/>
    <hyperlink ref="A31:E31" location="cap_exp_errors" display="cap_exp_errors"/>
    <hyperlink ref="F31:K31" location="'Capital Expend Project Specific'!A1" display="Capital Expenditure Project Specific Tab"/>
  </hyperlinks>
  <pageMargins left="0.75" right="0.75" top="1" bottom="1" header="0.5" footer="0.5"/>
  <pageSetup scale="72" fitToHeight="2"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rowBreaks count="1" manualBreakCount="1">
    <brk id="3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74"/>
  <sheetViews>
    <sheetView zoomScaleNormal="100" workbookViewId="0">
      <selection sqref="A1:K1"/>
    </sheetView>
  </sheetViews>
  <sheetFormatPr defaultRowHeight="12.75" x14ac:dyDescent="0.2"/>
  <cols>
    <col min="1" max="13" width="9.140625" style="137"/>
    <col min="14" max="14" width="10.42578125" style="137" customWidth="1"/>
    <col min="15" max="23" width="0" style="137" hidden="1" customWidth="1"/>
    <col min="24" max="16384" width="9.140625" style="137"/>
  </cols>
  <sheetData>
    <row r="1" spans="1:23" ht="23.25" customHeight="1" x14ac:dyDescent="0.4">
      <c r="A1" s="723" t="s">
        <v>39</v>
      </c>
      <c r="B1" s="724"/>
      <c r="C1" s="724"/>
      <c r="D1" s="724"/>
      <c r="E1" s="724"/>
      <c r="F1" s="724"/>
      <c r="G1" s="724"/>
      <c r="H1" s="724"/>
      <c r="I1" s="724"/>
      <c r="J1" s="724"/>
      <c r="K1" s="724"/>
      <c r="R1" s="139" t="s">
        <v>369</v>
      </c>
      <c r="S1" s="139"/>
      <c r="T1" s="139"/>
      <c r="U1" s="139"/>
      <c r="V1" s="139"/>
      <c r="W1" s="139"/>
    </row>
    <row r="2" spans="1:23" ht="21" customHeight="1" thickBot="1" x14ac:dyDescent="0.4">
      <c r="A2" s="725" t="str">
        <f>CONCATENATE("Utilization Data ",'Demog Contact'!N1)</f>
        <v>Utilization Data 2019</v>
      </c>
      <c r="B2" s="726"/>
      <c r="C2" s="726"/>
      <c r="D2" s="726"/>
      <c r="E2" s="726"/>
      <c r="F2" s="726"/>
      <c r="G2" s="726"/>
      <c r="H2" s="726"/>
      <c r="I2" s="726"/>
      <c r="J2" s="726"/>
      <c r="K2" s="726"/>
      <c r="R2" s="139"/>
      <c r="S2" s="139"/>
      <c r="T2" s="139"/>
      <c r="U2" s="140"/>
      <c r="V2" s="140"/>
      <c r="W2" s="140"/>
    </row>
    <row r="3" spans="1:23" ht="24.95" customHeight="1" x14ac:dyDescent="0.2">
      <c r="A3" s="727" t="s">
        <v>57</v>
      </c>
      <c r="B3" s="728"/>
      <c r="C3" s="728"/>
      <c r="D3" s="728"/>
      <c r="E3" s="728"/>
      <c r="F3" s="728"/>
      <c r="G3" s="728"/>
      <c r="H3" s="728"/>
      <c r="I3" s="728"/>
      <c r="J3" s="728"/>
      <c r="K3" s="729"/>
      <c r="R3" s="141"/>
      <c r="S3" s="141"/>
      <c r="T3" s="141"/>
      <c r="U3" s="140"/>
      <c r="V3" s="140"/>
      <c r="W3" s="140"/>
    </row>
    <row r="4" spans="1:23" ht="24.95" customHeight="1" x14ac:dyDescent="0.2">
      <c r="A4" s="733" t="s">
        <v>32</v>
      </c>
      <c r="B4" s="734"/>
      <c r="C4" s="734"/>
      <c r="D4" s="734"/>
      <c r="E4" s="734"/>
      <c r="F4" s="734"/>
      <c r="G4" s="734"/>
      <c r="H4" s="734"/>
      <c r="I4" s="734"/>
      <c r="J4" s="734"/>
      <c r="K4" s="735"/>
      <c r="R4" s="141"/>
      <c r="S4" s="141"/>
      <c r="T4" s="141"/>
      <c r="U4" s="140"/>
      <c r="V4" s="140"/>
      <c r="W4" s="140"/>
    </row>
    <row r="5" spans="1:23" ht="30" customHeight="1" x14ac:dyDescent="0.2">
      <c r="A5" s="736" t="s">
        <v>668</v>
      </c>
      <c r="B5" s="737"/>
      <c r="C5" s="737"/>
      <c r="D5" s="142">
        <f>start</f>
        <v>0</v>
      </c>
      <c r="E5" s="738" t="str">
        <f>IF(ISBLANK(D5),"This is the unique ID assigned to your facility for the HCCIS data collection.  Please click on the HCCIS ID link, select your ID from the list, and enter it here.","Please verify the information that we have on file for your facility.")</f>
        <v>Please verify the information that we have on file for your facility.</v>
      </c>
      <c r="F5" s="739"/>
      <c r="G5" s="739"/>
      <c r="H5" s="739"/>
      <c r="I5" s="739"/>
      <c r="J5" s="739"/>
      <c r="K5" s="740"/>
      <c r="R5" s="141"/>
      <c r="S5" s="141"/>
      <c r="T5" s="141"/>
      <c r="U5" s="140"/>
      <c r="V5" s="140"/>
      <c r="W5" s="140"/>
    </row>
    <row r="6" spans="1:23" ht="24.95" customHeight="1" x14ac:dyDescent="0.2">
      <c r="A6" s="730" t="s">
        <v>209</v>
      </c>
      <c r="B6" s="731"/>
      <c r="C6" s="732"/>
      <c r="D6" s="711" t="e">
        <f>VLOOKUP($D$5,ID_list,2,FALSE)</f>
        <v>#N/A</v>
      </c>
      <c r="E6" s="711"/>
      <c r="F6" s="711"/>
      <c r="G6" s="711"/>
      <c r="H6" s="143" t="s">
        <v>87</v>
      </c>
      <c r="I6" s="751" t="e">
        <f>VLOOKUP($D$5,ID_list,91,FALSE)</f>
        <v>#N/A</v>
      </c>
      <c r="J6" s="751"/>
      <c r="K6" s="752"/>
      <c r="L6" s="753" t="e">
        <f>IF(I6=0,"Please enter the NPI assigned by CMS for the Reporting Entity."," ")</f>
        <v>#N/A</v>
      </c>
      <c r="M6" s="754"/>
      <c r="N6" s="754"/>
      <c r="O6" s="755"/>
      <c r="R6" s="144"/>
      <c r="S6" s="145"/>
      <c r="T6" s="144"/>
      <c r="U6" s="140"/>
      <c r="V6" s="144"/>
      <c r="W6" s="140"/>
    </row>
    <row r="7" spans="1:23" ht="24.95" customHeight="1" x14ac:dyDescent="0.2">
      <c r="A7" s="718"/>
      <c r="B7" s="659" t="s">
        <v>127</v>
      </c>
      <c r="C7" s="719"/>
      <c r="D7" s="720" t="e">
        <f>CONCATENATE(VLOOKUP($D$5,ID_list,4,FALSE)," ",VLOOKUP($D$5,ID_list,5,FALSE))</f>
        <v>#N/A</v>
      </c>
      <c r="E7" s="720"/>
      <c r="F7" s="720"/>
      <c r="G7" s="720"/>
      <c r="H7" s="741" t="e">
        <f>CONCATENATE(VLOOKUP($D$5,ID_list,10,FALSE)," ",VLOOKUP($D$5,ID_list,11,FALSE))</f>
        <v>#N/A</v>
      </c>
      <c r="I7" s="742"/>
      <c r="J7" s="743"/>
      <c r="K7" s="744" t="s">
        <v>35</v>
      </c>
      <c r="L7" s="766" t="s">
        <v>126</v>
      </c>
      <c r="M7" s="767"/>
      <c r="N7" s="768"/>
      <c r="R7" s="146" t="s">
        <v>305</v>
      </c>
      <c r="S7" s="147" t="e">
        <f>VLOOKUP($D$5,ID_list,92,FALSE)</f>
        <v>#N/A</v>
      </c>
      <c r="T7" s="144"/>
      <c r="U7" s="148"/>
      <c r="V7" s="144"/>
      <c r="W7" s="140"/>
    </row>
    <row r="8" spans="1:23" ht="24.95" customHeight="1" x14ac:dyDescent="0.2">
      <c r="A8" s="718"/>
      <c r="B8" s="659" t="s">
        <v>128</v>
      </c>
      <c r="C8" s="719"/>
      <c r="D8" s="720" t="e">
        <f>VLOOKUP($D$5,ID_list,3,FALSE)</f>
        <v>#N/A</v>
      </c>
      <c r="E8" s="720"/>
      <c r="F8" s="720"/>
      <c r="G8" s="720"/>
      <c r="H8" s="741" t="e">
        <f>VLOOKUP($D$5,ID_list,12,FALSE)</f>
        <v>#N/A</v>
      </c>
      <c r="I8" s="742"/>
      <c r="J8" s="743"/>
      <c r="K8" s="744"/>
      <c r="L8" s="769"/>
      <c r="M8" s="770"/>
      <c r="N8" s="771"/>
      <c r="R8" s="144"/>
      <c r="S8" s="139"/>
      <c r="T8" s="144"/>
      <c r="U8" s="140"/>
      <c r="V8" s="144"/>
      <c r="W8" s="140"/>
    </row>
    <row r="9" spans="1:23" ht="24.95" customHeight="1" x14ac:dyDescent="0.2">
      <c r="A9" s="718"/>
      <c r="B9" s="659" t="s">
        <v>135</v>
      </c>
      <c r="C9" s="719"/>
      <c r="D9" s="720" t="e">
        <f>VLOOKUP($D$5,ID_list,6,FALSE)</f>
        <v>#N/A</v>
      </c>
      <c r="E9" s="720"/>
      <c r="F9" s="720"/>
      <c r="G9" s="720"/>
      <c r="H9" s="741" t="e">
        <f>VLOOKUP($D$5,ID_list,13,FALSE)</f>
        <v>#N/A</v>
      </c>
      <c r="I9" s="742"/>
      <c r="J9" s="743"/>
      <c r="K9" s="744"/>
      <c r="L9" s="769"/>
      <c r="M9" s="770"/>
      <c r="N9" s="771"/>
      <c r="R9" s="144"/>
      <c r="S9" s="145"/>
      <c r="T9" s="144"/>
      <c r="U9" s="140"/>
      <c r="V9" s="149"/>
      <c r="W9" s="140"/>
    </row>
    <row r="10" spans="1:23" ht="24.95" customHeight="1" x14ac:dyDescent="0.2">
      <c r="A10" s="718"/>
      <c r="B10" s="659" t="s">
        <v>136</v>
      </c>
      <c r="C10" s="719"/>
      <c r="D10" s="763" t="e">
        <f>VLOOKUP($D$5,ID_list,7,FALSE)</f>
        <v>#N/A</v>
      </c>
      <c r="E10" s="764"/>
      <c r="F10" s="764"/>
      <c r="G10" s="765"/>
      <c r="H10" s="741" t="e">
        <f>VLOOKUP($D$5,ID_list,14,FALSE)</f>
        <v>#N/A</v>
      </c>
      <c r="I10" s="742"/>
      <c r="J10" s="743"/>
      <c r="K10" s="744"/>
      <c r="L10" s="769"/>
      <c r="M10" s="770"/>
      <c r="N10" s="771"/>
      <c r="R10" s="144"/>
      <c r="S10" s="145"/>
      <c r="T10" s="144"/>
      <c r="U10" s="140"/>
      <c r="V10" s="140"/>
      <c r="W10" s="140"/>
    </row>
    <row r="11" spans="1:23" ht="24.95" customHeight="1" x14ac:dyDescent="0.2">
      <c r="A11" s="718"/>
      <c r="B11" s="659" t="s">
        <v>129</v>
      </c>
      <c r="C11" s="719"/>
      <c r="D11" s="720" t="e">
        <f>CONCATENATE(VLOOKUP($D$5,ID_list,8,FALSE),"-",VLOOKUP($D$5,ID_list,9,FALSE))</f>
        <v>#N/A</v>
      </c>
      <c r="E11" s="720"/>
      <c r="F11" s="720"/>
      <c r="G11" s="720"/>
      <c r="H11" s="741" t="e">
        <f>CONCATENATE(VLOOKUP($D$5,ID_list,15,FALSE),"-",VLOOKUP($D$5,ID_list,16,FALSE))</f>
        <v>#N/A</v>
      </c>
      <c r="I11" s="742"/>
      <c r="J11" s="743"/>
      <c r="K11" s="744"/>
      <c r="L11" s="772"/>
      <c r="M11" s="772"/>
      <c r="N11" s="773"/>
      <c r="R11" s="144"/>
      <c r="S11" s="141"/>
      <c r="T11" s="144"/>
      <c r="U11" s="140"/>
      <c r="V11" s="140"/>
      <c r="W11" s="140"/>
    </row>
    <row r="12" spans="1:23" ht="24.95" customHeight="1" x14ac:dyDescent="0.2">
      <c r="A12" s="658" t="s">
        <v>130</v>
      </c>
      <c r="B12" s="692"/>
      <c r="C12" s="692"/>
      <c r="D12" s="697" t="e">
        <f>VLOOKUP($D$5,ID_list,17,FALSE)</f>
        <v>#N/A</v>
      </c>
      <c r="E12" s="697"/>
      <c r="F12" s="697"/>
      <c r="G12" s="697"/>
      <c r="H12" s="748" t="s">
        <v>59</v>
      </c>
      <c r="I12" s="749"/>
      <c r="J12" s="749"/>
      <c r="K12" s="750"/>
      <c r="L12" s="150"/>
      <c r="M12" s="150"/>
      <c r="N12" s="151"/>
      <c r="O12" s="150"/>
      <c r="R12" s="144"/>
      <c r="S12" s="141"/>
      <c r="T12" s="144"/>
      <c r="U12" s="140"/>
      <c r="V12" s="144"/>
      <c r="W12" s="140"/>
    </row>
    <row r="13" spans="1:23" ht="24.95" customHeight="1" x14ac:dyDescent="0.2">
      <c r="A13" s="658" t="s">
        <v>137</v>
      </c>
      <c r="B13" s="692"/>
      <c r="C13" s="692"/>
      <c r="D13" s="696" t="e">
        <f>VLOOKUP($D$5,ID_list,18,FALSE)</f>
        <v>#N/A</v>
      </c>
      <c r="E13" s="696"/>
      <c r="F13" s="696"/>
      <c r="G13" s="696"/>
      <c r="H13" s="776" t="str">
        <f>CONCATENATE('Demog Contact'!N1," Fiscal Year End Date")</f>
        <v>2019 Fiscal Year End Date</v>
      </c>
      <c r="I13" s="776"/>
      <c r="J13" s="819" t="e">
        <f>VLOOKUP($D$5,ID_list,97,FALSE)</f>
        <v>#N/A</v>
      </c>
      <c r="K13" s="820"/>
      <c r="L13" s="774"/>
      <c r="M13" s="775"/>
      <c r="N13" s="775"/>
      <c r="O13" s="152"/>
      <c r="R13" s="144"/>
      <c r="S13" s="141"/>
      <c r="T13" s="144"/>
      <c r="U13" s="140"/>
      <c r="V13" s="144"/>
      <c r="W13" s="140"/>
    </row>
    <row r="14" spans="1:23" ht="24.95" customHeight="1" x14ac:dyDescent="0.2">
      <c r="A14" s="658" t="s">
        <v>132</v>
      </c>
      <c r="B14" s="692"/>
      <c r="C14" s="692"/>
      <c r="D14" s="711" t="e">
        <f>CONCATENATE(VLOOKUP($D$5,ID_list,19,FALSE)," ",VLOOKUP($D$5,ID_list,20,FALSE))</f>
        <v>#N/A</v>
      </c>
      <c r="E14" s="711"/>
      <c r="F14" s="711"/>
      <c r="G14" s="711"/>
      <c r="H14" s="776" t="s">
        <v>58</v>
      </c>
      <c r="I14" s="777"/>
      <c r="J14" s="778" t="e">
        <f>VLOOKUP($D$5,ID_list,98,FALSE)</f>
        <v>#N/A</v>
      </c>
      <c r="K14" s="779"/>
      <c r="L14" s="774"/>
      <c r="M14" s="656"/>
      <c r="N14" s="656"/>
      <c r="O14" s="656"/>
      <c r="R14" s="144"/>
      <c r="S14" s="153"/>
      <c r="T14" s="144"/>
      <c r="U14" s="153"/>
      <c r="V14" s="144"/>
      <c r="W14" s="140"/>
    </row>
    <row r="15" spans="1:23" ht="24.95" customHeight="1" x14ac:dyDescent="0.2">
      <c r="A15" s="658" t="s">
        <v>133</v>
      </c>
      <c r="B15" s="692"/>
      <c r="C15" s="692"/>
      <c r="D15" s="711" t="e">
        <f>VLOOKUP($D$5,ID_list,21,FALSE)</f>
        <v>#N/A</v>
      </c>
      <c r="E15" s="711"/>
      <c r="F15" s="711"/>
      <c r="G15" s="711"/>
      <c r="H15" s="708" t="str">
        <f>IF(NOT(ISBLANK('Capital Expenditures'!J5)),"CER System ID MDH reference only","")</f>
        <v/>
      </c>
      <c r="I15" s="709"/>
      <c r="J15" s="721" t="str">
        <f>IF(NOT(ISBLANK('Capital Expenditures'!J5)),VLOOKUP($D$5,ID_list,99,FALSE),"")</f>
        <v/>
      </c>
      <c r="K15" s="722"/>
      <c r="L15" s="154"/>
      <c r="M15" s="154"/>
      <c r="N15" s="154"/>
      <c r="O15" s="154"/>
      <c r="R15" s="144"/>
      <c r="S15" s="153"/>
      <c r="T15" s="144"/>
      <c r="U15" s="140"/>
      <c r="V15" s="144"/>
      <c r="W15" s="140"/>
    </row>
    <row r="16" spans="1:23" ht="24.95" customHeight="1" x14ac:dyDescent="0.2">
      <c r="A16" s="658" t="s">
        <v>267</v>
      </c>
      <c r="B16" s="659"/>
      <c r="C16" s="660"/>
      <c r="D16" s="710" t="e">
        <f>VLOOKUP($D$5,ID_list,22,FALSE)</f>
        <v>#N/A</v>
      </c>
      <c r="E16" s="711"/>
      <c r="F16" s="821"/>
      <c r="G16" s="821"/>
      <c r="H16" s="155"/>
      <c r="I16" s="155"/>
      <c r="J16" s="155"/>
      <c r="K16" s="156"/>
      <c r="L16" s="157"/>
      <c r="M16" s="154"/>
      <c r="N16" s="154"/>
      <c r="O16" s="154"/>
      <c r="R16" s="144"/>
      <c r="S16" s="153"/>
      <c r="T16" s="144"/>
      <c r="U16" s="140"/>
      <c r="V16" s="144"/>
      <c r="W16" s="140"/>
    </row>
    <row r="17" spans="1:23" ht="24.95" customHeight="1" x14ac:dyDescent="0.2">
      <c r="A17" s="658" t="s">
        <v>134</v>
      </c>
      <c r="B17" s="692"/>
      <c r="C17" s="692"/>
      <c r="D17" s="711" t="e">
        <f>VLOOKUP($D$5,ID_list,23,FALSE)</f>
        <v>#N/A</v>
      </c>
      <c r="E17" s="711"/>
      <c r="F17" s="711"/>
      <c r="G17" s="711"/>
      <c r="H17" s="158"/>
      <c r="I17" s="158"/>
      <c r="J17" s="159"/>
      <c r="K17" s="160"/>
      <c r="L17" s="161"/>
      <c r="M17" s="161"/>
      <c r="N17" s="161"/>
      <c r="O17" s="154"/>
      <c r="R17" s="144"/>
      <c r="S17" s="153"/>
      <c r="T17" s="144"/>
      <c r="U17" s="140"/>
      <c r="V17" s="144"/>
      <c r="W17" s="140"/>
    </row>
    <row r="18" spans="1:23" ht="24.95" customHeight="1" x14ac:dyDescent="0.2">
      <c r="A18" s="658" t="s">
        <v>33</v>
      </c>
      <c r="B18" s="692"/>
      <c r="C18" s="692"/>
      <c r="D18" s="713" t="e">
        <f>VLOOKUP($D$5,ID_list,84,FALSE)</f>
        <v>#N/A</v>
      </c>
      <c r="E18" s="714"/>
      <c r="F18" s="714"/>
      <c r="G18" s="715"/>
      <c r="H18" s="162"/>
      <c r="I18" s="162"/>
      <c r="J18" s="162"/>
      <c r="K18" s="163"/>
      <c r="L18" s="164"/>
      <c r="M18" s="165"/>
      <c r="N18" s="165"/>
      <c r="O18" s="165"/>
      <c r="R18" s="144"/>
      <c r="S18" s="153"/>
      <c r="T18" s="144"/>
      <c r="U18" s="140"/>
      <c r="V18" s="144"/>
      <c r="W18" s="140"/>
    </row>
    <row r="19" spans="1:23" s="152" customFormat="1" ht="24.95" customHeight="1" x14ac:dyDescent="0.2">
      <c r="A19" s="658"/>
      <c r="B19" s="692"/>
      <c r="C19" s="692"/>
      <c r="D19" s="699" t="s">
        <v>213</v>
      </c>
      <c r="E19" s="700"/>
      <c r="F19" s="700"/>
      <c r="G19" s="701"/>
      <c r="H19" s="745" t="s">
        <v>140</v>
      </c>
      <c r="I19" s="746"/>
      <c r="J19" s="746"/>
      <c r="K19" s="747"/>
      <c r="L19" s="166"/>
      <c r="M19" s="166"/>
      <c r="N19" s="166"/>
      <c r="O19" s="166"/>
      <c r="P19" s="166"/>
      <c r="Q19" s="167"/>
      <c r="R19" s="168"/>
      <c r="S19" s="169"/>
      <c r="T19" s="144"/>
      <c r="U19" s="140"/>
      <c r="V19" s="144"/>
      <c r="W19" s="140"/>
    </row>
    <row r="20" spans="1:23" s="152" customFormat="1" ht="24.95" customHeight="1" x14ac:dyDescent="0.2">
      <c r="A20" s="658"/>
      <c r="B20" s="692"/>
      <c r="C20" s="692"/>
      <c r="D20" s="702"/>
      <c r="E20" s="703"/>
      <c r="F20" s="703"/>
      <c r="G20" s="704"/>
      <c r="H20" s="170" t="s">
        <v>141</v>
      </c>
      <c r="I20" s="170" t="s">
        <v>142</v>
      </c>
      <c r="J20" s="170" t="s">
        <v>143</v>
      </c>
      <c r="K20" s="171" t="s">
        <v>56</v>
      </c>
      <c r="L20" s="172"/>
      <c r="M20" s="173"/>
      <c r="N20" s="173"/>
      <c r="O20" s="147"/>
      <c r="R20" s="144"/>
      <c r="S20" s="140"/>
      <c r="T20" s="144"/>
      <c r="U20" s="140"/>
      <c r="V20" s="144"/>
      <c r="W20" s="140"/>
    </row>
    <row r="21" spans="1:23" s="152" customFormat="1" ht="24.95" customHeight="1" x14ac:dyDescent="0.2">
      <c r="A21" s="691"/>
      <c r="B21" s="692"/>
      <c r="C21" s="692"/>
      <c r="D21" s="711" t="e">
        <f>VLOOKUP($D$5,ID_list,85,FALSE)</f>
        <v>#N/A</v>
      </c>
      <c r="E21" s="711"/>
      <c r="F21" s="711"/>
      <c r="G21" s="711"/>
      <c r="H21" s="174" t="e">
        <f>IF(EXACT(VLOOKUP($D$5,ID_list,86,FALSE),"Owned"),"X","")</f>
        <v>#N/A</v>
      </c>
      <c r="I21" s="174" t="e">
        <f>IF(EXACT(VLOOKUP($D$5,ID_list,86,FALSE),"Managed"),"X","")</f>
        <v>#N/A</v>
      </c>
      <c r="J21" s="174" t="e">
        <f>IF(EXACT(VLOOKUP($D$5,ID_list,86,FALSE),"Leased"),"X","")</f>
        <v>#N/A</v>
      </c>
      <c r="K21" s="175" t="e">
        <f>IF(EXACT(VLOOKUP($D$5,ID_list,86,FALSE),"N/A"),"X","")</f>
        <v>#N/A</v>
      </c>
      <c r="L21" s="147"/>
      <c r="M21" s="147"/>
      <c r="N21" s="176"/>
      <c r="R21" s="177" t="e">
        <f>IF(LEN(T21)&gt;0,"Owned",IF(LEN(U21)&gt;0,"Managed",IF(LEN(V21)&gt;0,"Leased",IF(LEN(W21)&gt;0,"N/A",""))))</f>
        <v>#N/A</v>
      </c>
      <c r="S21" s="178" t="e">
        <f>R21</f>
        <v>#N/A</v>
      </c>
      <c r="T21" s="141" t="e">
        <f t="shared" ref="T21:V23" si="0">IF(OR(H21=0,ISBLANK(H21)),"",H21)</f>
        <v>#N/A</v>
      </c>
      <c r="U21" s="141" t="e">
        <f t="shared" si="0"/>
        <v>#N/A</v>
      </c>
      <c r="V21" s="141" t="e">
        <f t="shared" si="0"/>
        <v>#N/A</v>
      </c>
      <c r="W21" s="141" t="e">
        <f>IF(OR(K21=0,ISBLANK(K21)),"",K21)</f>
        <v>#N/A</v>
      </c>
    </row>
    <row r="22" spans="1:23" s="152" customFormat="1" ht="24.95" customHeight="1" x14ac:dyDescent="0.2">
      <c r="A22" s="691"/>
      <c r="B22" s="692"/>
      <c r="C22" s="692"/>
      <c r="D22" s="756" t="e">
        <f>VLOOKUP($D$5,ID_list,87,FALSE)</f>
        <v>#N/A</v>
      </c>
      <c r="E22" s="756"/>
      <c r="F22" s="756"/>
      <c r="G22" s="756"/>
      <c r="H22" s="174" t="e">
        <f>IF(EXACT(VLOOKUP($D$5,ID_list,88,FALSE),"Owned"),"X","")</f>
        <v>#N/A</v>
      </c>
      <c r="I22" s="174" t="e">
        <f>IF(EXACT(VLOOKUP($D$5,ID_list,88,FALSE),"Managed"),"X","")</f>
        <v>#N/A</v>
      </c>
      <c r="J22" s="174" t="e">
        <f>IF(EXACT(VLOOKUP($D$5,ID_list,88,FALSE),"Leased"),"X","")</f>
        <v>#N/A</v>
      </c>
      <c r="K22" s="179" t="e">
        <f>IF(EXACT(VLOOKUP($D$5,ID_list,88,FALSE),"N/A"),"X","")</f>
        <v>#N/A</v>
      </c>
      <c r="L22" s="147"/>
      <c r="M22" s="147"/>
      <c r="N22" s="176"/>
      <c r="R22" s="177" t="e">
        <f>IF(LEN(T22)&gt;0,"Owned",IF(LEN(U22)&gt;0,"Managed",IF(LEN(V22)&gt;0,"Leased",IF(LEN(W22)&gt;0,"N/A",""))))</f>
        <v>#N/A</v>
      </c>
      <c r="S22" s="178" t="e">
        <f>R22</f>
        <v>#N/A</v>
      </c>
      <c r="T22" s="141" t="e">
        <f t="shared" si="0"/>
        <v>#N/A</v>
      </c>
      <c r="U22" s="141" t="e">
        <f t="shared" si="0"/>
        <v>#N/A</v>
      </c>
      <c r="V22" s="141" t="e">
        <f t="shared" si="0"/>
        <v>#N/A</v>
      </c>
      <c r="W22" s="141" t="e">
        <f>IF(OR(K22=0,ISBLANK(K22)),"",K22)</f>
        <v>#N/A</v>
      </c>
    </row>
    <row r="23" spans="1:23" s="152" customFormat="1" ht="24.95" customHeight="1" thickBot="1" x14ac:dyDescent="0.25">
      <c r="A23" s="693"/>
      <c r="B23" s="694"/>
      <c r="C23" s="694"/>
      <c r="D23" s="695" t="e">
        <f>VLOOKUP($D$5,ID_list,89,FALSE)</f>
        <v>#N/A</v>
      </c>
      <c r="E23" s="695"/>
      <c r="F23" s="695"/>
      <c r="G23" s="695"/>
      <c r="H23" s="180" t="e">
        <f>IF(EXACT(VLOOKUP($D$5,ID_list,90,FALSE),"Owned"),"X","")</f>
        <v>#N/A</v>
      </c>
      <c r="I23" s="180" t="e">
        <f>IF(EXACT(VLOOKUP($D$5,ID_list,90,FALSE),"Managed"),"X","")</f>
        <v>#N/A</v>
      </c>
      <c r="J23" s="180" t="e">
        <f>IF(EXACT(VLOOKUP($D$5,ID_list,90,FALSE),"Leased"),"X","")</f>
        <v>#N/A</v>
      </c>
      <c r="K23" s="181" t="e">
        <f>IF(EXACT(VLOOKUP($D$5,ID_list,90,FALSE),"N/A"),"X","")</f>
        <v>#N/A</v>
      </c>
      <c r="L23" s="147"/>
      <c r="M23" s="147"/>
      <c r="N23" s="176"/>
      <c r="R23" s="177" t="e">
        <f>IF(LEN(T23)&gt;0,"Owned",IF(LEN(U23)&gt;0,"Managed",IF(LEN(V23)&gt;0,"Leased",IF(LEN(W23)&gt;0,"N/A",""))))</f>
        <v>#N/A</v>
      </c>
      <c r="S23" s="178" t="e">
        <f>R23</f>
        <v>#N/A</v>
      </c>
      <c r="T23" s="141" t="e">
        <f t="shared" si="0"/>
        <v>#N/A</v>
      </c>
      <c r="U23" s="141" t="e">
        <f t="shared" si="0"/>
        <v>#N/A</v>
      </c>
      <c r="V23" s="141" t="e">
        <f t="shared" si="0"/>
        <v>#N/A</v>
      </c>
      <c r="W23" s="141" t="e">
        <f>IF(OR(K23=0,ISBLANK(K23)),"",K23)</f>
        <v>#N/A</v>
      </c>
    </row>
    <row r="24" spans="1:23" ht="24.95" customHeight="1" thickBot="1" x14ac:dyDescent="0.25">
      <c r="A24" s="182"/>
      <c r="B24" s="183"/>
      <c r="C24" s="183"/>
      <c r="D24" s="783" t="s">
        <v>88</v>
      </c>
      <c r="E24" s="692"/>
      <c r="F24" s="692"/>
      <c r="G24" s="692"/>
      <c r="H24" s="705" t="str">
        <f>IF(COUNTBLANK(H21:K21)=4,"Please enter Type of Affiliation.",IF(COUNTBLANK(H21:K21)&lt;&gt;3,"Please VERIFY Type of Affiliation.",""))</f>
        <v>Please VERIFY Type of Affiliation.</v>
      </c>
      <c r="I24" s="705"/>
      <c r="J24" s="705"/>
      <c r="K24" s="705"/>
      <c r="L24" s="147"/>
      <c r="M24" s="147"/>
      <c r="N24" s="147"/>
      <c r="O24" s="152"/>
      <c r="R24" s="144"/>
      <c r="S24" s="140"/>
      <c r="T24" s="144"/>
      <c r="U24" s="140"/>
      <c r="V24" s="144"/>
      <c r="W24" s="140"/>
    </row>
    <row r="25" spans="1:23" ht="24.95" customHeight="1" x14ac:dyDescent="0.2">
      <c r="A25" s="727" t="s">
        <v>256</v>
      </c>
      <c r="B25" s="786"/>
      <c r="C25" s="786"/>
      <c r="D25" s="786"/>
      <c r="E25" s="786"/>
      <c r="F25" s="786"/>
      <c r="G25" s="786"/>
      <c r="H25" s="786"/>
      <c r="I25" s="786"/>
      <c r="J25" s="786"/>
      <c r="K25" s="787"/>
      <c r="R25" s="144"/>
      <c r="S25" s="139"/>
      <c r="T25" s="144"/>
      <c r="U25" s="140"/>
      <c r="V25" s="144"/>
      <c r="W25" s="140"/>
    </row>
    <row r="26" spans="1:23" s="184" customFormat="1" ht="24.95" customHeight="1" x14ac:dyDescent="0.2">
      <c r="A26" s="817" t="s">
        <v>669</v>
      </c>
      <c r="B26" s="818"/>
      <c r="C26" s="818"/>
      <c r="D26" s="818"/>
      <c r="E26" s="818"/>
      <c r="F26" s="818"/>
      <c r="G26" s="818"/>
      <c r="H26" s="818"/>
      <c r="I26" s="818"/>
      <c r="J26" s="818"/>
      <c r="K26" s="803"/>
      <c r="R26" s="168"/>
      <c r="S26" s="139"/>
      <c r="T26" s="144"/>
      <c r="U26" s="140"/>
      <c r="V26" s="144"/>
      <c r="W26" s="140"/>
    </row>
    <row r="27" spans="1:23" s="184" customFormat="1" ht="24.95" customHeight="1" x14ac:dyDescent="0.2">
      <c r="A27" s="780" t="s">
        <v>144</v>
      </c>
      <c r="B27" s="781"/>
      <c r="C27" s="818"/>
      <c r="D27" s="818"/>
      <c r="E27" s="818"/>
      <c r="F27" s="818"/>
      <c r="G27" s="818"/>
      <c r="H27" s="818"/>
      <c r="I27" s="818"/>
      <c r="J27" s="818"/>
      <c r="K27" s="803"/>
      <c r="R27" s="144"/>
      <c r="S27" s="139"/>
      <c r="T27" s="144"/>
      <c r="U27" s="140"/>
      <c r="V27" s="144"/>
      <c r="W27" s="140"/>
    </row>
    <row r="28" spans="1:23" s="184" customFormat="1" ht="24.95" customHeight="1" x14ac:dyDescent="0.2">
      <c r="A28" s="780" t="s">
        <v>145</v>
      </c>
      <c r="B28" s="781"/>
      <c r="C28" s="814"/>
      <c r="D28" s="814"/>
      <c r="E28" s="814"/>
      <c r="F28" s="814"/>
      <c r="G28" s="814"/>
      <c r="H28" s="814"/>
      <c r="I28" s="185" t="s">
        <v>146</v>
      </c>
      <c r="J28" s="794"/>
      <c r="K28" s="795"/>
      <c r="R28" s="144"/>
      <c r="S28" s="139"/>
      <c r="T28" s="144"/>
      <c r="U28" s="140"/>
      <c r="V28" s="144"/>
      <c r="W28" s="140"/>
    </row>
    <row r="29" spans="1:23" ht="24.95" customHeight="1" thickBot="1" x14ac:dyDescent="0.25">
      <c r="A29" s="784" t="s">
        <v>147</v>
      </c>
      <c r="B29" s="785"/>
      <c r="C29" s="815"/>
      <c r="D29" s="815"/>
      <c r="E29" s="815"/>
      <c r="F29" s="815"/>
      <c r="G29" s="815"/>
      <c r="H29" s="815"/>
      <c r="I29" s="815"/>
      <c r="J29" s="815"/>
      <c r="K29" s="816"/>
      <c r="R29" s="144"/>
      <c r="S29" s="139"/>
      <c r="T29" s="144"/>
      <c r="U29" s="140"/>
      <c r="V29" s="144"/>
      <c r="W29" s="140"/>
    </row>
    <row r="30" spans="1:23" ht="24.95" customHeight="1" x14ac:dyDescent="0.2">
      <c r="A30" s="782"/>
      <c r="B30" s="810"/>
      <c r="C30" s="810"/>
      <c r="D30" s="810"/>
      <c r="E30" s="810"/>
      <c r="F30" s="810"/>
      <c r="G30" s="810"/>
      <c r="H30" s="810"/>
      <c r="I30" s="810"/>
      <c r="J30" s="810"/>
      <c r="K30" s="810"/>
      <c r="R30" s="177" t="str">
        <f>IF(LEN(A30)&gt;0,"X","")</f>
        <v/>
      </c>
      <c r="S30" s="139"/>
      <c r="T30" s="144"/>
      <c r="U30" s="140"/>
      <c r="V30" s="144"/>
      <c r="W30" s="140"/>
    </row>
    <row r="31" spans="1:23" ht="24.95" customHeight="1" x14ac:dyDescent="0.2">
      <c r="A31" s="757" t="str">
        <f>IF(R30="X","Capital Expenditure Sections 13 and 14","")</f>
        <v/>
      </c>
      <c r="B31" s="813"/>
      <c r="C31" s="813"/>
      <c r="D31" s="813"/>
      <c r="E31" s="813"/>
      <c r="F31" s="757" t="str">
        <f>IF(R30="X","Capital Expenditure Project Specific Tab","")</f>
        <v/>
      </c>
      <c r="G31" s="757"/>
      <c r="H31" s="757"/>
      <c r="I31" s="757"/>
      <c r="J31" s="757"/>
      <c r="K31" s="757"/>
      <c r="L31" s="184"/>
      <c r="R31" s="144"/>
      <c r="S31" s="139"/>
      <c r="T31" s="144"/>
      <c r="U31" s="140"/>
      <c r="V31" s="144"/>
      <c r="W31" s="140"/>
    </row>
    <row r="32" spans="1:23" s="192" customFormat="1" ht="24.95" customHeight="1" thickBot="1" x14ac:dyDescent="0.25">
      <c r="A32" s="187" t="e">
        <f>CONCATENATE(D$5," ",(UPPER(D$6)))</f>
        <v>#N/A</v>
      </c>
      <c r="B32" s="188"/>
      <c r="C32" s="189"/>
      <c r="D32" s="189"/>
      <c r="E32" s="189"/>
      <c r="F32" s="189"/>
      <c r="G32" s="189"/>
      <c r="H32" s="189"/>
      <c r="I32" s="189"/>
      <c r="J32" s="189"/>
      <c r="K32" s="189"/>
      <c r="L32" s="190"/>
      <c r="M32" s="176"/>
      <c r="N32" s="191"/>
      <c r="O32" s="176"/>
      <c r="R32" s="144"/>
      <c r="S32" s="139"/>
      <c r="T32" s="144"/>
      <c r="U32" s="140"/>
      <c r="V32" s="144"/>
      <c r="W32" s="140"/>
    </row>
    <row r="33" spans="1:23" s="192" customFormat="1" ht="24.95" customHeight="1" x14ac:dyDescent="0.2">
      <c r="A33" s="758" t="s">
        <v>260</v>
      </c>
      <c r="B33" s="811"/>
      <c r="C33" s="811"/>
      <c r="D33" s="811"/>
      <c r="E33" s="811"/>
      <c r="F33" s="811"/>
      <c r="G33" s="811"/>
      <c r="H33" s="811"/>
      <c r="I33" s="811"/>
      <c r="J33" s="811"/>
      <c r="K33" s="812"/>
      <c r="L33" s="190"/>
      <c r="M33" s="176"/>
      <c r="N33" s="191"/>
      <c r="O33" s="176"/>
      <c r="R33" s="144"/>
      <c r="S33" s="139"/>
      <c r="T33" s="144"/>
      <c r="U33" s="140"/>
      <c r="V33" s="144"/>
      <c r="W33" s="140"/>
    </row>
    <row r="34" spans="1:23" s="192" customFormat="1" ht="24.95" customHeight="1" x14ac:dyDescent="0.2">
      <c r="A34" s="670" t="s">
        <v>261</v>
      </c>
      <c r="B34" s="805"/>
      <c r="C34" s="805"/>
      <c r="D34" s="805"/>
      <c r="E34" s="805"/>
      <c r="F34" s="805"/>
      <c r="G34" s="805"/>
      <c r="H34" s="805"/>
      <c r="I34" s="808"/>
      <c r="J34" s="808"/>
      <c r="K34" s="809"/>
      <c r="L34" s="190"/>
      <c r="M34" s="176"/>
      <c r="N34" s="191"/>
      <c r="O34" s="176"/>
      <c r="R34" s="177" t="s">
        <v>306</v>
      </c>
      <c r="S34" s="193" t="e">
        <f>VLOOKUP($D$5,ID_list,93,FALSE)</f>
        <v>#N/A</v>
      </c>
      <c r="T34" s="144"/>
      <c r="U34" s="140"/>
      <c r="V34" s="144"/>
      <c r="W34" s="140"/>
    </row>
    <row r="35" spans="1:23" s="192" customFormat="1" ht="24.95" customHeight="1" x14ac:dyDescent="0.2">
      <c r="A35" s="658" t="s">
        <v>183</v>
      </c>
      <c r="B35" s="692"/>
      <c r="C35" s="692"/>
      <c r="D35" s="661" t="e">
        <f>CONCATENATE(VLOOKUP($D$5,ID_list,24,FALSE)," ",VLOOKUP($D$5,ID_list,25,FALSE))</f>
        <v>#N/A</v>
      </c>
      <c r="E35" s="661"/>
      <c r="F35" s="661"/>
      <c r="G35" s="661"/>
      <c r="H35" s="194" t="s">
        <v>138</v>
      </c>
      <c r="I35" s="661" t="e">
        <f>VLOOKUP($D$5,ID_list,26,FALSE)</f>
        <v>#N/A</v>
      </c>
      <c r="J35" s="662"/>
      <c r="K35" s="663"/>
      <c r="L35" s="698"/>
      <c r="M35" s="612"/>
      <c r="N35" s="612"/>
      <c r="O35" s="612"/>
      <c r="R35" s="144"/>
      <c r="S35" s="139"/>
      <c r="T35" s="144"/>
      <c r="U35" s="140"/>
      <c r="V35" s="144"/>
      <c r="W35" s="140"/>
    </row>
    <row r="36" spans="1:23" s="192" customFormat="1" ht="24.95" customHeight="1" x14ac:dyDescent="0.2">
      <c r="A36" s="658" t="s">
        <v>262</v>
      </c>
      <c r="B36" s="692"/>
      <c r="C36" s="692"/>
      <c r="D36" s="665" t="e">
        <f>VLOOKUP($D$5,ID_list,27,FALSE)</f>
        <v>#N/A</v>
      </c>
      <c r="E36" s="665"/>
      <c r="F36" s="665"/>
      <c r="G36" s="665"/>
      <c r="H36" s="195"/>
      <c r="I36" s="196"/>
      <c r="J36" s="197"/>
      <c r="K36" s="198"/>
      <c r="L36" s="689" t="s">
        <v>105</v>
      </c>
      <c r="M36" s="690"/>
      <c r="N36" s="690"/>
      <c r="O36" s="690"/>
      <c r="R36" s="144"/>
      <c r="S36" s="139"/>
      <c r="T36" s="144"/>
      <c r="U36" s="140"/>
      <c r="V36" s="144"/>
      <c r="W36" s="140"/>
    </row>
    <row r="37" spans="1:23" s="192" customFormat="1" ht="24.95" customHeight="1" x14ac:dyDescent="0.2">
      <c r="A37" s="658" t="s">
        <v>127</v>
      </c>
      <c r="B37" s="692"/>
      <c r="C37" s="692"/>
      <c r="D37" s="661" t="e">
        <f>CONCATENATE(VLOOKUP($D$5,ID_list,32,FALSE)," ",VLOOKUP($D$5,ID_list,33,FALSE))</f>
        <v>#N/A</v>
      </c>
      <c r="E37" s="661"/>
      <c r="F37" s="661"/>
      <c r="G37" s="661"/>
      <c r="H37" s="199" t="s">
        <v>55</v>
      </c>
      <c r="I37" s="664" t="e">
        <f>VLOOKUP($D$5,ID_list,31,FALSE)</f>
        <v>#N/A</v>
      </c>
      <c r="J37" s="665"/>
      <c r="K37" s="803"/>
      <c r="L37" s="669" t="s">
        <v>102</v>
      </c>
      <c r="M37" s="646"/>
      <c r="N37" s="646"/>
      <c r="O37" s="646"/>
      <c r="R37" s="144"/>
      <c r="S37" s="139"/>
      <c r="T37" s="144"/>
      <c r="U37" s="140"/>
      <c r="V37" s="144"/>
      <c r="W37" s="140"/>
    </row>
    <row r="38" spans="1:23" s="192" customFormat="1" ht="24.95" customHeight="1" x14ac:dyDescent="0.2">
      <c r="A38" s="658" t="s">
        <v>128</v>
      </c>
      <c r="B38" s="692"/>
      <c r="C38" s="692"/>
      <c r="D38" s="665" t="e">
        <f>VLOOKUP($D$5,ID_list,34,FALSE)</f>
        <v>#N/A</v>
      </c>
      <c r="E38" s="665"/>
      <c r="F38" s="665"/>
      <c r="G38" s="665"/>
      <c r="H38" s="194" t="s">
        <v>139</v>
      </c>
      <c r="I38" s="800" t="e">
        <f>VLOOKUP($D$5,ID_list,28,FALSE)</f>
        <v>#N/A</v>
      </c>
      <c r="J38" s="801"/>
      <c r="K38" s="804"/>
      <c r="L38" s="669" t="s">
        <v>103</v>
      </c>
      <c r="M38" s="646"/>
      <c r="N38" s="646"/>
      <c r="O38" s="646"/>
      <c r="R38" s="144"/>
      <c r="S38" s="139"/>
      <c r="T38" s="144"/>
      <c r="U38" s="140"/>
      <c r="V38" s="144"/>
      <c r="W38" s="140"/>
    </row>
    <row r="39" spans="1:23" s="192" customFormat="1" ht="24.95" customHeight="1" x14ac:dyDescent="0.2">
      <c r="A39" s="658" t="s">
        <v>135</v>
      </c>
      <c r="B39" s="692"/>
      <c r="C39" s="692"/>
      <c r="D39" s="665" t="e">
        <f>VLOOKUP($D$5,ID_list,35,FALSE)</f>
        <v>#N/A</v>
      </c>
      <c r="E39" s="665"/>
      <c r="F39" s="665"/>
      <c r="G39" s="665"/>
      <c r="H39" s="200" t="s">
        <v>214</v>
      </c>
      <c r="I39" s="680" t="e">
        <f>VLOOKUP($D$5,ID_list,29,FALSE)</f>
        <v>#N/A</v>
      </c>
      <c r="J39" s="681"/>
      <c r="K39" s="682"/>
      <c r="L39" s="669" t="s">
        <v>104</v>
      </c>
      <c r="M39" s="646"/>
      <c r="N39" s="646"/>
      <c r="O39" s="646"/>
      <c r="R39" s="144"/>
      <c r="S39" s="139"/>
      <c r="T39" s="144"/>
      <c r="U39" s="140"/>
      <c r="V39" s="144"/>
      <c r="W39" s="140"/>
    </row>
    <row r="40" spans="1:23" s="192" customFormat="1" ht="24.95" customHeight="1" x14ac:dyDescent="0.2">
      <c r="A40" s="658" t="s">
        <v>136</v>
      </c>
      <c r="B40" s="692"/>
      <c r="C40" s="692"/>
      <c r="D40" s="679" t="e">
        <f>VLOOKUP($D$5,ID_list,36,FALSE)</f>
        <v>#N/A</v>
      </c>
      <c r="E40" s="679"/>
      <c r="F40" s="679"/>
      <c r="G40" s="679"/>
      <c r="H40" s="200" t="s">
        <v>131</v>
      </c>
      <c r="I40" s="680" t="e">
        <f>VLOOKUP($D$5,ID_list,30,FALSE)</f>
        <v>#N/A</v>
      </c>
      <c r="J40" s="681"/>
      <c r="K40" s="682"/>
      <c r="L40" s="167"/>
      <c r="M40" s="167"/>
      <c r="N40" s="166"/>
      <c r="O40" s="166"/>
      <c r="R40" s="144"/>
      <c r="S40" s="139"/>
      <c r="T40" s="144"/>
      <c r="U40" s="140"/>
      <c r="V40" s="144"/>
      <c r="W40" s="140"/>
    </row>
    <row r="41" spans="1:23" s="192" customFormat="1" ht="24.95" customHeight="1" x14ac:dyDescent="0.2">
      <c r="A41" s="658" t="s">
        <v>129</v>
      </c>
      <c r="B41" s="692"/>
      <c r="C41" s="692"/>
      <c r="D41" s="679" t="e">
        <f>CONCATENATE(VLOOKUP($D$5,ID_list,37,FALSE),"-",VLOOKUP($D$5,ID_list,38,FALSE))</f>
        <v>#N/A</v>
      </c>
      <c r="E41" s="679"/>
      <c r="F41" s="679"/>
      <c r="G41" s="679"/>
      <c r="H41" s="201"/>
      <c r="I41" s="201"/>
      <c r="J41" s="201"/>
      <c r="K41" s="202"/>
      <c r="L41" s="172"/>
      <c r="M41" s="173"/>
      <c r="N41" s="173"/>
      <c r="O41" s="147"/>
      <c r="R41" s="144"/>
      <c r="S41" s="139"/>
      <c r="T41" s="144"/>
      <c r="U41" s="140"/>
      <c r="V41" s="144"/>
      <c r="W41" s="140"/>
    </row>
    <row r="42" spans="1:23" s="192" customFormat="1" ht="24.95" customHeight="1" x14ac:dyDescent="0.2">
      <c r="A42" s="670" t="s">
        <v>263</v>
      </c>
      <c r="B42" s="805"/>
      <c r="C42" s="805"/>
      <c r="D42" s="805"/>
      <c r="E42" s="805"/>
      <c r="F42" s="805"/>
      <c r="G42" s="805"/>
      <c r="H42" s="805"/>
      <c r="I42" s="808"/>
      <c r="J42" s="808"/>
      <c r="K42" s="809"/>
      <c r="L42" s="190"/>
      <c r="M42" s="176"/>
      <c r="N42" s="191"/>
      <c r="O42" s="176"/>
      <c r="R42" s="177" t="s">
        <v>307</v>
      </c>
      <c r="S42" s="193" t="e">
        <f>VLOOKUP($D$5,ID_list,94,FALSE)</f>
        <v>#N/A</v>
      </c>
      <c r="T42" s="144"/>
      <c r="U42" s="140"/>
      <c r="V42" s="144"/>
      <c r="W42" s="140"/>
    </row>
    <row r="43" spans="1:23" s="192" customFormat="1" ht="24.95" customHeight="1" x14ac:dyDescent="0.2">
      <c r="A43" s="658" t="s">
        <v>264</v>
      </c>
      <c r="B43" s="692"/>
      <c r="C43" s="692"/>
      <c r="D43" s="661" t="e">
        <f>CONCATENATE(VLOOKUP($D$5,ID_list,39,FALSE)," ",VLOOKUP($D$5,ID_list,40,FALSE))</f>
        <v>#N/A</v>
      </c>
      <c r="E43" s="661"/>
      <c r="F43" s="661"/>
      <c r="G43" s="661"/>
      <c r="H43" s="194" t="s">
        <v>138</v>
      </c>
      <c r="I43" s="661" t="e">
        <f>VLOOKUP($D$5,ID_list,41,FALSE)</f>
        <v>#N/A</v>
      </c>
      <c r="J43" s="662"/>
      <c r="K43" s="663"/>
      <c r="L43" s="190"/>
      <c r="M43" s="176"/>
      <c r="N43" s="191"/>
      <c r="O43" s="176"/>
      <c r="R43" s="144"/>
      <c r="S43" s="139"/>
      <c r="T43" s="144"/>
      <c r="U43" s="140"/>
      <c r="V43" s="144"/>
      <c r="W43" s="140"/>
    </row>
    <row r="44" spans="1:23" s="192" customFormat="1" ht="24.95" customHeight="1" x14ac:dyDescent="0.2">
      <c r="A44" s="658" t="s">
        <v>262</v>
      </c>
      <c r="B44" s="692"/>
      <c r="C44" s="692"/>
      <c r="D44" s="661" t="e">
        <f>VLOOKUP($D$5,ID_list,42,FALSE)</f>
        <v>#N/A</v>
      </c>
      <c r="E44" s="661"/>
      <c r="F44" s="661"/>
      <c r="G44" s="661"/>
      <c r="H44" s="195"/>
      <c r="I44" s="196"/>
      <c r="J44" s="197"/>
      <c r="K44" s="198"/>
      <c r="L44" s="190"/>
      <c r="M44" s="176"/>
      <c r="N44" s="191"/>
      <c r="O44" s="176"/>
      <c r="R44" s="144"/>
      <c r="S44" s="139"/>
      <c r="T44" s="144"/>
      <c r="U44" s="140"/>
      <c r="V44" s="144"/>
      <c r="W44" s="140"/>
    </row>
    <row r="45" spans="1:23" s="192" customFormat="1" ht="24.95" customHeight="1" x14ac:dyDescent="0.2">
      <c r="A45" s="658" t="s">
        <v>127</v>
      </c>
      <c r="B45" s="692"/>
      <c r="C45" s="692"/>
      <c r="D45" s="661" t="e">
        <f>CONCATENATE(VLOOKUP($D$5,ID_list,47,FALSE)," ",VLOOKUP($D$5,ID_list,48,FALSE))</f>
        <v>#N/A</v>
      </c>
      <c r="E45" s="661"/>
      <c r="F45" s="661"/>
      <c r="G45" s="661"/>
      <c r="H45" s="199" t="s">
        <v>55</v>
      </c>
      <c r="I45" s="664" t="e">
        <f>VLOOKUP($D$5,ID_list,46,FALSE)</f>
        <v>#N/A</v>
      </c>
      <c r="J45" s="665"/>
      <c r="K45" s="803"/>
      <c r="L45" s="190"/>
      <c r="M45" s="176"/>
      <c r="N45" s="191"/>
      <c r="O45" s="176"/>
      <c r="R45" s="144"/>
      <c r="S45" s="139"/>
      <c r="T45" s="144"/>
      <c r="U45" s="140"/>
      <c r="V45" s="144"/>
      <c r="W45" s="140"/>
    </row>
    <row r="46" spans="1:23" s="192" customFormat="1" ht="24.95" customHeight="1" x14ac:dyDescent="0.2">
      <c r="A46" s="658" t="s">
        <v>265</v>
      </c>
      <c r="B46" s="692"/>
      <c r="C46" s="692"/>
      <c r="D46" s="665" t="e">
        <f>VLOOKUP($D$5,ID_list,49,FALSE)</f>
        <v>#N/A</v>
      </c>
      <c r="E46" s="665"/>
      <c r="F46" s="665"/>
      <c r="G46" s="665"/>
      <c r="H46" s="194" t="s">
        <v>139</v>
      </c>
      <c r="I46" s="800" t="e">
        <f>VLOOKUP($D$5,ID_list,43,FALSE)</f>
        <v>#N/A</v>
      </c>
      <c r="J46" s="801"/>
      <c r="K46" s="804"/>
      <c r="L46" s="190"/>
      <c r="M46" s="176"/>
      <c r="N46" s="191"/>
      <c r="O46" s="176"/>
      <c r="R46" s="144"/>
      <c r="S46" s="139"/>
      <c r="T46" s="144"/>
      <c r="U46" s="140"/>
      <c r="V46" s="144"/>
      <c r="W46" s="140"/>
    </row>
    <row r="47" spans="1:23" s="192" customFormat="1" ht="24.95" customHeight="1" x14ac:dyDescent="0.2">
      <c r="A47" s="658" t="s">
        <v>135</v>
      </c>
      <c r="B47" s="692"/>
      <c r="C47" s="692"/>
      <c r="D47" s="665" t="e">
        <f>VLOOKUP($D$5,ID_list,50,FALSE)</f>
        <v>#N/A</v>
      </c>
      <c r="E47" s="665"/>
      <c r="F47" s="665"/>
      <c r="G47" s="665"/>
      <c r="H47" s="200" t="s">
        <v>214</v>
      </c>
      <c r="I47" s="680" t="e">
        <f>VLOOKUP($D$5,ID_list,44,FALSE)</f>
        <v>#N/A</v>
      </c>
      <c r="J47" s="681"/>
      <c r="K47" s="682"/>
      <c r="L47" s="190"/>
      <c r="M47" s="176"/>
      <c r="N47" s="191"/>
      <c r="O47" s="176"/>
      <c r="R47" s="144"/>
      <c r="S47" s="139"/>
      <c r="T47" s="144"/>
      <c r="U47" s="140"/>
      <c r="V47" s="144"/>
      <c r="W47" s="140"/>
    </row>
    <row r="48" spans="1:23" s="192" customFormat="1" ht="24.95" customHeight="1" x14ac:dyDescent="0.2">
      <c r="A48" s="658" t="s">
        <v>136</v>
      </c>
      <c r="B48" s="692"/>
      <c r="C48" s="692"/>
      <c r="D48" s="665" t="e">
        <f>VLOOKUP($D$5,ID_list,51,FALSE)</f>
        <v>#N/A</v>
      </c>
      <c r="E48" s="665"/>
      <c r="F48" s="665"/>
      <c r="G48" s="665"/>
      <c r="H48" s="200" t="s">
        <v>131</v>
      </c>
      <c r="I48" s="680" t="e">
        <f>VLOOKUP($D$5,ID_list,45,FALSE)</f>
        <v>#N/A</v>
      </c>
      <c r="J48" s="681"/>
      <c r="K48" s="682"/>
      <c r="L48" s="190"/>
      <c r="M48" s="176"/>
      <c r="N48" s="191"/>
      <c r="O48" s="176"/>
      <c r="R48" s="144"/>
      <c r="S48" s="139"/>
      <c r="T48" s="144"/>
      <c r="U48" s="140"/>
      <c r="V48" s="144"/>
      <c r="W48" s="140"/>
    </row>
    <row r="49" spans="1:23" s="192" customFormat="1" ht="24.95" customHeight="1" x14ac:dyDescent="0.2">
      <c r="A49" s="658" t="s">
        <v>129</v>
      </c>
      <c r="B49" s="692"/>
      <c r="C49" s="692"/>
      <c r="D49" s="679" t="e">
        <f>CONCATENATE(VLOOKUP($D$5,ID_list,52,FALSE),"-",VLOOKUP($D$5,ID_list,53,FALSE))</f>
        <v>#N/A</v>
      </c>
      <c r="E49" s="679"/>
      <c r="F49" s="679"/>
      <c r="G49" s="679"/>
      <c r="H49" s="201"/>
      <c r="I49" s="201"/>
      <c r="J49" s="201"/>
      <c r="K49" s="202"/>
      <c r="L49" s="190"/>
      <c r="M49" s="176"/>
      <c r="N49" s="191"/>
      <c r="O49" s="176"/>
      <c r="R49" s="144"/>
      <c r="S49" s="139"/>
      <c r="T49" s="144"/>
      <c r="U49" s="140"/>
      <c r="V49" s="144"/>
      <c r="W49" s="140"/>
    </row>
    <row r="50" spans="1:23" s="192" customFormat="1" ht="24.95" customHeight="1" x14ac:dyDescent="0.2">
      <c r="A50" s="670" t="s">
        <v>266</v>
      </c>
      <c r="B50" s="805"/>
      <c r="C50" s="805"/>
      <c r="D50" s="805"/>
      <c r="E50" s="805"/>
      <c r="F50" s="805"/>
      <c r="G50" s="805"/>
      <c r="H50" s="805"/>
      <c r="I50" s="808"/>
      <c r="J50" s="808"/>
      <c r="K50" s="809"/>
      <c r="L50" s="190"/>
      <c r="M50" s="176"/>
      <c r="N50" s="191"/>
      <c r="O50" s="176"/>
      <c r="R50" s="177" t="s">
        <v>308</v>
      </c>
      <c r="S50" s="193" t="e">
        <f>VLOOKUP($D$5,ID_list,95,FALSE)</f>
        <v>#N/A</v>
      </c>
      <c r="T50" s="144"/>
      <c r="U50" s="140"/>
      <c r="V50" s="144"/>
      <c r="W50" s="140"/>
    </row>
    <row r="51" spans="1:23" s="192" customFormat="1" ht="24.95" customHeight="1" x14ac:dyDescent="0.2">
      <c r="A51" s="658" t="s">
        <v>264</v>
      </c>
      <c r="B51" s="692"/>
      <c r="C51" s="692"/>
      <c r="D51" s="661" t="e">
        <f>CONCATENATE(VLOOKUP($D$5,ID_list,54,FALSE)," ",VLOOKUP($D$5,ID_list,55,FALSE))</f>
        <v>#N/A</v>
      </c>
      <c r="E51" s="661"/>
      <c r="F51" s="661"/>
      <c r="G51" s="661"/>
      <c r="H51" s="194" t="s">
        <v>138</v>
      </c>
      <c r="I51" s="661" t="e">
        <f>VLOOKUP($D$5,ID_list,56,FALSE)</f>
        <v>#N/A</v>
      </c>
      <c r="J51" s="662"/>
      <c r="K51" s="663"/>
      <c r="L51" s="190"/>
      <c r="M51" s="176"/>
      <c r="N51" s="191"/>
      <c r="O51" s="176"/>
      <c r="R51" s="144"/>
      <c r="S51" s="139"/>
      <c r="T51" s="144"/>
      <c r="U51" s="140"/>
      <c r="V51" s="144"/>
      <c r="W51" s="140"/>
    </row>
    <row r="52" spans="1:23" s="192" customFormat="1" ht="24.95" customHeight="1" x14ac:dyDescent="0.2">
      <c r="A52" s="658" t="s">
        <v>262</v>
      </c>
      <c r="B52" s="692"/>
      <c r="C52" s="692"/>
      <c r="D52" s="665" t="e">
        <f>VLOOKUP($D$5,ID_list,57,FALSE)</f>
        <v>#N/A</v>
      </c>
      <c r="E52" s="665"/>
      <c r="F52" s="665"/>
      <c r="G52" s="665"/>
      <c r="H52" s="195"/>
      <c r="I52" s="196"/>
      <c r="J52" s="197"/>
      <c r="K52" s="198"/>
      <c r="L52" s="190"/>
      <c r="M52" s="176"/>
      <c r="N52" s="191"/>
      <c r="O52" s="176"/>
      <c r="R52" s="144"/>
      <c r="S52" s="139"/>
      <c r="T52" s="144"/>
      <c r="U52" s="140"/>
      <c r="V52" s="144"/>
      <c r="W52" s="140"/>
    </row>
    <row r="53" spans="1:23" s="192" customFormat="1" ht="24.95" customHeight="1" x14ac:dyDescent="0.2">
      <c r="A53" s="658" t="s">
        <v>127</v>
      </c>
      <c r="B53" s="692"/>
      <c r="C53" s="692"/>
      <c r="D53" s="661" t="e">
        <f>CONCATENATE(VLOOKUP($D$5,ID_list,62,FALSE)," ",VLOOKUP($D$5,ID_list,63,FALSE))</f>
        <v>#N/A</v>
      </c>
      <c r="E53" s="661"/>
      <c r="F53" s="661"/>
      <c r="G53" s="661"/>
      <c r="H53" s="199" t="s">
        <v>55</v>
      </c>
      <c r="I53" s="664" t="e">
        <f>VLOOKUP($D$5,ID_list,61,FALSE)</f>
        <v>#N/A</v>
      </c>
      <c r="J53" s="665"/>
      <c r="K53" s="803"/>
      <c r="L53" s="190"/>
      <c r="M53" s="176"/>
      <c r="N53" s="191"/>
      <c r="O53" s="176"/>
      <c r="R53" s="144"/>
      <c r="S53" s="139"/>
      <c r="T53" s="144"/>
      <c r="U53" s="140"/>
      <c r="V53" s="144"/>
      <c r="W53" s="140"/>
    </row>
    <row r="54" spans="1:23" s="192" customFormat="1" ht="24.95" customHeight="1" x14ac:dyDescent="0.2">
      <c r="A54" s="658" t="s">
        <v>265</v>
      </c>
      <c r="B54" s="692"/>
      <c r="C54" s="692"/>
      <c r="D54" s="665" t="e">
        <f>VLOOKUP($D$5,ID_list,64,FALSE)</f>
        <v>#N/A</v>
      </c>
      <c r="E54" s="665"/>
      <c r="F54" s="665"/>
      <c r="G54" s="665"/>
      <c r="H54" s="194" t="s">
        <v>139</v>
      </c>
      <c r="I54" s="800" t="e">
        <f>VLOOKUP($D$5,ID_list,58,FALSE)</f>
        <v>#N/A</v>
      </c>
      <c r="J54" s="801"/>
      <c r="K54" s="804"/>
      <c r="L54" s="190"/>
      <c r="M54" s="176"/>
      <c r="N54" s="191"/>
      <c r="O54" s="176"/>
      <c r="R54" s="144"/>
      <c r="S54" s="139"/>
      <c r="T54" s="144"/>
      <c r="U54" s="140"/>
      <c r="V54" s="144"/>
      <c r="W54" s="140"/>
    </row>
    <row r="55" spans="1:23" s="192" customFormat="1" ht="24.95" customHeight="1" x14ac:dyDescent="0.2">
      <c r="A55" s="658" t="s">
        <v>135</v>
      </c>
      <c r="B55" s="692"/>
      <c r="C55" s="692"/>
      <c r="D55" s="665" t="e">
        <f>VLOOKUP($D$5,ID_list,65,FALSE)</f>
        <v>#N/A</v>
      </c>
      <c r="E55" s="665"/>
      <c r="F55" s="665"/>
      <c r="G55" s="665"/>
      <c r="H55" s="200" t="s">
        <v>214</v>
      </c>
      <c r="I55" s="680" t="e">
        <f>VLOOKUP($D$5,ID_list,59,FALSE)</f>
        <v>#N/A</v>
      </c>
      <c r="J55" s="681"/>
      <c r="K55" s="682"/>
      <c r="L55" s="203"/>
      <c r="M55" s="176"/>
      <c r="N55" s="191"/>
      <c r="O55" s="176"/>
      <c r="R55" s="144"/>
      <c r="S55" s="139"/>
      <c r="T55" s="144"/>
      <c r="U55" s="140"/>
      <c r="V55" s="144"/>
      <c r="W55" s="140"/>
    </row>
    <row r="56" spans="1:23" s="192" customFormat="1" ht="24.95" customHeight="1" x14ac:dyDescent="0.2">
      <c r="A56" s="658" t="s">
        <v>136</v>
      </c>
      <c r="B56" s="692"/>
      <c r="C56" s="692"/>
      <c r="D56" s="665" t="e">
        <f>VLOOKUP($D$5,ID_list,66,FALSE)</f>
        <v>#N/A</v>
      </c>
      <c r="E56" s="665"/>
      <c r="F56" s="665"/>
      <c r="G56" s="665"/>
      <c r="H56" s="200" t="s">
        <v>131</v>
      </c>
      <c r="I56" s="680" t="e">
        <f>VLOOKUP($D$5,ID_list,60,FALSE)</f>
        <v>#N/A</v>
      </c>
      <c r="J56" s="681"/>
      <c r="K56" s="682"/>
      <c r="L56" s="190"/>
      <c r="M56" s="176"/>
      <c r="N56" s="191"/>
      <c r="O56" s="176"/>
      <c r="R56" s="144"/>
      <c r="S56" s="139"/>
      <c r="T56" s="144"/>
      <c r="U56" s="140"/>
      <c r="V56" s="144"/>
      <c r="W56" s="140"/>
    </row>
    <row r="57" spans="1:23" s="192" customFormat="1" ht="24.95" customHeight="1" x14ac:dyDescent="0.2">
      <c r="A57" s="658" t="s">
        <v>129</v>
      </c>
      <c r="B57" s="692"/>
      <c r="C57" s="692"/>
      <c r="D57" s="679" t="e">
        <f>CONCATENATE(VLOOKUP($D$5,ID_list,67,FALSE),"-",VLOOKUP($D$5,ID_list,68,FALSE))</f>
        <v>#N/A</v>
      </c>
      <c r="E57" s="679"/>
      <c r="F57" s="679"/>
      <c r="G57" s="679"/>
      <c r="H57" s="201"/>
      <c r="I57" s="201"/>
      <c r="J57" s="201"/>
      <c r="K57" s="202"/>
      <c r="M57" s="176"/>
      <c r="N57" s="191"/>
      <c r="O57" s="176"/>
      <c r="R57" s="144"/>
      <c r="S57" s="139"/>
      <c r="T57" s="144"/>
      <c r="U57" s="140"/>
      <c r="V57" s="144"/>
      <c r="W57" s="140"/>
    </row>
    <row r="58" spans="1:23" s="192" customFormat="1" ht="24.95" customHeight="1" x14ac:dyDescent="0.2">
      <c r="A58" s="670" t="s">
        <v>115</v>
      </c>
      <c r="B58" s="805"/>
      <c r="C58" s="805"/>
      <c r="D58" s="805"/>
      <c r="E58" s="805"/>
      <c r="F58" s="805"/>
      <c r="G58" s="805"/>
      <c r="H58" s="805"/>
      <c r="I58" s="806"/>
      <c r="J58" s="806"/>
      <c r="K58" s="807"/>
      <c r="R58" s="177" t="s">
        <v>309</v>
      </c>
      <c r="S58" s="193" t="e">
        <f>VLOOKUP($D$5,ID_list,96,FALSE)</f>
        <v>#N/A</v>
      </c>
      <c r="T58" s="144"/>
      <c r="U58" s="140"/>
      <c r="V58" s="144"/>
      <c r="W58" s="140"/>
    </row>
    <row r="59" spans="1:23" s="192" customFormat="1" ht="24.95" customHeight="1" x14ac:dyDescent="0.2">
      <c r="A59" s="658" t="s">
        <v>182</v>
      </c>
      <c r="B59" s="692"/>
      <c r="C59" s="692"/>
      <c r="D59" s="661" t="e">
        <f>CONCATENATE(VLOOKUP($D$5,ID_list,69,FALSE)," ",VLOOKUP($D$5,ID_list,70,FALSE))</f>
        <v>#N/A</v>
      </c>
      <c r="E59" s="661"/>
      <c r="F59" s="661"/>
      <c r="G59" s="661"/>
      <c r="H59" s="194" t="s">
        <v>138</v>
      </c>
      <c r="I59" s="661" t="e">
        <f>VLOOKUP($D$5,ID_list,71,FALSE)</f>
        <v>#N/A</v>
      </c>
      <c r="J59" s="662"/>
      <c r="K59" s="663"/>
      <c r="L59" s="761" t="str">
        <f>IF(LEN('Capital Expenditures'!J5)&gt;0,"Capital Expenditure Reporting Section","")</f>
        <v/>
      </c>
      <c r="M59" s="762"/>
      <c r="N59" s="762"/>
      <c r="O59" s="762"/>
      <c r="R59" s="144"/>
      <c r="S59" s="139"/>
      <c r="T59" s="144"/>
      <c r="U59" s="140"/>
      <c r="V59" s="144"/>
      <c r="W59" s="140"/>
    </row>
    <row r="60" spans="1:23" s="192" customFormat="1" ht="24.95" customHeight="1" x14ac:dyDescent="0.2">
      <c r="A60" s="658" t="s">
        <v>262</v>
      </c>
      <c r="B60" s="692"/>
      <c r="C60" s="692"/>
      <c r="D60" s="665" t="e">
        <f>VLOOKUP($D$5,ID_list,72,FALSE)</f>
        <v>#N/A</v>
      </c>
      <c r="E60" s="665"/>
      <c r="F60" s="665"/>
      <c r="G60" s="665"/>
      <c r="H60" s="195"/>
      <c r="I60" s="196"/>
      <c r="J60" s="197"/>
      <c r="K60" s="198"/>
      <c r="L60" s="667" t="str">
        <f>IF(NOT(ISBLANK('Capital Expenditures'!J5)),"Capital Expenditure Project Specific Tab","")</f>
        <v/>
      </c>
      <c r="M60" s="667"/>
      <c r="N60" s="667"/>
      <c r="O60" s="667"/>
      <c r="P60" s="668"/>
      <c r="R60" s="144"/>
      <c r="S60" s="139"/>
      <c r="T60" s="144"/>
      <c r="U60" s="140"/>
      <c r="V60" s="144"/>
      <c r="W60" s="140"/>
    </row>
    <row r="61" spans="1:23" s="192" customFormat="1" ht="24.95" customHeight="1" x14ac:dyDescent="0.2">
      <c r="A61" s="658" t="s">
        <v>127</v>
      </c>
      <c r="B61" s="692"/>
      <c r="C61" s="692"/>
      <c r="D61" s="661" t="e">
        <f>CONCATENATE(VLOOKUP($D$5,ID_list,77,FALSE)," ",VLOOKUP($D$5,ID_list,78,FALSE))</f>
        <v>#N/A</v>
      </c>
      <c r="E61" s="661"/>
      <c r="F61" s="661"/>
      <c r="G61" s="661"/>
      <c r="H61" s="199" t="s">
        <v>55</v>
      </c>
      <c r="I61" s="664" t="e">
        <f>VLOOKUP($D$5,ID_list,76,FALSE)</f>
        <v>#N/A</v>
      </c>
      <c r="J61" s="665"/>
      <c r="K61" s="803"/>
      <c r="R61" s="144"/>
      <c r="S61" s="139"/>
      <c r="T61" s="144"/>
      <c r="U61" s="140"/>
      <c r="V61" s="144"/>
      <c r="W61" s="140"/>
    </row>
    <row r="62" spans="1:23" s="192" customFormat="1" ht="24.95" customHeight="1" x14ac:dyDescent="0.2">
      <c r="A62" s="658" t="s">
        <v>265</v>
      </c>
      <c r="B62" s="692"/>
      <c r="C62" s="692"/>
      <c r="D62" s="665" t="e">
        <f>VLOOKUP($D$5,ID_list,79,FALSE)</f>
        <v>#N/A</v>
      </c>
      <c r="E62" s="665"/>
      <c r="F62" s="665"/>
      <c r="G62" s="665"/>
      <c r="H62" s="194" t="s">
        <v>139</v>
      </c>
      <c r="I62" s="800" t="e">
        <f>VLOOKUP($D$5,ID_list,73,FALSE)</f>
        <v>#N/A</v>
      </c>
      <c r="J62" s="801"/>
      <c r="K62" s="804"/>
      <c r="R62" s="144"/>
      <c r="S62" s="139"/>
      <c r="T62" s="144"/>
      <c r="U62" s="140"/>
      <c r="V62" s="144"/>
      <c r="W62" s="140"/>
    </row>
    <row r="63" spans="1:23" s="192" customFormat="1" ht="24.95" customHeight="1" x14ac:dyDescent="0.2">
      <c r="A63" s="658" t="s">
        <v>135</v>
      </c>
      <c r="B63" s="692"/>
      <c r="C63" s="692"/>
      <c r="D63" s="665" t="e">
        <f>VLOOKUP($D$5,ID_list,80,FALSE)</f>
        <v>#N/A</v>
      </c>
      <c r="E63" s="665"/>
      <c r="F63" s="665"/>
      <c r="G63" s="665"/>
      <c r="H63" s="200" t="s">
        <v>214</v>
      </c>
      <c r="I63" s="680" t="e">
        <f>VLOOKUP($D$5,ID_list,74,FALSE)</f>
        <v>#N/A</v>
      </c>
      <c r="J63" s="681"/>
      <c r="K63" s="682"/>
      <c r="R63" s="144"/>
      <c r="S63" s="139"/>
      <c r="T63" s="144"/>
      <c r="U63" s="140"/>
      <c r="V63" s="144"/>
      <c r="W63" s="140"/>
    </row>
    <row r="64" spans="1:23" s="192" customFormat="1" ht="24.95" customHeight="1" x14ac:dyDescent="0.2">
      <c r="A64" s="658" t="s">
        <v>136</v>
      </c>
      <c r="B64" s="692"/>
      <c r="C64" s="692"/>
      <c r="D64" s="665" t="e">
        <f>VLOOKUP($D$5,ID_list,81,FALSE)</f>
        <v>#N/A</v>
      </c>
      <c r="E64" s="665"/>
      <c r="F64" s="665"/>
      <c r="G64" s="665"/>
      <c r="H64" s="200" t="s">
        <v>131</v>
      </c>
      <c r="I64" s="680" t="e">
        <f>VLOOKUP($D$5,ID_list,75,FALSE)</f>
        <v>#N/A</v>
      </c>
      <c r="J64" s="681"/>
      <c r="K64" s="682"/>
      <c r="R64" s="144"/>
      <c r="S64" s="139"/>
      <c r="T64" s="144"/>
      <c r="U64" s="140"/>
      <c r="V64" s="144"/>
      <c r="W64" s="140"/>
    </row>
    <row r="65" spans="1:23" s="192" customFormat="1" ht="24.95" customHeight="1" thickBot="1" x14ac:dyDescent="0.25">
      <c r="A65" s="796" t="s">
        <v>129</v>
      </c>
      <c r="B65" s="694"/>
      <c r="C65" s="694"/>
      <c r="D65" s="799" t="e">
        <f>CONCATENATE(VLOOKUP($D$5,ID_list,82,FALSE)," ",VLOOKUP($D$5,ID_list,83,FALSE))</f>
        <v>#N/A</v>
      </c>
      <c r="E65" s="799"/>
      <c r="F65" s="799"/>
      <c r="G65" s="799"/>
      <c r="H65" s="204"/>
      <c r="I65" s="204"/>
      <c r="J65" s="204"/>
      <c r="K65" s="205"/>
      <c r="R65" s="144"/>
      <c r="S65" s="139"/>
      <c r="T65" s="144"/>
      <c r="U65" s="140"/>
      <c r="V65" s="144"/>
      <c r="W65" s="140"/>
    </row>
    <row r="66" spans="1:23" s="192" customFormat="1" x14ac:dyDescent="0.2">
      <c r="R66" s="137"/>
      <c r="S66" s="137"/>
      <c r="T66" s="137"/>
      <c r="U66" s="137"/>
      <c r="V66" s="137"/>
      <c r="W66" s="137"/>
    </row>
    <row r="67" spans="1:23" s="192" customFormat="1" x14ac:dyDescent="0.2">
      <c r="R67" s="137"/>
      <c r="S67" s="137"/>
      <c r="T67" s="137"/>
      <c r="U67" s="137"/>
      <c r="V67" s="137"/>
      <c r="W67" s="137"/>
    </row>
    <row r="68" spans="1:23" s="192" customFormat="1" x14ac:dyDescent="0.2">
      <c r="R68" s="137"/>
      <c r="S68" s="137"/>
      <c r="T68" s="137"/>
      <c r="U68" s="137"/>
      <c r="V68" s="137"/>
      <c r="W68" s="137"/>
    </row>
    <row r="69" spans="1:23" s="192" customFormat="1" x14ac:dyDescent="0.2">
      <c r="R69" s="137"/>
      <c r="S69" s="137"/>
      <c r="T69" s="137"/>
      <c r="U69" s="137"/>
      <c r="V69" s="137"/>
      <c r="W69" s="137"/>
    </row>
    <row r="70" spans="1:23" s="192" customFormat="1" x14ac:dyDescent="0.2">
      <c r="A70" s="206"/>
      <c r="B70" s="206"/>
      <c r="C70" s="206"/>
      <c r="D70" s="206"/>
      <c r="E70" s="206"/>
      <c r="R70" s="137"/>
      <c r="S70" s="137"/>
      <c r="T70" s="137"/>
      <c r="U70" s="137"/>
      <c r="V70" s="137"/>
      <c r="W70" s="137"/>
    </row>
    <row r="71" spans="1:23" s="192" customFormat="1" x14ac:dyDescent="0.2">
      <c r="R71" s="137"/>
      <c r="S71" s="137"/>
      <c r="T71" s="137"/>
      <c r="U71" s="137"/>
      <c r="V71" s="137"/>
      <c r="W71" s="137"/>
    </row>
    <row r="72" spans="1:23" s="192" customFormat="1" x14ac:dyDescent="0.2">
      <c r="R72" s="137"/>
      <c r="S72" s="137"/>
      <c r="T72" s="137"/>
      <c r="U72" s="137"/>
      <c r="V72" s="137"/>
      <c r="W72" s="137"/>
    </row>
    <row r="73" spans="1:23" s="192" customFormat="1" x14ac:dyDescent="0.2">
      <c r="R73" s="137"/>
      <c r="S73" s="137"/>
      <c r="T73" s="137"/>
      <c r="U73" s="137"/>
      <c r="V73" s="137"/>
      <c r="W73" s="137"/>
    </row>
    <row r="74" spans="1:23" s="192" customFormat="1" x14ac:dyDescent="0.2">
      <c r="R74" s="137"/>
      <c r="S74" s="137"/>
      <c r="T74" s="137"/>
      <c r="U74" s="137"/>
      <c r="V74" s="137"/>
      <c r="W74" s="137"/>
    </row>
  </sheetData>
  <sheetProtection sheet="1"/>
  <mergeCells count="163">
    <mergeCell ref="A1:K1"/>
    <mergeCell ref="A2:K2"/>
    <mergeCell ref="A3:K3"/>
    <mergeCell ref="A4:K4"/>
    <mergeCell ref="A5:C5"/>
    <mergeCell ref="E5:K5"/>
    <mergeCell ref="A6:C6"/>
    <mergeCell ref="D6:G6"/>
    <mergeCell ref="A46:C46"/>
    <mergeCell ref="D46:G46"/>
    <mergeCell ref="A42:K42"/>
    <mergeCell ref="A43:C43"/>
    <mergeCell ref="D43:G43"/>
    <mergeCell ref="I43:K43"/>
    <mergeCell ref="A44:C44"/>
    <mergeCell ref="I45:K45"/>
    <mergeCell ref="H12:K12"/>
    <mergeCell ref="I6:K6"/>
    <mergeCell ref="A7:A11"/>
    <mergeCell ref="A15:C15"/>
    <mergeCell ref="D15:G15"/>
    <mergeCell ref="A16:C16"/>
    <mergeCell ref="D16:G16"/>
    <mergeCell ref="D14:G14"/>
    <mergeCell ref="L6:O6"/>
    <mergeCell ref="L13:N13"/>
    <mergeCell ref="B10:C10"/>
    <mergeCell ref="D10:G10"/>
    <mergeCell ref="H10:J10"/>
    <mergeCell ref="B11:C11"/>
    <mergeCell ref="D11:G11"/>
    <mergeCell ref="H11:J11"/>
    <mergeCell ref="H7:J7"/>
    <mergeCell ref="K7:K11"/>
    <mergeCell ref="L7:N11"/>
    <mergeCell ref="B8:C8"/>
    <mergeCell ref="D8:G8"/>
    <mergeCell ref="H8:J8"/>
    <mergeCell ref="B9:C9"/>
    <mergeCell ref="D9:G9"/>
    <mergeCell ref="H9:J9"/>
    <mergeCell ref="B7:C7"/>
    <mergeCell ref="D7:G7"/>
    <mergeCell ref="A12:C12"/>
    <mergeCell ref="D12:G12"/>
    <mergeCell ref="A17:C17"/>
    <mergeCell ref="D17:G17"/>
    <mergeCell ref="A18:C18"/>
    <mergeCell ref="D18:G18"/>
    <mergeCell ref="L14:O14"/>
    <mergeCell ref="A13:C13"/>
    <mergeCell ref="D13:G13"/>
    <mergeCell ref="H13:I13"/>
    <mergeCell ref="J13:K13"/>
    <mergeCell ref="A14:C14"/>
    <mergeCell ref="H14:I14"/>
    <mergeCell ref="J14:K14"/>
    <mergeCell ref="H15:I15"/>
    <mergeCell ref="J15:K15"/>
    <mergeCell ref="A23:C23"/>
    <mergeCell ref="D23:G23"/>
    <mergeCell ref="D24:G24"/>
    <mergeCell ref="H24:K24"/>
    <mergeCell ref="A21:C21"/>
    <mergeCell ref="D21:G21"/>
    <mergeCell ref="A22:C22"/>
    <mergeCell ref="D22:G22"/>
    <mergeCell ref="A19:C19"/>
    <mergeCell ref="D19:G20"/>
    <mergeCell ref="H19:K19"/>
    <mergeCell ref="A20:C20"/>
    <mergeCell ref="A28:B28"/>
    <mergeCell ref="C28:H28"/>
    <mergeCell ref="J28:K28"/>
    <mergeCell ref="A29:B29"/>
    <mergeCell ref="C29:K29"/>
    <mergeCell ref="A25:K25"/>
    <mergeCell ref="A26:K26"/>
    <mergeCell ref="A27:B27"/>
    <mergeCell ref="C27:K27"/>
    <mergeCell ref="L35:O35"/>
    <mergeCell ref="A36:C36"/>
    <mergeCell ref="D36:G36"/>
    <mergeCell ref="L36:O36"/>
    <mergeCell ref="D38:G38"/>
    <mergeCell ref="A30:K30"/>
    <mergeCell ref="A33:K33"/>
    <mergeCell ref="A34:K34"/>
    <mergeCell ref="A35:C35"/>
    <mergeCell ref="D35:G35"/>
    <mergeCell ref="I35:K35"/>
    <mergeCell ref="A31:E31"/>
    <mergeCell ref="F31:K31"/>
    <mergeCell ref="A38:C38"/>
    <mergeCell ref="L38:O38"/>
    <mergeCell ref="A39:C39"/>
    <mergeCell ref="D39:G39"/>
    <mergeCell ref="I39:K39"/>
    <mergeCell ref="L39:O39"/>
    <mergeCell ref="A37:C37"/>
    <mergeCell ref="D37:G37"/>
    <mergeCell ref="I37:K37"/>
    <mergeCell ref="L37:O37"/>
    <mergeCell ref="I38:K38"/>
    <mergeCell ref="D44:G44"/>
    <mergeCell ref="A45:C45"/>
    <mergeCell ref="D45:G45"/>
    <mergeCell ref="A50:K50"/>
    <mergeCell ref="A40:C40"/>
    <mergeCell ref="D40:G40"/>
    <mergeCell ref="A41:C41"/>
    <mergeCell ref="D41:G41"/>
    <mergeCell ref="I46:K46"/>
    <mergeCell ref="I40:K40"/>
    <mergeCell ref="A52:C52"/>
    <mergeCell ref="D52:G52"/>
    <mergeCell ref="A53:C53"/>
    <mergeCell ref="D53:G53"/>
    <mergeCell ref="A51:C51"/>
    <mergeCell ref="D51:G51"/>
    <mergeCell ref="I51:K51"/>
    <mergeCell ref="I47:K47"/>
    <mergeCell ref="A48:C48"/>
    <mergeCell ref="D48:G48"/>
    <mergeCell ref="A49:C49"/>
    <mergeCell ref="D49:G49"/>
    <mergeCell ref="I48:K48"/>
    <mergeCell ref="A47:C47"/>
    <mergeCell ref="D47:G47"/>
    <mergeCell ref="A55:C55"/>
    <mergeCell ref="D55:G55"/>
    <mergeCell ref="I55:K55"/>
    <mergeCell ref="A56:C56"/>
    <mergeCell ref="D56:G56"/>
    <mergeCell ref="I56:K56"/>
    <mergeCell ref="I53:K53"/>
    <mergeCell ref="A54:C54"/>
    <mergeCell ref="D54:G54"/>
    <mergeCell ref="I54:K54"/>
    <mergeCell ref="L59:O59"/>
    <mergeCell ref="A60:C60"/>
    <mergeCell ref="D60:G60"/>
    <mergeCell ref="L60:P60"/>
    <mergeCell ref="A57:C57"/>
    <mergeCell ref="D57:G57"/>
    <mergeCell ref="A58:K58"/>
    <mergeCell ref="A59:C59"/>
    <mergeCell ref="D59:G59"/>
    <mergeCell ref="I59:K59"/>
    <mergeCell ref="A65:C65"/>
    <mergeCell ref="D65:G65"/>
    <mergeCell ref="A63:C63"/>
    <mergeCell ref="D63:G63"/>
    <mergeCell ref="I63:K63"/>
    <mergeCell ref="A64:C64"/>
    <mergeCell ref="D64:G64"/>
    <mergeCell ref="A61:C61"/>
    <mergeCell ref="D61:G61"/>
    <mergeCell ref="I61:K61"/>
    <mergeCell ref="A62:C62"/>
    <mergeCell ref="D62:G62"/>
    <mergeCell ref="I64:K64"/>
    <mergeCell ref="I62:K62"/>
  </mergeCells>
  <phoneticPr fontId="6" type="noConversion"/>
  <conditionalFormatting sqref="E5:K5">
    <cfRule type="expression" dxfId="121" priority="1" stopIfTrue="1">
      <formula>ISBLANK($D$5)</formula>
    </cfRule>
  </conditionalFormatting>
  <hyperlinks>
    <hyperlink ref="A6:C6" location="definitions!A4" display="Facility Name"/>
    <hyperlink ref="A5:C5" location="HCCIS_ID_list" display="HCCIS ID"/>
    <hyperlink ref="H6" location="defs_NPI" display="NPI"/>
    <hyperlink ref="L59:O59" location="code_7594" display="Capital Expenditure Reporting Section"/>
    <hyperlink ref="L37:O37" location="'Fixed Equip'!A1" display="Fixed Equipment"/>
    <hyperlink ref="L38:O38" location="'Portable Equip'!A1" display="Portable Equipment"/>
    <hyperlink ref="L39:O39" location="'Mobile Equip'!A1" display="Mobile Equipment"/>
    <hyperlink ref="L60:O60" location="'Capital Expend Project Specific'!A1" display="Click here to go the the Capital Expenditure Project Specific Tab"/>
    <hyperlink ref="A31:E31" location="cap_exp_errors" display="cap_exp_errors"/>
    <hyperlink ref="F31:K31" location="'Capital Expend Project Specific'!A1" display="Capital Expenditure Project Specific Tab"/>
  </hyperlinks>
  <pageMargins left="0.75" right="0.75" top="1" bottom="1" header="0.5" footer="0.5"/>
  <pageSetup scale="38"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8"/>
  <sheetViews>
    <sheetView zoomScaleNormal="100" workbookViewId="0"/>
  </sheetViews>
  <sheetFormatPr defaultColWidth="8.85546875" defaultRowHeight="12.75" x14ac:dyDescent="0.2"/>
  <cols>
    <col min="1" max="2" width="9.28515625" style="134" customWidth="1"/>
    <col min="3" max="12" width="10.7109375" style="134" customWidth="1"/>
    <col min="13" max="14" width="8.85546875" style="134"/>
    <col min="15" max="30" width="8.85546875" style="134" hidden="1" customWidth="1"/>
    <col min="31" max="31" width="8.85546875" style="134" customWidth="1"/>
    <col min="32" max="16384" width="8.85546875" style="134"/>
  </cols>
  <sheetData>
    <row r="1" spans="1:29" ht="27" thickBot="1" x14ac:dyDescent="0.45">
      <c r="A1" s="207" t="e">
        <f>CONCATENATE('Demog Contact'!D$5," ",'Demog Contact'!D$6)</f>
        <v>#N/A</v>
      </c>
      <c r="B1" s="208"/>
      <c r="C1" s="208"/>
      <c r="D1" s="208"/>
      <c r="E1" s="208"/>
      <c r="F1" s="208"/>
      <c r="G1" s="208"/>
      <c r="H1" s="208"/>
      <c r="I1" s="208"/>
      <c r="J1" s="208"/>
      <c r="K1" s="209">
        <f>('Demog Contact'!D5)</f>
        <v>0</v>
      </c>
      <c r="T1" s="210"/>
      <c r="U1" s="210"/>
      <c r="V1" s="210"/>
      <c r="W1" s="210"/>
    </row>
    <row r="2" spans="1:29" ht="21" x14ac:dyDescent="0.35">
      <c r="A2" s="842" t="s">
        <v>412</v>
      </c>
      <c r="B2" s="843"/>
      <c r="C2" s="843"/>
      <c r="D2" s="843"/>
      <c r="E2" s="843"/>
      <c r="F2" s="843"/>
      <c r="G2" s="843"/>
      <c r="H2" s="843"/>
      <c r="I2" s="843"/>
      <c r="J2" s="843"/>
      <c r="K2" s="844"/>
      <c r="T2" s="210"/>
      <c r="U2" s="210"/>
      <c r="V2" s="210"/>
      <c r="W2" s="210"/>
    </row>
    <row r="3" spans="1:29" ht="25.9" customHeight="1" x14ac:dyDescent="0.2">
      <c r="A3" s="866" t="s">
        <v>443</v>
      </c>
      <c r="B3" s="867"/>
      <c r="C3" s="867"/>
      <c r="D3" s="867"/>
      <c r="E3" s="867"/>
      <c r="F3" s="867"/>
      <c r="G3" s="867"/>
      <c r="H3" s="867"/>
      <c r="I3" s="867"/>
      <c r="J3" s="867"/>
      <c r="K3" s="868"/>
      <c r="T3" s="211" t="s">
        <v>483</v>
      </c>
      <c r="U3" s="210"/>
      <c r="V3" s="210"/>
      <c r="W3" s="210"/>
    </row>
    <row r="4" spans="1:29" ht="25.9" customHeight="1" x14ac:dyDescent="0.2">
      <c r="A4" s="878"/>
      <c r="B4" s="879"/>
      <c r="C4" s="879"/>
      <c r="D4" s="879"/>
      <c r="E4" s="879"/>
      <c r="F4" s="879"/>
      <c r="G4" s="879"/>
      <c r="H4" s="879"/>
      <c r="I4" s="882" t="str">
        <f>CONCATENATE("Fiscal Year ",'Demog Contact'!N1)</f>
        <v>Fiscal Year 2019</v>
      </c>
      <c r="J4" s="882"/>
      <c r="K4" s="883"/>
      <c r="L4" s="212"/>
      <c r="M4" s="213"/>
      <c r="N4" s="213"/>
      <c r="T4" s="210"/>
      <c r="U4" s="210"/>
      <c r="V4" s="210"/>
      <c r="W4" s="210"/>
    </row>
    <row r="5" spans="1:29" ht="36.6" customHeight="1" x14ac:dyDescent="0.2">
      <c r="A5" s="880" t="s">
        <v>380</v>
      </c>
      <c r="B5" s="881"/>
      <c r="C5" s="845" t="s">
        <v>482</v>
      </c>
      <c r="D5" s="846"/>
      <c r="E5" s="846"/>
      <c r="F5" s="846"/>
      <c r="G5" s="846"/>
      <c r="H5" s="846"/>
      <c r="I5" s="846"/>
      <c r="J5" s="884" t="s">
        <v>413</v>
      </c>
      <c r="K5" s="885"/>
      <c r="L5" s="214"/>
      <c r="M5" s="215"/>
      <c r="N5" s="215"/>
      <c r="T5" s="216">
        <f>SUM('Fixed Equip'!A20,'Portable Equip'!A20,'Leased Equip'!A20)</f>
        <v>0</v>
      </c>
      <c r="U5" s="216" t="e">
        <f>SUM(X7,X10,X13,AC16)</f>
        <v>#N/A</v>
      </c>
      <c r="V5" s="217"/>
      <c r="W5" s="217"/>
    </row>
    <row r="6" spans="1:29" ht="34.9" customHeight="1" x14ac:dyDescent="0.2">
      <c r="A6" s="847" t="s">
        <v>381</v>
      </c>
      <c r="B6" s="848"/>
      <c r="C6" s="218" t="s">
        <v>384</v>
      </c>
      <c r="D6" s="218" t="s">
        <v>385</v>
      </c>
      <c r="E6" s="218" t="s">
        <v>382</v>
      </c>
      <c r="F6" s="218" t="s">
        <v>386</v>
      </c>
      <c r="G6" s="219"/>
      <c r="H6" s="219"/>
      <c r="I6" s="219"/>
      <c r="J6" s="220"/>
      <c r="K6" s="221"/>
      <c r="L6" s="899" t="s">
        <v>500</v>
      </c>
      <c r="M6" s="900"/>
      <c r="N6" s="901"/>
      <c r="T6" s="222" t="e">
        <f>TRIM(C7)</f>
        <v>#N/A</v>
      </c>
      <c r="U6" s="222" t="e">
        <f>TRIM(D7)</f>
        <v>#N/A</v>
      </c>
      <c r="V6" s="222" t="e">
        <f>TRIM(E7)</f>
        <v>#N/A</v>
      </c>
      <c r="W6" s="222" t="e">
        <f>TRIM(F7)</f>
        <v>#N/A</v>
      </c>
    </row>
    <row r="7" spans="1:29" ht="17.45" customHeight="1" x14ac:dyDescent="0.2">
      <c r="A7" s="849"/>
      <c r="B7" s="850"/>
      <c r="C7" s="223" t="e">
        <f>IF(EXACT(VLOOKUP($K$1,ID_list,108,FALSE),"128"),"X","")</f>
        <v>#N/A</v>
      </c>
      <c r="D7" s="174" t="e">
        <f>IF(EXACT(VLOOKUP($K$1,ID_list,110,FALSE),"131"),"X","")</f>
        <v>#N/A</v>
      </c>
      <c r="E7" s="174" t="e">
        <f>IF(EXACT(VLOOKUP($K$1,ID_list,112,FALSE),"129"),"X","")</f>
        <v>#N/A</v>
      </c>
      <c r="F7" s="224" t="e">
        <f>IF(EXACT(VLOOKUP($K$1,ID_list,114,FALSE),"130"),"X","")</f>
        <v>#N/A</v>
      </c>
      <c r="G7" s="889" t="e">
        <f>IF(OR(AND(T7=1,T8=0),AND(U7=1,U8=0),AND(V7=1,V8=0),AND(W7=1,W8=0)),"Please provide Certification Expiration date","")</f>
        <v>#N/A</v>
      </c>
      <c r="H7" s="889"/>
      <c r="I7" s="889"/>
      <c r="J7" s="889"/>
      <c r="K7" s="890"/>
      <c r="L7" s="893"/>
      <c r="M7" s="894"/>
      <c r="N7" s="895"/>
      <c r="T7" s="225" t="e">
        <f>LEN(T6)</f>
        <v>#N/A</v>
      </c>
      <c r="U7" s="225" t="e">
        <f>LEN(U6)</f>
        <v>#N/A</v>
      </c>
      <c r="V7" s="225" t="e">
        <f>LEN(V6)</f>
        <v>#N/A</v>
      </c>
      <c r="W7" s="225" t="e">
        <f>LEN(W6)</f>
        <v>#N/A</v>
      </c>
      <c r="X7" s="216" t="e">
        <f>SUM(T7:W7)</f>
        <v>#N/A</v>
      </c>
    </row>
    <row r="8" spans="1:29" ht="17.45" customHeight="1" x14ac:dyDescent="0.2">
      <c r="A8" s="853" t="s">
        <v>409</v>
      </c>
      <c r="B8" s="888"/>
      <c r="C8" s="226" t="e">
        <f>VLOOKUP($K$1,ID_list,109,FALSE)</f>
        <v>#N/A</v>
      </c>
      <c r="D8" s="226" t="e">
        <f>VLOOKUP($K$1,ID_list,111,FALSE)</f>
        <v>#N/A</v>
      </c>
      <c r="E8" s="226" t="e">
        <f>VLOOKUP($K$1,ID_list,113,FALSE)</f>
        <v>#N/A</v>
      </c>
      <c r="F8" s="226" t="e">
        <f>VLOOKUP($K$1,ID_list,115,FALSE)</f>
        <v>#N/A</v>
      </c>
      <c r="G8" s="891"/>
      <c r="H8" s="891"/>
      <c r="I8" s="891"/>
      <c r="J8" s="891"/>
      <c r="K8" s="892"/>
      <c r="L8" s="896"/>
      <c r="M8" s="897"/>
      <c r="N8" s="898"/>
      <c r="T8" s="227" t="e">
        <f>C8</f>
        <v>#N/A</v>
      </c>
      <c r="U8" s="227" t="e">
        <f>D8</f>
        <v>#N/A</v>
      </c>
      <c r="V8" s="227" t="e">
        <f>E8</f>
        <v>#N/A</v>
      </c>
      <c r="W8" s="228" t="e">
        <f>F8</f>
        <v>#N/A</v>
      </c>
    </row>
    <row r="9" spans="1:29" ht="34.9" customHeight="1" x14ac:dyDescent="0.2">
      <c r="A9" s="847" t="s">
        <v>383</v>
      </c>
      <c r="B9" s="848"/>
      <c r="C9" s="218" t="s">
        <v>451</v>
      </c>
      <c r="D9" s="218" t="s">
        <v>452</v>
      </c>
      <c r="E9" s="218" t="s">
        <v>453</v>
      </c>
      <c r="F9" s="229" t="s">
        <v>502</v>
      </c>
      <c r="G9" s="861" t="e">
        <f>IF(AND(T5&gt;0,U5=0),"Please indicate Accredited Modalities and provide Certification Expiration dates","")</f>
        <v>#N/A</v>
      </c>
      <c r="H9" s="862"/>
      <c r="I9" s="862"/>
      <c r="J9" s="862"/>
      <c r="K9" s="863"/>
      <c r="L9" s="893" t="s">
        <v>499</v>
      </c>
      <c r="M9" s="894"/>
      <c r="N9" s="895"/>
      <c r="T9" s="230" t="e">
        <f>TRIM(C10)</f>
        <v>#N/A</v>
      </c>
      <c r="U9" s="230" t="e">
        <f>TRIM(D10)</f>
        <v>#N/A</v>
      </c>
      <c r="V9" s="231" t="e">
        <f>TRIM(E10)</f>
        <v>#N/A</v>
      </c>
      <c r="W9" s="232" t="str">
        <f>TRIM(F10)</f>
        <v/>
      </c>
    </row>
    <row r="10" spans="1:29" ht="17.45" customHeight="1" x14ac:dyDescent="0.2">
      <c r="A10" s="849"/>
      <c r="B10" s="850"/>
      <c r="C10" s="223" t="e">
        <f>IF(EXACT(VLOOKUP($K$1,ID_list,116,FALSE),"132"),"X","")</f>
        <v>#N/A</v>
      </c>
      <c r="D10" s="174" t="e">
        <f>IF(EXACT(VLOOKUP($K$1,ID_list,118,FALSE),"133"),"X","")</f>
        <v>#N/A</v>
      </c>
      <c r="E10" s="174" t="e">
        <f>IF(EXACT(VLOOKUP($K$1,ID_list,120,FALSE),"134"),"X","")</f>
        <v>#N/A</v>
      </c>
      <c r="F10" s="233"/>
      <c r="G10" s="856" t="e">
        <f>IF(OR(AND(T10=1,T11=0),AND(U10=1,U11=0),AND(V10=1,V11=0),AND(W10=1,W11=0)),"Please provide Certification Expiration date","")</f>
        <v>#N/A</v>
      </c>
      <c r="H10" s="856"/>
      <c r="I10" s="856"/>
      <c r="J10" s="856"/>
      <c r="K10" s="857"/>
      <c r="L10" s="893"/>
      <c r="M10" s="894"/>
      <c r="N10" s="895"/>
      <c r="T10" s="230" t="e">
        <f>LEN(T9)</f>
        <v>#N/A</v>
      </c>
      <c r="U10" s="230" t="e">
        <f>LEN(U9)</f>
        <v>#N/A</v>
      </c>
      <c r="V10" s="231" t="e">
        <f>LEN(V9)</f>
        <v>#N/A</v>
      </c>
      <c r="W10" s="230">
        <f>LEN(W9)</f>
        <v>0</v>
      </c>
      <c r="X10" s="234" t="e">
        <f>SUM(T10:W10)</f>
        <v>#N/A</v>
      </c>
    </row>
    <row r="11" spans="1:29" ht="17.45" customHeight="1" x14ac:dyDescent="0.2">
      <c r="A11" s="853" t="s">
        <v>409</v>
      </c>
      <c r="B11" s="888"/>
      <c r="C11" s="226" t="e">
        <f>VLOOKUP($K$1,ID_list,117,FALSE)</f>
        <v>#N/A</v>
      </c>
      <c r="D11" s="226" t="e">
        <f>VLOOKUP($K$1,ID_list,119,FALSE)</f>
        <v>#N/A</v>
      </c>
      <c r="E11" s="226" t="e">
        <f>VLOOKUP($K$1,ID_list,121,FALSE)</f>
        <v>#N/A</v>
      </c>
      <c r="F11" s="233"/>
      <c r="G11" s="859"/>
      <c r="H11" s="859"/>
      <c r="I11" s="859"/>
      <c r="J11" s="859"/>
      <c r="K11" s="860"/>
      <c r="L11" s="893"/>
      <c r="M11" s="894"/>
      <c r="N11" s="895"/>
      <c r="T11" s="235" t="e">
        <f>C11</f>
        <v>#N/A</v>
      </c>
      <c r="U11" s="235" t="e">
        <f>D11</f>
        <v>#N/A</v>
      </c>
      <c r="V11" s="236" t="e">
        <f>E11</f>
        <v>#N/A</v>
      </c>
      <c r="W11" s="237">
        <f>F11</f>
        <v>0</v>
      </c>
    </row>
    <row r="12" spans="1:29" ht="32.25" customHeight="1" x14ac:dyDescent="0.2">
      <c r="A12" s="847" t="s">
        <v>1970</v>
      </c>
      <c r="B12" s="851"/>
      <c r="C12" s="218" t="s">
        <v>1972</v>
      </c>
      <c r="D12" s="218" t="s">
        <v>1974</v>
      </c>
      <c r="E12" s="218" t="s">
        <v>1976</v>
      </c>
      <c r="F12" s="218" t="s">
        <v>1978</v>
      </c>
      <c r="G12" s="572"/>
      <c r="H12" s="573"/>
      <c r="I12" s="573"/>
      <c r="J12" s="573"/>
      <c r="K12" s="574"/>
      <c r="L12" s="893"/>
      <c r="M12" s="894"/>
      <c r="N12" s="895"/>
      <c r="T12" s="228" t="e">
        <f>TRIM(C13)</f>
        <v>#N/A</v>
      </c>
      <c r="U12" s="228" t="e">
        <f>TRIM(D13)</f>
        <v>#N/A</v>
      </c>
      <c r="V12" s="228" t="e">
        <f>TRIM(E13)</f>
        <v>#N/A</v>
      </c>
      <c r="W12" s="227" t="e">
        <f>TRIM(F13)</f>
        <v>#N/A</v>
      </c>
    </row>
    <row r="13" spans="1:29" ht="17.25" customHeight="1" x14ac:dyDescent="0.2">
      <c r="A13" s="849"/>
      <c r="B13" s="852"/>
      <c r="C13" s="226" t="e">
        <f>IF(EXACT(VLOOKUP($K$1,ID_list,140,FALSE),"215"),"X","")</f>
        <v>#N/A</v>
      </c>
      <c r="D13" s="226" t="e">
        <f>IF(EXACT(VLOOKUP($K$1,ID_list,142,FALSE),"216"),"X","")</f>
        <v>#N/A</v>
      </c>
      <c r="E13" s="226" t="e">
        <f>IF(EXACT(VLOOKUP($K$1,ID_list,144,FALSE),"217"),"X","")</f>
        <v>#N/A</v>
      </c>
      <c r="F13" s="233" t="e">
        <f>IF(EXACT(VLOOKUP($K$1,ID_list,146,FALSE),"218"),"X","")</f>
        <v>#N/A</v>
      </c>
      <c r="G13" s="855" t="e">
        <f>IF(OR(AND(T13=1,T14=0),AND(U13=1,U14=0),AND(V13=1,V14=0),AND(W13=1,W14=0)),
"Please provide Certification Expiration date","")</f>
        <v>#N/A</v>
      </c>
      <c r="H13" s="856"/>
      <c r="I13" s="856"/>
      <c r="J13" s="856"/>
      <c r="K13" s="857"/>
      <c r="L13" s="893"/>
      <c r="M13" s="894"/>
      <c r="N13" s="895"/>
      <c r="T13" s="228" t="e">
        <f>LEN(T12)</f>
        <v>#N/A</v>
      </c>
      <c r="U13" s="228" t="e">
        <f>LEN(U12)</f>
        <v>#N/A</v>
      </c>
      <c r="V13" s="228" t="e">
        <f>LEN(V12)</f>
        <v>#N/A</v>
      </c>
      <c r="W13" s="228" t="e">
        <f>LEN(W12)</f>
        <v>#N/A</v>
      </c>
      <c r="X13" s="216" t="e">
        <f>SUM(T13:W13)</f>
        <v>#N/A</v>
      </c>
    </row>
    <row r="14" spans="1:29" ht="17.45" customHeight="1" x14ac:dyDescent="0.2">
      <c r="A14" s="853" t="s">
        <v>409</v>
      </c>
      <c r="B14" s="854"/>
      <c r="C14" s="226" t="e">
        <f>VLOOKUP($K$1,ID_list,141,FALSE)</f>
        <v>#N/A</v>
      </c>
      <c r="D14" s="226" t="e">
        <f>VLOOKUP($K$1,ID_list,143,FALSE)</f>
        <v>#N/A</v>
      </c>
      <c r="E14" s="226" t="e">
        <f>VLOOKUP($K$1,ID_list,145,FALSE)</f>
        <v>#N/A</v>
      </c>
      <c r="F14" s="226" t="e">
        <f>VLOOKUP($K$1,ID_list,147,FALSE)</f>
        <v>#N/A</v>
      </c>
      <c r="G14" s="858"/>
      <c r="H14" s="859"/>
      <c r="I14" s="859"/>
      <c r="J14" s="859"/>
      <c r="K14" s="860"/>
      <c r="L14" s="896"/>
      <c r="M14" s="897"/>
      <c r="N14" s="898"/>
      <c r="T14" s="228" t="e">
        <f>C14</f>
        <v>#N/A</v>
      </c>
      <c r="U14" s="228" t="e">
        <f>D14</f>
        <v>#N/A</v>
      </c>
      <c r="V14" s="228" t="e">
        <f>E14</f>
        <v>#N/A</v>
      </c>
      <c r="W14" s="228" t="e">
        <f>F14</f>
        <v>#N/A</v>
      </c>
    </row>
    <row r="15" spans="1:29" ht="34.15" customHeight="1" x14ac:dyDescent="0.2">
      <c r="A15" s="847" t="s">
        <v>390</v>
      </c>
      <c r="B15" s="848"/>
      <c r="C15" s="218" t="s">
        <v>388</v>
      </c>
      <c r="D15" s="218" t="s">
        <v>273</v>
      </c>
      <c r="E15" s="218" t="s">
        <v>274</v>
      </c>
      <c r="F15" s="218" t="s">
        <v>276</v>
      </c>
      <c r="G15" s="238" t="s">
        <v>387</v>
      </c>
      <c r="H15" s="218" t="s">
        <v>415</v>
      </c>
      <c r="I15" s="218" t="s">
        <v>416</v>
      </c>
      <c r="J15" s="239" t="s">
        <v>389</v>
      </c>
      <c r="K15" s="240" t="s">
        <v>391</v>
      </c>
      <c r="L15" s="876" t="s">
        <v>479</v>
      </c>
      <c r="M15" s="877"/>
      <c r="N15" s="877"/>
      <c r="T15" s="241" t="e">
        <f t="shared" ref="T15:AB15" si="0">TRIM(C16)</f>
        <v>#N/A</v>
      </c>
      <c r="U15" s="241" t="e">
        <f t="shared" si="0"/>
        <v>#N/A</v>
      </c>
      <c r="V15" s="241" t="e">
        <f t="shared" si="0"/>
        <v>#N/A</v>
      </c>
      <c r="W15" s="241" t="e">
        <f t="shared" si="0"/>
        <v>#N/A</v>
      </c>
      <c r="X15" s="241" t="e">
        <f t="shared" si="0"/>
        <v>#N/A</v>
      </c>
      <c r="Y15" s="241" t="e">
        <f t="shared" si="0"/>
        <v>#N/A</v>
      </c>
      <c r="Z15" s="241" t="e">
        <f t="shared" si="0"/>
        <v>#N/A</v>
      </c>
      <c r="AA15" s="241" t="e">
        <f t="shared" si="0"/>
        <v>#N/A</v>
      </c>
      <c r="AB15" s="241" t="e">
        <f t="shared" si="0"/>
        <v>#N/A</v>
      </c>
      <c r="AC15" s="210"/>
    </row>
    <row r="16" spans="1:29" ht="17.45" customHeight="1" x14ac:dyDescent="0.2">
      <c r="A16" s="849"/>
      <c r="B16" s="850"/>
      <c r="C16" s="223" t="e">
        <f>IF(EXACT(VLOOKUP($K$1,ID_list,122,FALSE),"140"),"X","")</f>
        <v>#N/A</v>
      </c>
      <c r="D16" s="223" t="e">
        <f>IF(EXACT(VLOOKUP($K$1,ID_list,124,FALSE),"141"),"X","")</f>
        <v>#N/A</v>
      </c>
      <c r="E16" s="223" t="e">
        <f>IF(EXACT(VLOOKUP($K$1,ID_list,126,FALSE),"143"),"X","")</f>
        <v>#N/A</v>
      </c>
      <c r="F16" s="242" t="e">
        <f>IF(EXACT(VLOOKUP($K$1,ID_list,128,FALSE),"135"),"X","")</f>
        <v>#N/A</v>
      </c>
      <c r="G16" s="223" t="e">
        <f>IF(EXACT(VLOOKUP($K$1,ID_list,130,FALSE),"136"),"X","")</f>
        <v>#N/A</v>
      </c>
      <c r="H16" s="223" t="e">
        <f>IF(EXACT(VLOOKUP($K$1,ID_list,132,FALSE),"137"),"X","")</f>
        <v>#N/A</v>
      </c>
      <c r="I16" s="223" t="e">
        <f>IF(EXACT(VLOOKUP($K$1,ID_list,134,FALSE),"142"),"X","")</f>
        <v>#N/A</v>
      </c>
      <c r="J16" s="243" t="e">
        <f>IF(EXACT(VLOOKUP($K$1,ID_list,136,FALSE),"138"),"X","")</f>
        <v>#N/A</v>
      </c>
      <c r="K16" s="242" t="e">
        <f>IF(EXACT(VLOOKUP($K$1,ID_list,138,FALSE),"139"),"X","")</f>
        <v>#N/A</v>
      </c>
      <c r="L16" s="1331"/>
      <c r="M16" s="1331"/>
      <c r="N16" s="1331"/>
      <c r="T16" s="241" t="e">
        <f t="shared" ref="T16:AB16" si="1">LEN(T15)</f>
        <v>#N/A</v>
      </c>
      <c r="U16" s="241" t="e">
        <f t="shared" si="1"/>
        <v>#N/A</v>
      </c>
      <c r="V16" s="241" t="e">
        <f t="shared" si="1"/>
        <v>#N/A</v>
      </c>
      <c r="W16" s="241" t="e">
        <f t="shared" si="1"/>
        <v>#N/A</v>
      </c>
      <c r="X16" s="241" t="e">
        <f t="shared" si="1"/>
        <v>#N/A</v>
      </c>
      <c r="Y16" s="241" t="e">
        <f t="shared" si="1"/>
        <v>#N/A</v>
      </c>
      <c r="Z16" s="241" t="e">
        <f t="shared" si="1"/>
        <v>#N/A</v>
      </c>
      <c r="AA16" s="241" t="e">
        <f t="shared" si="1"/>
        <v>#N/A</v>
      </c>
      <c r="AB16" s="241" t="e">
        <f t="shared" si="1"/>
        <v>#N/A</v>
      </c>
      <c r="AC16" s="216" t="e">
        <f>SUM(T16:AB16)</f>
        <v>#N/A</v>
      </c>
    </row>
    <row r="17" spans="1:29" ht="18" customHeight="1" thickBot="1" x14ac:dyDescent="0.25">
      <c r="A17" s="886" t="s">
        <v>409</v>
      </c>
      <c r="B17" s="887"/>
      <c r="C17" s="244" t="e">
        <f>VLOOKUP($K$1,ID_list,123,FALSE)</f>
        <v>#N/A</v>
      </c>
      <c r="D17" s="244" t="e">
        <f>VLOOKUP($K$1,ID_list,125,FALSE)</f>
        <v>#N/A</v>
      </c>
      <c r="E17" s="244" t="e">
        <f>VLOOKUP($K$1,ID_list,127,FALSE)</f>
        <v>#N/A</v>
      </c>
      <c r="F17" s="244" t="e">
        <f>VLOOKUP($K$1,ID_list,129,FALSE)</f>
        <v>#N/A</v>
      </c>
      <c r="G17" s="245" t="e">
        <f>VLOOKUP($K$1,ID_list,131,FALSE)</f>
        <v>#N/A</v>
      </c>
      <c r="H17" s="245" t="e">
        <f>VLOOKUP($K$1,ID_list,133,FALSE)</f>
        <v>#N/A</v>
      </c>
      <c r="I17" s="245" t="e">
        <f>VLOOKUP($K$1,ID_list,135,FALSE)</f>
        <v>#N/A</v>
      </c>
      <c r="J17" s="246" t="e">
        <f>VLOOKUP($K$1,ID_list,137,FALSE)</f>
        <v>#N/A</v>
      </c>
      <c r="K17" s="247" t="e">
        <f>VLOOKUP($K$1,ID_list,139,FALSE)</f>
        <v>#N/A</v>
      </c>
      <c r="L17" s="1331"/>
      <c r="M17" s="1331"/>
      <c r="N17" s="1331"/>
      <c r="T17" s="248" t="e">
        <f t="shared" ref="T17:AB17" si="2">C17</f>
        <v>#N/A</v>
      </c>
      <c r="U17" s="248" t="e">
        <f t="shared" si="2"/>
        <v>#N/A</v>
      </c>
      <c r="V17" s="248" t="e">
        <f t="shared" si="2"/>
        <v>#N/A</v>
      </c>
      <c r="W17" s="248" t="e">
        <f t="shared" si="2"/>
        <v>#N/A</v>
      </c>
      <c r="X17" s="248" t="e">
        <f t="shared" si="2"/>
        <v>#N/A</v>
      </c>
      <c r="Y17" s="248" t="e">
        <f t="shared" si="2"/>
        <v>#N/A</v>
      </c>
      <c r="Z17" s="248" t="e">
        <f t="shared" si="2"/>
        <v>#N/A</v>
      </c>
      <c r="AA17" s="248" t="e">
        <f t="shared" si="2"/>
        <v>#N/A</v>
      </c>
      <c r="AB17" s="248" t="e">
        <f t="shared" si="2"/>
        <v>#N/A</v>
      </c>
      <c r="AC17" s="210"/>
    </row>
    <row r="18" spans="1:29" ht="34.15" customHeight="1" thickBot="1" x14ac:dyDescent="0.25">
      <c r="A18" s="249"/>
      <c r="B18" s="250"/>
      <c r="C18" s="864" t="e">
        <f>IF(OR(AND(T16=1,T17=0),AND(U16=1,U17=0),AND(V16=1,V17=0),AND(W16=1,W17=0),AND(X16=1,X17=0),AND(Y16=1,Y17=0),AND(Z16=1,Z17=0),AND(AA16=1,AA17=0),AND(AB16=1,AB17=0)),"Please provide Certification Expiration date","")</f>
        <v>#N/A</v>
      </c>
      <c r="D18" s="864"/>
      <c r="E18" s="864"/>
      <c r="F18" s="864"/>
      <c r="G18" s="864"/>
      <c r="H18" s="864"/>
      <c r="I18" s="864"/>
      <c r="J18" s="864"/>
      <c r="K18" s="865"/>
      <c r="T18" s="210"/>
      <c r="U18" s="210"/>
      <c r="V18" s="210"/>
      <c r="W18" s="210"/>
    </row>
    <row r="19" spans="1:29" ht="13.5" thickBot="1" x14ac:dyDescent="0.25">
      <c r="T19" s="210"/>
      <c r="U19" s="210"/>
      <c r="V19" s="210"/>
      <c r="W19" s="210"/>
    </row>
    <row r="20" spans="1:29" ht="27.6" customHeight="1" x14ac:dyDescent="0.2">
      <c r="A20" s="831" t="s">
        <v>411</v>
      </c>
      <c r="B20" s="832"/>
      <c r="C20" s="832"/>
      <c r="D20" s="832"/>
      <c r="E20" s="832"/>
      <c r="F20" s="832"/>
      <c r="G20" s="833"/>
      <c r="H20" s="833"/>
      <c r="I20" s="833"/>
      <c r="J20" s="822" t="str">
        <f>CONCATENATE("FY ",'Demog Contact'!N1)</f>
        <v>FY 2019</v>
      </c>
      <c r="K20" s="823"/>
      <c r="T20" s="210"/>
      <c r="U20" s="210"/>
      <c r="V20" s="210"/>
      <c r="W20" s="210"/>
    </row>
    <row r="21" spans="1:29" ht="27.6" customHeight="1" x14ac:dyDescent="0.2">
      <c r="A21" s="834" t="s">
        <v>670</v>
      </c>
      <c r="B21" s="835"/>
      <c r="C21" s="835"/>
      <c r="D21" s="835"/>
      <c r="E21" s="835"/>
      <c r="F21" s="835"/>
      <c r="G21" s="835"/>
      <c r="H21" s="835"/>
      <c r="I21" s="836"/>
      <c r="J21" s="836"/>
      <c r="K21" s="837"/>
      <c r="T21" s="210"/>
      <c r="U21" s="210"/>
      <c r="V21" s="210"/>
      <c r="W21" s="210"/>
    </row>
    <row r="22" spans="1:29" ht="27.6" customHeight="1" x14ac:dyDescent="0.2">
      <c r="A22" s="840" t="s">
        <v>392</v>
      </c>
      <c r="B22" s="841"/>
      <c r="C22" s="838" t="s">
        <v>393</v>
      </c>
      <c r="D22" s="839"/>
      <c r="E22" s="839"/>
      <c r="F22" s="839"/>
      <c r="G22" s="839"/>
      <c r="H22" s="839"/>
      <c r="I22" s="836"/>
      <c r="J22" s="836"/>
      <c r="K22" s="837"/>
      <c r="T22" s="210"/>
      <c r="U22" s="210"/>
      <c r="V22" s="210"/>
      <c r="W22" s="210"/>
    </row>
    <row r="23" spans="1:29" ht="30" customHeight="1" x14ac:dyDescent="0.2">
      <c r="A23" s="827" t="s">
        <v>410</v>
      </c>
      <c r="B23" s="828"/>
      <c r="C23" s="824"/>
      <c r="D23" s="829"/>
      <c r="E23" s="829"/>
      <c r="F23" s="829"/>
      <c r="G23" s="829"/>
      <c r="H23" s="829"/>
      <c r="I23" s="829"/>
      <c r="J23" s="829"/>
      <c r="K23" s="830"/>
      <c r="T23" s="210"/>
      <c r="U23" s="210"/>
      <c r="V23" s="210"/>
      <c r="W23" s="210"/>
    </row>
    <row r="24" spans="1:29" ht="30" customHeight="1" x14ac:dyDescent="0.2">
      <c r="A24" s="827" t="s">
        <v>394</v>
      </c>
      <c r="B24" s="828"/>
      <c r="C24" s="824"/>
      <c r="D24" s="829"/>
      <c r="E24" s="829"/>
      <c r="F24" s="829"/>
      <c r="G24" s="829"/>
      <c r="H24" s="829"/>
      <c r="I24" s="829"/>
      <c r="J24" s="829"/>
      <c r="K24" s="830"/>
      <c r="T24" s="210"/>
      <c r="U24" s="210"/>
      <c r="V24" s="210"/>
      <c r="W24" s="210"/>
    </row>
    <row r="25" spans="1:29" ht="30" customHeight="1" x14ac:dyDescent="0.2">
      <c r="A25" s="827" t="s">
        <v>395</v>
      </c>
      <c r="B25" s="828"/>
      <c r="C25" s="824"/>
      <c r="D25" s="825"/>
      <c r="E25" s="825"/>
      <c r="F25" s="825"/>
      <c r="G25" s="825"/>
      <c r="H25" s="825"/>
      <c r="I25" s="825"/>
      <c r="J25" s="825"/>
      <c r="K25" s="826"/>
      <c r="T25" s="210"/>
      <c r="U25" s="210"/>
      <c r="V25" s="210"/>
      <c r="W25" s="210"/>
    </row>
    <row r="26" spans="1:29" ht="30" customHeight="1" x14ac:dyDescent="0.2">
      <c r="A26" s="827" t="s">
        <v>396</v>
      </c>
      <c r="B26" s="828"/>
      <c r="C26" s="824"/>
      <c r="D26" s="825"/>
      <c r="E26" s="825"/>
      <c r="F26" s="825"/>
      <c r="G26" s="825"/>
      <c r="H26" s="825"/>
      <c r="I26" s="825"/>
      <c r="J26" s="825"/>
      <c r="K26" s="826"/>
      <c r="T26" s="210"/>
      <c r="U26" s="210"/>
      <c r="V26" s="210"/>
      <c r="W26" s="210"/>
    </row>
    <row r="27" spans="1:29" ht="30" customHeight="1" x14ac:dyDescent="0.2">
      <c r="A27" s="827" t="s">
        <v>397</v>
      </c>
      <c r="B27" s="828"/>
      <c r="C27" s="824"/>
      <c r="D27" s="825"/>
      <c r="E27" s="825"/>
      <c r="F27" s="825"/>
      <c r="G27" s="825"/>
      <c r="H27" s="825"/>
      <c r="I27" s="825"/>
      <c r="J27" s="825"/>
      <c r="K27" s="826"/>
      <c r="T27" s="210"/>
      <c r="U27" s="210"/>
      <c r="V27" s="210"/>
      <c r="W27" s="210"/>
    </row>
    <row r="28" spans="1:29" ht="30" customHeight="1" x14ac:dyDescent="0.2">
      <c r="A28" s="827" t="s">
        <v>398</v>
      </c>
      <c r="B28" s="828"/>
      <c r="C28" s="824"/>
      <c r="D28" s="825"/>
      <c r="E28" s="825"/>
      <c r="F28" s="825"/>
      <c r="G28" s="825"/>
      <c r="H28" s="825"/>
      <c r="I28" s="825"/>
      <c r="J28" s="825"/>
      <c r="K28" s="826"/>
      <c r="T28" s="210"/>
      <c r="U28" s="210"/>
      <c r="V28" s="210"/>
      <c r="W28" s="210"/>
    </row>
    <row r="29" spans="1:29" ht="30" customHeight="1" x14ac:dyDescent="0.2">
      <c r="A29" s="827" t="s">
        <v>399</v>
      </c>
      <c r="B29" s="828"/>
      <c r="C29" s="824"/>
      <c r="D29" s="825"/>
      <c r="E29" s="825"/>
      <c r="F29" s="825"/>
      <c r="G29" s="825"/>
      <c r="H29" s="825"/>
      <c r="I29" s="825"/>
      <c r="J29" s="825"/>
      <c r="K29" s="826"/>
      <c r="T29" s="210"/>
      <c r="U29" s="210"/>
      <c r="V29" s="210"/>
      <c r="W29" s="210"/>
    </row>
    <row r="30" spans="1:29" ht="30" customHeight="1" x14ac:dyDescent="0.2">
      <c r="A30" s="827" t="s">
        <v>400</v>
      </c>
      <c r="B30" s="828"/>
      <c r="C30" s="824"/>
      <c r="D30" s="825"/>
      <c r="E30" s="825"/>
      <c r="F30" s="825"/>
      <c r="G30" s="825"/>
      <c r="H30" s="825"/>
      <c r="I30" s="825"/>
      <c r="J30" s="825"/>
      <c r="K30" s="826"/>
      <c r="T30" s="210"/>
      <c r="U30" s="210"/>
      <c r="V30" s="210"/>
      <c r="W30" s="210"/>
    </row>
    <row r="31" spans="1:29" ht="30" customHeight="1" x14ac:dyDescent="0.2">
      <c r="A31" s="827" t="s">
        <v>401</v>
      </c>
      <c r="B31" s="828"/>
      <c r="C31" s="824"/>
      <c r="D31" s="825"/>
      <c r="E31" s="825"/>
      <c r="F31" s="825"/>
      <c r="G31" s="825"/>
      <c r="H31" s="825"/>
      <c r="I31" s="825"/>
      <c r="J31" s="825"/>
      <c r="K31" s="826"/>
      <c r="T31" s="210"/>
      <c r="U31" s="210"/>
      <c r="V31" s="210"/>
      <c r="W31" s="210"/>
    </row>
    <row r="32" spans="1:29" ht="30" customHeight="1" x14ac:dyDescent="0.2">
      <c r="A32" s="827" t="s">
        <v>402</v>
      </c>
      <c r="B32" s="828"/>
      <c r="C32" s="824"/>
      <c r="D32" s="825"/>
      <c r="E32" s="825"/>
      <c r="F32" s="825"/>
      <c r="G32" s="825"/>
      <c r="H32" s="825"/>
      <c r="I32" s="825"/>
      <c r="J32" s="825"/>
      <c r="K32" s="826"/>
      <c r="T32" s="210"/>
      <c r="U32" s="210"/>
      <c r="V32" s="210"/>
      <c r="W32" s="210"/>
    </row>
    <row r="33" spans="1:23" ht="30" customHeight="1" x14ac:dyDescent="0.2">
      <c r="A33" s="827" t="s">
        <v>403</v>
      </c>
      <c r="B33" s="828"/>
      <c r="C33" s="824"/>
      <c r="D33" s="825"/>
      <c r="E33" s="825"/>
      <c r="F33" s="825"/>
      <c r="G33" s="825"/>
      <c r="H33" s="825"/>
      <c r="I33" s="825"/>
      <c r="J33" s="825"/>
      <c r="K33" s="826"/>
      <c r="T33" s="210"/>
      <c r="U33" s="210"/>
      <c r="V33" s="210"/>
      <c r="W33" s="210"/>
    </row>
    <row r="34" spans="1:23" ht="30" customHeight="1" x14ac:dyDescent="0.2">
      <c r="A34" s="827" t="s">
        <v>404</v>
      </c>
      <c r="B34" s="828"/>
      <c r="C34" s="824"/>
      <c r="D34" s="825"/>
      <c r="E34" s="825"/>
      <c r="F34" s="825"/>
      <c r="G34" s="825"/>
      <c r="H34" s="825"/>
      <c r="I34" s="825"/>
      <c r="J34" s="825"/>
      <c r="K34" s="826"/>
      <c r="T34" s="210"/>
      <c r="U34" s="210"/>
      <c r="V34" s="210"/>
      <c r="W34" s="210"/>
    </row>
    <row r="35" spans="1:23" ht="30" customHeight="1" x14ac:dyDescent="0.2">
      <c r="A35" s="827" t="s">
        <v>405</v>
      </c>
      <c r="B35" s="828"/>
      <c r="C35" s="824"/>
      <c r="D35" s="825"/>
      <c r="E35" s="825"/>
      <c r="F35" s="825"/>
      <c r="G35" s="825"/>
      <c r="H35" s="825"/>
      <c r="I35" s="825"/>
      <c r="J35" s="825"/>
      <c r="K35" s="826"/>
      <c r="T35" s="210"/>
      <c r="U35" s="210"/>
      <c r="V35" s="210"/>
      <c r="W35" s="210"/>
    </row>
    <row r="36" spans="1:23" ht="30" customHeight="1" x14ac:dyDescent="0.2">
      <c r="A36" s="874" t="s">
        <v>406</v>
      </c>
      <c r="B36" s="875"/>
      <c r="C36" s="824"/>
      <c r="D36" s="825"/>
      <c r="E36" s="825"/>
      <c r="F36" s="825"/>
      <c r="G36" s="825"/>
      <c r="H36" s="825"/>
      <c r="I36" s="825"/>
      <c r="J36" s="825"/>
      <c r="K36" s="826"/>
      <c r="T36" s="210"/>
      <c r="U36" s="210"/>
      <c r="V36" s="210"/>
      <c r="W36" s="210"/>
    </row>
    <row r="37" spans="1:23" ht="30" customHeight="1" x14ac:dyDescent="0.2">
      <c r="A37" s="827" t="s">
        <v>407</v>
      </c>
      <c r="B37" s="828"/>
      <c r="C37" s="824"/>
      <c r="D37" s="825"/>
      <c r="E37" s="825"/>
      <c r="F37" s="825"/>
      <c r="G37" s="825"/>
      <c r="H37" s="825"/>
      <c r="I37" s="825"/>
      <c r="J37" s="825"/>
      <c r="K37" s="826"/>
      <c r="T37" s="210"/>
      <c r="U37" s="210"/>
      <c r="V37" s="210"/>
      <c r="W37" s="210"/>
    </row>
    <row r="38" spans="1:23" ht="30" customHeight="1" thickBot="1" x14ac:dyDescent="0.25">
      <c r="A38" s="869" t="s">
        <v>408</v>
      </c>
      <c r="B38" s="870"/>
      <c r="C38" s="871"/>
      <c r="D38" s="872"/>
      <c r="E38" s="872"/>
      <c r="F38" s="872"/>
      <c r="G38" s="872"/>
      <c r="H38" s="872"/>
      <c r="I38" s="872"/>
      <c r="J38" s="872"/>
      <c r="K38" s="873"/>
      <c r="T38" s="210"/>
      <c r="U38" s="210"/>
      <c r="V38" s="210"/>
      <c r="W38" s="210"/>
    </row>
  </sheetData>
  <sheetProtection sheet="1"/>
  <mergeCells count="60">
    <mergeCell ref="L15:N15"/>
    <mergeCell ref="A4:H4"/>
    <mergeCell ref="A5:B5"/>
    <mergeCell ref="A6:B7"/>
    <mergeCell ref="I4:K4"/>
    <mergeCell ref="A9:B10"/>
    <mergeCell ref="J5:K5"/>
    <mergeCell ref="A17:B17"/>
    <mergeCell ref="A8:B8"/>
    <mergeCell ref="A11:B11"/>
    <mergeCell ref="G7:K8"/>
    <mergeCell ref="L9:N14"/>
    <mergeCell ref="L6:N8"/>
    <mergeCell ref="A38:B38"/>
    <mergeCell ref="C38:K38"/>
    <mergeCell ref="A36:B36"/>
    <mergeCell ref="C36:K36"/>
    <mergeCell ref="A37:B37"/>
    <mergeCell ref="C37:K37"/>
    <mergeCell ref="A34:B34"/>
    <mergeCell ref="C34:K34"/>
    <mergeCell ref="A35:B35"/>
    <mergeCell ref="C35:K35"/>
    <mergeCell ref="A2:K2"/>
    <mergeCell ref="C5:I5"/>
    <mergeCell ref="A15:B16"/>
    <mergeCell ref="A12:B13"/>
    <mergeCell ref="A14:B14"/>
    <mergeCell ref="G13:K14"/>
    <mergeCell ref="G10:K11"/>
    <mergeCell ref="G9:K9"/>
    <mergeCell ref="C18:K18"/>
    <mergeCell ref="A3:K3"/>
    <mergeCell ref="A28:B28"/>
    <mergeCell ref="C28:K28"/>
    <mergeCell ref="A29:B29"/>
    <mergeCell ref="A30:B30"/>
    <mergeCell ref="C29:K29"/>
    <mergeCell ref="C30:K30"/>
    <mergeCell ref="C33:K33"/>
    <mergeCell ref="A33:B33"/>
    <mergeCell ref="C31:K31"/>
    <mergeCell ref="A31:B31"/>
    <mergeCell ref="C32:K32"/>
    <mergeCell ref="A32:B32"/>
    <mergeCell ref="J20:K20"/>
    <mergeCell ref="C26:K26"/>
    <mergeCell ref="A27:B27"/>
    <mergeCell ref="C27:K27"/>
    <mergeCell ref="C24:K24"/>
    <mergeCell ref="A23:B23"/>
    <mergeCell ref="A26:B26"/>
    <mergeCell ref="A20:I20"/>
    <mergeCell ref="A21:K21"/>
    <mergeCell ref="C22:K22"/>
    <mergeCell ref="C25:K25"/>
    <mergeCell ref="A25:B25"/>
    <mergeCell ref="A22:B22"/>
    <mergeCell ref="A24:B24"/>
    <mergeCell ref="C23:K23"/>
  </mergeCells>
  <conditionalFormatting sqref="C8">
    <cfRule type="expression" dxfId="120" priority="26" stopIfTrue="1">
      <formula>IF(C8=0,TRUE,FALSE)</formula>
    </cfRule>
  </conditionalFormatting>
  <conditionalFormatting sqref="D8">
    <cfRule type="expression" dxfId="119" priority="25" stopIfTrue="1">
      <formula>IF(D8=0,TRUE,FALSE)</formula>
    </cfRule>
  </conditionalFormatting>
  <conditionalFormatting sqref="E8">
    <cfRule type="expression" dxfId="118" priority="24" stopIfTrue="1">
      <formula>IF(E8=0,TRUE,FALSE)</formula>
    </cfRule>
  </conditionalFormatting>
  <conditionalFormatting sqref="F8">
    <cfRule type="expression" dxfId="117" priority="23" stopIfTrue="1">
      <formula>IF(F8=0,TRUE,FALSE)</formula>
    </cfRule>
  </conditionalFormatting>
  <conditionalFormatting sqref="C11 C13:C14">
    <cfRule type="expression" dxfId="116" priority="22" stopIfTrue="1">
      <formula>IF(C11=0,TRUE,FALSE)</formula>
    </cfRule>
  </conditionalFormatting>
  <conditionalFormatting sqref="D11 D13:D14">
    <cfRule type="expression" dxfId="115" priority="21" stopIfTrue="1">
      <formula>IF(D11=0,TRUE,FALSE)</formula>
    </cfRule>
  </conditionalFormatting>
  <conditionalFormatting sqref="E11 E13:E14">
    <cfRule type="expression" dxfId="114" priority="20" stopIfTrue="1">
      <formula>IF(E11=0,TRUE,FALSE)</formula>
    </cfRule>
  </conditionalFormatting>
  <conditionalFormatting sqref="C17">
    <cfRule type="expression" dxfId="113" priority="19" stopIfTrue="1">
      <formula>IF(C17=0,TRUE,FALSE)</formula>
    </cfRule>
  </conditionalFormatting>
  <conditionalFormatting sqref="D17">
    <cfRule type="expression" dxfId="112" priority="18" stopIfTrue="1">
      <formula>IF(D17=0,TRUE,FALSE)</formula>
    </cfRule>
  </conditionalFormatting>
  <conditionalFormatting sqref="E17">
    <cfRule type="expression" dxfId="111" priority="17" stopIfTrue="1">
      <formula>IF(E17=0,TRUE,FALSE)</formula>
    </cfRule>
  </conditionalFormatting>
  <conditionalFormatting sqref="F17">
    <cfRule type="expression" dxfId="110" priority="16" stopIfTrue="1">
      <formula>IF(F17=0,TRUE,FALSE)</formula>
    </cfRule>
  </conditionalFormatting>
  <conditionalFormatting sqref="G17">
    <cfRule type="expression" dxfId="109" priority="15" stopIfTrue="1">
      <formula>IF(G17=0,TRUE,FALSE)</formula>
    </cfRule>
  </conditionalFormatting>
  <conditionalFormatting sqref="H17">
    <cfRule type="expression" dxfId="108" priority="14" stopIfTrue="1">
      <formula>IF(H17=0,TRUE,FALSE)</formula>
    </cfRule>
  </conditionalFormatting>
  <conditionalFormatting sqref="I17">
    <cfRule type="expression" dxfId="107" priority="13" stopIfTrue="1">
      <formula>IF(I17=0,TRUE,FALSE)</formula>
    </cfRule>
  </conditionalFormatting>
  <conditionalFormatting sqref="J17">
    <cfRule type="expression" dxfId="106" priority="12" stopIfTrue="1">
      <formula>IF(J17=0,TRUE,FALSE)</formula>
    </cfRule>
  </conditionalFormatting>
  <conditionalFormatting sqref="K17">
    <cfRule type="expression" dxfId="105" priority="11" stopIfTrue="1">
      <formula>IF(K17=0,TRUE,FALSE)</formula>
    </cfRule>
  </conditionalFormatting>
  <conditionalFormatting sqref="G10:K10">
    <cfRule type="expression" dxfId="104" priority="9" stopIfTrue="1">
      <formula>IF(G10="Please provide Certification Expiration date",TRUE,FALSE)</formula>
    </cfRule>
  </conditionalFormatting>
  <conditionalFormatting sqref="C18:K18">
    <cfRule type="expression" dxfId="103" priority="8" stopIfTrue="1">
      <formula>IF(C18="Please provide Certification Expiration date",TRUE, FALSE)</formula>
    </cfRule>
  </conditionalFormatting>
  <conditionalFormatting sqref="G7:K8">
    <cfRule type="expression" dxfId="102" priority="7" stopIfTrue="1">
      <formula>IF(G7="Please provide Certification Expiration date",TRUE,FALSE)</formula>
    </cfRule>
  </conditionalFormatting>
  <conditionalFormatting sqref="G9:K9">
    <cfRule type="expression" dxfId="101" priority="4" stopIfTrue="1">
      <formula>IF(G9="Please indicate Accredited Modalities and provide Certification Expiration dates",TRUE,FALSE)</formula>
    </cfRule>
  </conditionalFormatting>
  <conditionalFormatting sqref="G13:K14">
    <cfRule type="expression" dxfId="100" priority="3" stopIfTrue="1">
      <formula>IF(G13="Please provide Certification Expiration date",TRUE,FALSE)</formula>
    </cfRule>
  </conditionalFormatting>
  <conditionalFormatting sqref="F14">
    <cfRule type="expression" dxfId="99" priority="1" stopIfTrue="1">
      <formula>IF(F14=0,TRUE,FALSE)</formula>
    </cfRule>
  </conditionalFormatting>
  <hyperlinks>
    <hyperlink ref="A25:B25" location="Section_2" display="Section 2"/>
    <hyperlink ref="A24:B24" location="fixed" display="Section 1"/>
    <hyperlink ref="A23:B23" location="accreditation" display="Accreditation"/>
    <hyperlink ref="J5:K5" location="text_accred" display="Document Explanations if needed"/>
    <hyperlink ref="A26:B26" location="Section_3" display="Section 3"/>
    <hyperlink ref="A27:B27" location="portable" display="Section 4"/>
    <hyperlink ref="A28:B28" location="Section_5" display="Section 5"/>
    <hyperlink ref="A29:B29" location="Section_6" display="Section 6"/>
    <hyperlink ref="A30:B30" location="mobile" display="Section 7"/>
    <hyperlink ref="A31:B31" location="Section_8" display="Section 8"/>
    <hyperlink ref="A32:B32" location="Section_9" display="Section 9"/>
    <hyperlink ref="A33:B33" location="lease_detail" display="Section 10"/>
    <hyperlink ref="A34:B34" location="mobile_locations" display="Section 11"/>
    <hyperlink ref="A35:B35" location="economic_interest" display="Section 12"/>
    <hyperlink ref="A36:B36" location="Section_13" display="Section 13"/>
    <hyperlink ref="A37:B37" location="Section_14" display="Section 14"/>
    <hyperlink ref="A38:B38" location="Section_15" display="Section 15"/>
    <hyperlink ref="L15:N15" r:id="rId1" location="stat.144.1225" display="Minnesota Statutes, section 144.1225"/>
  </hyperlinks>
  <pageMargins left="0.75" right="0.75" top="1" bottom="1" header="0.5" footer="0.5"/>
  <pageSetup scale="65" orientation="portrait" r:id="rId2"/>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8"/>
  <sheetViews>
    <sheetView zoomScale="90" zoomScaleNormal="90" workbookViewId="0"/>
  </sheetViews>
  <sheetFormatPr defaultColWidth="8.85546875" defaultRowHeight="12.75" x14ac:dyDescent="0.2"/>
  <cols>
    <col min="1" max="2" width="8.85546875" style="579"/>
    <col min="3" max="11" width="9.5703125" style="579" customWidth="1"/>
    <col min="12" max="16384" width="8.85546875" style="579"/>
  </cols>
  <sheetData>
    <row r="1" spans="1:14" ht="13.5" customHeight="1" thickBot="1" x14ac:dyDescent="0.45">
      <c r="A1" s="207" t="e">
        <f>CONCATENATE('Demog Contact'!D$5," ",'Demog Contact'!D$6)</f>
        <v>#N/A</v>
      </c>
      <c r="B1" s="208"/>
      <c r="C1" s="208"/>
      <c r="D1" s="208"/>
      <c r="E1" s="208"/>
      <c r="F1" s="208"/>
      <c r="G1" s="208"/>
      <c r="H1" s="208"/>
      <c r="I1" s="208"/>
      <c r="J1" s="208"/>
      <c r="K1" s="209">
        <f>('Demog Contact'!D5)</f>
        <v>0</v>
      </c>
      <c r="L1" s="578"/>
      <c r="M1" s="578"/>
      <c r="N1" s="578"/>
    </row>
    <row r="2" spans="1:14" ht="21" x14ac:dyDescent="0.35">
      <c r="A2" s="842" t="s">
        <v>412</v>
      </c>
      <c r="B2" s="843"/>
      <c r="C2" s="843"/>
      <c r="D2" s="843"/>
      <c r="E2" s="843"/>
      <c r="F2" s="843"/>
      <c r="G2" s="843"/>
      <c r="H2" s="843"/>
      <c r="I2" s="843"/>
      <c r="J2" s="843"/>
      <c r="K2" s="844"/>
      <c r="L2" s="578"/>
      <c r="M2" s="578"/>
      <c r="N2" s="578"/>
    </row>
    <row r="3" spans="1:14" ht="12.75" customHeight="1" x14ac:dyDescent="0.2">
      <c r="A3" s="866" t="s">
        <v>443</v>
      </c>
      <c r="B3" s="867"/>
      <c r="C3" s="867"/>
      <c r="D3" s="867"/>
      <c r="E3" s="867"/>
      <c r="F3" s="867"/>
      <c r="G3" s="867"/>
      <c r="H3" s="867"/>
      <c r="I3" s="867"/>
      <c r="J3" s="867"/>
      <c r="K3" s="868"/>
      <c r="L3" s="578"/>
      <c r="M3" s="578"/>
      <c r="N3" s="578"/>
    </row>
    <row r="4" spans="1:14" x14ac:dyDescent="0.2">
      <c r="A4" s="878"/>
      <c r="B4" s="879"/>
      <c r="C4" s="879"/>
      <c r="D4" s="879"/>
      <c r="E4" s="879"/>
      <c r="F4" s="879"/>
      <c r="G4" s="879"/>
      <c r="H4" s="879"/>
      <c r="I4" s="882" t="str">
        <f>CONCATENATE("Fiscal Year ",'Demog Contact'!N1)</f>
        <v>Fiscal Year 2019</v>
      </c>
      <c r="J4" s="882"/>
      <c r="K4" s="883"/>
      <c r="L4" s="580"/>
      <c r="M4" s="580"/>
      <c r="N4" s="580"/>
    </row>
    <row r="5" spans="1:14" ht="12.75" customHeight="1" x14ac:dyDescent="0.2">
      <c r="A5" s="880" t="s">
        <v>380</v>
      </c>
      <c r="B5" s="881"/>
      <c r="C5" s="845" t="s">
        <v>482</v>
      </c>
      <c r="D5" s="846"/>
      <c r="E5" s="846"/>
      <c r="F5" s="846"/>
      <c r="G5" s="846"/>
      <c r="H5" s="846"/>
      <c r="I5" s="846"/>
      <c r="J5" s="884" t="s">
        <v>413</v>
      </c>
      <c r="K5" s="885"/>
      <c r="L5" s="580"/>
      <c r="M5" s="580"/>
      <c r="N5" s="580"/>
    </row>
    <row r="6" spans="1:14" ht="39.6" customHeight="1" x14ac:dyDescent="0.2">
      <c r="A6" s="847" t="s">
        <v>381</v>
      </c>
      <c r="B6" s="848"/>
      <c r="C6" s="218" t="s">
        <v>384</v>
      </c>
      <c r="D6" s="218" t="s">
        <v>385</v>
      </c>
      <c r="E6" s="218" t="s">
        <v>382</v>
      </c>
      <c r="F6" s="218" t="s">
        <v>386</v>
      </c>
      <c r="G6" s="219"/>
      <c r="H6" s="219"/>
      <c r="I6" s="219"/>
      <c r="J6" s="220"/>
      <c r="K6" s="221"/>
      <c r="L6" s="581"/>
      <c r="M6" s="581"/>
      <c r="N6" s="581"/>
    </row>
    <row r="7" spans="1:14" ht="12.75" customHeight="1" x14ac:dyDescent="0.2">
      <c r="A7" s="849"/>
      <c r="B7" s="850"/>
      <c r="C7" s="571" t="e">
        <f>IF(EXACT(VLOOKUP($K$1,ID_list,108,FALSE),"128"),"X","")</f>
        <v>#N/A</v>
      </c>
      <c r="D7" s="174" t="e">
        <f>IF(EXACT(VLOOKUP($K$1,ID_list,110,FALSE),"131"),"X","")</f>
        <v>#N/A</v>
      </c>
      <c r="E7" s="174" t="e">
        <f>IF(EXACT(VLOOKUP($K$1,ID_list,112,FALSE),"129"),"X","")</f>
        <v>#N/A</v>
      </c>
      <c r="F7" s="224" t="e">
        <f>IF(EXACT(VLOOKUP($K$1,ID_list,114,FALSE),"130"),"X","")</f>
        <v>#N/A</v>
      </c>
      <c r="G7" s="889" t="str">
        <f>IF(OR(AND(T7=1,T8=0),AND(U7=1,U8=0),AND(V7=1,V8=0),AND(W7=1,W8=0)),"Please provide Certification Expiration date","")</f>
        <v/>
      </c>
      <c r="H7" s="889"/>
      <c r="I7" s="889"/>
      <c r="J7" s="889"/>
      <c r="K7" s="890"/>
      <c r="L7" s="581"/>
      <c r="M7" s="581"/>
      <c r="N7" s="581"/>
    </row>
    <row r="8" spans="1:14" ht="12.75" customHeight="1" x14ac:dyDescent="0.2">
      <c r="A8" s="853" t="s">
        <v>409</v>
      </c>
      <c r="B8" s="888"/>
      <c r="C8" s="226" t="e">
        <f>VLOOKUP($K$1,ID_list,109,FALSE)</f>
        <v>#N/A</v>
      </c>
      <c r="D8" s="226" t="e">
        <f>VLOOKUP($K$1,ID_list,111,FALSE)</f>
        <v>#N/A</v>
      </c>
      <c r="E8" s="226" t="e">
        <f>VLOOKUP($K$1,ID_list,113,FALSE)</f>
        <v>#N/A</v>
      </c>
      <c r="F8" s="226" t="e">
        <f>VLOOKUP($K$1,ID_list,115,FALSE)</f>
        <v>#N/A</v>
      </c>
      <c r="G8" s="891"/>
      <c r="H8" s="891"/>
      <c r="I8" s="891"/>
      <c r="J8" s="891"/>
      <c r="K8" s="892"/>
      <c r="L8" s="581"/>
      <c r="M8" s="581"/>
      <c r="N8" s="581"/>
    </row>
    <row r="9" spans="1:14" ht="39.6" customHeight="1" x14ac:dyDescent="0.2">
      <c r="A9" s="847" t="s">
        <v>383</v>
      </c>
      <c r="B9" s="848"/>
      <c r="C9" s="218" t="s">
        <v>451</v>
      </c>
      <c r="D9" s="218" t="s">
        <v>452</v>
      </c>
      <c r="E9" s="218" t="s">
        <v>453</v>
      </c>
      <c r="F9" s="229" t="s">
        <v>502</v>
      </c>
      <c r="G9" s="861" t="str">
        <f>IF(AND(T5&gt;0,U5=0),"Please indicate Accredited Modalities and provide Certification Expiration dates","")</f>
        <v/>
      </c>
      <c r="H9" s="862"/>
      <c r="I9" s="862"/>
      <c r="J9" s="862"/>
      <c r="K9" s="863"/>
      <c r="L9" s="581"/>
      <c r="M9" s="581"/>
      <c r="N9" s="581"/>
    </row>
    <row r="10" spans="1:14" ht="27" customHeight="1" x14ac:dyDescent="0.2">
      <c r="A10" s="849"/>
      <c r="B10" s="850"/>
      <c r="C10" s="571" t="e">
        <f>IF(EXACT(VLOOKUP($K$1,ID_list,116,FALSE),"132"),"X","")</f>
        <v>#N/A</v>
      </c>
      <c r="D10" s="174" t="e">
        <f>IF(EXACT(VLOOKUP($K$1,ID_list,118,FALSE),"133"),"X","")</f>
        <v>#N/A</v>
      </c>
      <c r="E10" s="174" t="e">
        <f>IF(EXACT(VLOOKUP($K$1,ID_list,120,FALSE),"134"),"X","")</f>
        <v>#N/A</v>
      </c>
      <c r="F10" s="233"/>
      <c r="G10" s="856" t="str">
        <f>IF(OR(AND(T10=1,T11=0),AND(U10=1,U11=0),AND(V10=1,V11=0),AND(W10=1,W11=0)),"Please provide Certification Expiration date","")</f>
        <v/>
      </c>
      <c r="H10" s="856"/>
      <c r="I10" s="856"/>
      <c r="J10" s="856"/>
      <c r="K10" s="857"/>
      <c r="L10" s="581"/>
      <c r="M10" s="581"/>
      <c r="N10" s="581"/>
    </row>
    <row r="11" spans="1:14" ht="12.75" customHeight="1" x14ac:dyDescent="0.2">
      <c r="A11" s="853" t="s">
        <v>409</v>
      </c>
      <c r="B11" s="888"/>
      <c r="C11" s="226" t="e">
        <f>VLOOKUP($K$1,ID_list,117,FALSE)</f>
        <v>#N/A</v>
      </c>
      <c r="D11" s="226" t="e">
        <f>VLOOKUP($K$1,ID_list,119,FALSE)</f>
        <v>#N/A</v>
      </c>
      <c r="E11" s="226" t="e">
        <f>VLOOKUP($K$1,ID_list,121,FALSE)</f>
        <v>#N/A</v>
      </c>
      <c r="F11" s="233"/>
      <c r="G11" s="859"/>
      <c r="H11" s="859"/>
      <c r="I11" s="859"/>
      <c r="J11" s="859"/>
      <c r="K11" s="860"/>
      <c r="L11" s="581"/>
      <c r="M11" s="581"/>
      <c r="N11" s="581"/>
    </row>
    <row r="12" spans="1:14" ht="39.6" customHeight="1" x14ac:dyDescent="0.2">
      <c r="A12" s="847" t="s">
        <v>1970</v>
      </c>
      <c r="B12" s="851"/>
      <c r="C12" s="218" t="s">
        <v>273</v>
      </c>
      <c r="D12" s="218" t="s">
        <v>274</v>
      </c>
      <c r="E12" s="218" t="s">
        <v>276</v>
      </c>
      <c r="F12" s="218" t="s">
        <v>278</v>
      </c>
      <c r="G12" s="572"/>
      <c r="H12" s="573"/>
      <c r="I12" s="573"/>
      <c r="J12" s="573"/>
      <c r="K12" s="574"/>
      <c r="L12" s="582"/>
      <c r="M12" s="582"/>
      <c r="N12" s="582"/>
    </row>
    <row r="13" spans="1:14" ht="12.75" customHeight="1" x14ac:dyDescent="0.2">
      <c r="A13" s="849"/>
      <c r="B13" s="852"/>
      <c r="C13" s="226" t="e">
        <f>IF(EXACT(VLOOKUP($K$1,ID_list,140,FALSE),"215"),"X","")</f>
        <v>#N/A</v>
      </c>
      <c r="D13" s="226" t="e">
        <f>IF(EXACT(VLOOKUP($K$1,ID_list,142,FALSE),"216"),"X","")</f>
        <v>#N/A</v>
      </c>
      <c r="E13" s="226" t="e">
        <f>IF(EXACT(VLOOKUP($K$1,ID_list,144,FALSE),"217"),"X","")</f>
        <v>#N/A</v>
      </c>
      <c r="F13" s="233" t="e">
        <f>IF(EXACT(VLOOKUP($K$1,ID_list,146,FALSE),"218"),"X","")</f>
        <v>#N/A</v>
      </c>
      <c r="G13" s="855" t="str">
        <f>IF(OR(AND(T13=1,T14=0),AND(U13=1,U14=0),AND(V13=1,V14=0),AND(W13=1,W14=0)),
"Please provide Certification Expiration date","")</f>
        <v/>
      </c>
      <c r="H13" s="856"/>
      <c r="I13" s="856"/>
      <c r="J13" s="856"/>
      <c r="K13" s="857"/>
      <c r="L13" s="582"/>
      <c r="M13" s="582"/>
      <c r="N13" s="582"/>
    </row>
    <row r="14" spans="1:14" ht="13.5" customHeight="1" x14ac:dyDescent="0.2">
      <c r="A14" s="853" t="s">
        <v>409</v>
      </c>
      <c r="B14" s="854"/>
      <c r="C14" s="226" t="e">
        <f>VLOOKUP($K$1,ID_list,141,FALSE)</f>
        <v>#N/A</v>
      </c>
      <c r="D14" s="226" t="e">
        <f>VLOOKUP($K$1,ID_list,143,FALSE)</f>
        <v>#N/A</v>
      </c>
      <c r="E14" s="226" t="e">
        <f>VLOOKUP($K$1,ID_list,145,FALSE)</f>
        <v>#N/A</v>
      </c>
      <c r="F14" s="226" t="e">
        <f>VLOOKUP($K$1,ID_list,147,FALSE)</f>
        <v>#N/A</v>
      </c>
      <c r="G14" s="858"/>
      <c r="H14" s="859"/>
      <c r="I14" s="859"/>
      <c r="J14" s="859"/>
      <c r="K14" s="860"/>
      <c r="L14" s="582"/>
      <c r="M14" s="582"/>
      <c r="N14" s="582"/>
    </row>
    <row r="15" spans="1:14" ht="25.5" customHeight="1" x14ac:dyDescent="0.2">
      <c r="A15" s="847" t="s">
        <v>390</v>
      </c>
      <c r="B15" s="848"/>
      <c r="C15" s="218" t="s">
        <v>388</v>
      </c>
      <c r="D15" s="218" t="s">
        <v>273</v>
      </c>
      <c r="E15" s="218" t="s">
        <v>274</v>
      </c>
      <c r="F15" s="218" t="s">
        <v>276</v>
      </c>
      <c r="G15" s="238" t="s">
        <v>387</v>
      </c>
      <c r="H15" s="218" t="s">
        <v>415</v>
      </c>
      <c r="I15" s="218" t="s">
        <v>416</v>
      </c>
      <c r="J15" s="239" t="s">
        <v>389</v>
      </c>
      <c r="K15" s="240" t="s">
        <v>391</v>
      </c>
      <c r="L15" s="578"/>
      <c r="M15" s="578"/>
      <c r="N15" s="578"/>
    </row>
    <row r="16" spans="1:14" x14ac:dyDescent="0.2">
      <c r="A16" s="849"/>
      <c r="B16" s="850"/>
      <c r="C16" s="571" t="e">
        <f>IF(EXACT(VLOOKUP($K$1,ID_list,122,FALSE),"140"),"X","")</f>
        <v>#N/A</v>
      </c>
      <c r="D16" s="571" t="e">
        <f>IF(EXACT(VLOOKUP($K$1,ID_list,124,FALSE),"141"),"X","")</f>
        <v>#N/A</v>
      </c>
      <c r="E16" s="571" t="e">
        <f>IF(EXACT(VLOOKUP($K$1,ID_list,126,FALSE),"143"),"X","")</f>
        <v>#N/A</v>
      </c>
      <c r="F16" s="242" t="e">
        <f>IF(EXACT(VLOOKUP($K$1,ID_list,128,FALSE),"135"),"X","")</f>
        <v>#N/A</v>
      </c>
      <c r="G16" s="571" t="e">
        <f>IF(EXACT(VLOOKUP($K$1,ID_list,130,FALSE),"136"),"X","")</f>
        <v>#N/A</v>
      </c>
      <c r="H16" s="571" t="e">
        <f>IF(EXACT(VLOOKUP($K$1,ID_list,132,FALSE),"137"),"X","")</f>
        <v>#N/A</v>
      </c>
      <c r="I16" s="571" t="e">
        <f>IF(EXACT(VLOOKUP($K$1,ID_list,134,FALSE),"142"),"X","")</f>
        <v>#N/A</v>
      </c>
      <c r="J16" s="243" t="e">
        <f>IF(EXACT(VLOOKUP($K$1,ID_list,136,FALSE),"138"),"X","")</f>
        <v>#N/A</v>
      </c>
      <c r="K16" s="242" t="e">
        <f>IF(EXACT(VLOOKUP($K$1,ID_list,138,FALSE),"139"),"X","")</f>
        <v>#N/A</v>
      </c>
    </row>
    <row r="17" spans="1:11" ht="13.5" thickBot="1" x14ac:dyDescent="0.25">
      <c r="A17" s="886" t="s">
        <v>409</v>
      </c>
      <c r="B17" s="887"/>
      <c r="C17" s="244" t="e">
        <f>VLOOKUP($K$1,ID_list,123,FALSE)</f>
        <v>#N/A</v>
      </c>
      <c r="D17" s="244" t="e">
        <f>VLOOKUP($K$1,ID_list,125,FALSE)</f>
        <v>#N/A</v>
      </c>
      <c r="E17" s="244" t="e">
        <f>VLOOKUP($K$1,ID_list,127,FALSE)</f>
        <v>#N/A</v>
      </c>
      <c r="F17" s="244" t="e">
        <f>VLOOKUP($K$1,ID_list,129,FALSE)</f>
        <v>#N/A</v>
      </c>
      <c r="G17" s="245" t="e">
        <f>VLOOKUP($K$1,ID_list,131,FALSE)</f>
        <v>#N/A</v>
      </c>
      <c r="H17" s="245" t="e">
        <f>VLOOKUP($K$1,ID_list,133,FALSE)</f>
        <v>#N/A</v>
      </c>
      <c r="I17" s="245" t="e">
        <f>VLOOKUP($K$1,ID_list,135,FALSE)</f>
        <v>#N/A</v>
      </c>
      <c r="J17" s="246" t="e">
        <f>VLOOKUP($K$1,ID_list,137,FALSE)</f>
        <v>#N/A</v>
      </c>
      <c r="K17" s="247" t="e">
        <f>VLOOKUP($K$1,ID_list,139,FALSE)</f>
        <v>#N/A</v>
      </c>
    </row>
    <row r="18" spans="1:11" ht="13.5" thickBot="1" x14ac:dyDescent="0.25">
      <c r="A18" s="249"/>
      <c r="B18" s="250"/>
      <c r="C18" s="864" t="str">
        <f>IF(OR(AND(T16=1,T17=0),AND(U16=1,U17=0),AND(V16=1,V17=0),AND(W16=1,W17=0),AND(X16=1,X17=0),AND(Y16=1,Y17=0),AND(Z16=1,Z17=0),AND(AA16=1,AA17=0),AND(AB16=1,AB17=0)),"Please provide Certification Expiration date","")</f>
        <v/>
      </c>
      <c r="D18" s="864"/>
      <c r="E18" s="864"/>
      <c r="F18" s="864"/>
      <c r="G18" s="864"/>
      <c r="H18" s="864"/>
      <c r="I18" s="864"/>
      <c r="J18" s="864"/>
      <c r="K18" s="865"/>
    </row>
  </sheetData>
  <sheetProtection sheet="1" objects="1" scenarios="1"/>
  <mergeCells count="20">
    <mergeCell ref="C18:K18"/>
    <mergeCell ref="A2:K2"/>
    <mergeCell ref="A3:K3"/>
    <mergeCell ref="A4:H4"/>
    <mergeCell ref="I4:K4"/>
    <mergeCell ref="A5:B5"/>
    <mergeCell ref="A6:B7"/>
    <mergeCell ref="J5:K5"/>
    <mergeCell ref="G7:K8"/>
    <mergeCell ref="A15:B16"/>
    <mergeCell ref="A8:B8"/>
    <mergeCell ref="C5:I5"/>
    <mergeCell ref="G9:K9"/>
    <mergeCell ref="G10:K11"/>
    <mergeCell ref="A12:B13"/>
    <mergeCell ref="A14:B14"/>
    <mergeCell ref="A9:B10"/>
    <mergeCell ref="A11:B11"/>
    <mergeCell ref="G13:K14"/>
    <mergeCell ref="A17:B17"/>
  </mergeCells>
  <conditionalFormatting sqref="E8">
    <cfRule type="expression" dxfId="98" priority="20" stopIfTrue="1">
      <formula>IF(E8=0,TRUE,FALSE)</formula>
    </cfRule>
  </conditionalFormatting>
  <conditionalFormatting sqref="F8">
    <cfRule type="expression" dxfId="97" priority="19" stopIfTrue="1">
      <formula>IF(F8=0,TRUE,FALSE)</formula>
    </cfRule>
  </conditionalFormatting>
  <conditionalFormatting sqref="C11 C13:C14">
    <cfRule type="expression" dxfId="96" priority="18" stopIfTrue="1">
      <formula>IF(C11=0,TRUE,FALSE)</formula>
    </cfRule>
  </conditionalFormatting>
  <conditionalFormatting sqref="D11 D13:D14">
    <cfRule type="expression" dxfId="95" priority="17" stopIfTrue="1">
      <formula>IF(D11=0,TRUE,FALSE)</formula>
    </cfRule>
  </conditionalFormatting>
  <conditionalFormatting sqref="E11 E13:E14">
    <cfRule type="expression" dxfId="94" priority="16" stopIfTrue="1">
      <formula>IF(E11=0,TRUE,FALSE)</formula>
    </cfRule>
  </conditionalFormatting>
  <conditionalFormatting sqref="C17">
    <cfRule type="expression" dxfId="93" priority="15" stopIfTrue="1">
      <formula>IF(C17=0,TRUE,FALSE)</formula>
    </cfRule>
  </conditionalFormatting>
  <conditionalFormatting sqref="D17">
    <cfRule type="expression" dxfId="92" priority="14" stopIfTrue="1">
      <formula>IF(D17=0,TRUE,FALSE)</formula>
    </cfRule>
  </conditionalFormatting>
  <conditionalFormatting sqref="E17">
    <cfRule type="expression" dxfId="91" priority="13" stopIfTrue="1">
      <formula>IF(E17=0,TRUE,FALSE)</formula>
    </cfRule>
  </conditionalFormatting>
  <conditionalFormatting sqref="F17">
    <cfRule type="expression" dxfId="90" priority="12" stopIfTrue="1">
      <formula>IF(F17=0,TRUE,FALSE)</formula>
    </cfRule>
  </conditionalFormatting>
  <conditionalFormatting sqref="G17">
    <cfRule type="expression" dxfId="89" priority="11" stopIfTrue="1">
      <formula>IF(G17=0,TRUE,FALSE)</formula>
    </cfRule>
  </conditionalFormatting>
  <conditionalFormatting sqref="H17">
    <cfRule type="expression" dxfId="88" priority="10" stopIfTrue="1">
      <formula>IF(H17=0,TRUE,FALSE)</formula>
    </cfRule>
  </conditionalFormatting>
  <conditionalFormatting sqref="I17">
    <cfRule type="expression" dxfId="87" priority="9" stopIfTrue="1">
      <formula>IF(I17=0,TRUE,FALSE)</formula>
    </cfRule>
  </conditionalFormatting>
  <conditionalFormatting sqref="J17">
    <cfRule type="expression" dxfId="86" priority="8" stopIfTrue="1">
      <formula>IF(J17=0,TRUE,FALSE)</formula>
    </cfRule>
  </conditionalFormatting>
  <conditionalFormatting sqref="K17">
    <cfRule type="expression" dxfId="85" priority="7" stopIfTrue="1">
      <formula>IF(K17=0,TRUE,FALSE)</formula>
    </cfRule>
  </conditionalFormatting>
  <conditionalFormatting sqref="F14">
    <cfRule type="expression" dxfId="84" priority="1" stopIfTrue="1">
      <formula>IF(F14=0,TRUE,FALSE)</formula>
    </cfRule>
  </conditionalFormatting>
  <conditionalFormatting sqref="C8">
    <cfRule type="expression" dxfId="83" priority="22" stopIfTrue="1">
      <formula>IF(C8=0,TRUE,FALSE)</formula>
    </cfRule>
  </conditionalFormatting>
  <conditionalFormatting sqref="D8">
    <cfRule type="expression" dxfId="82" priority="21" stopIfTrue="1">
      <formula>IF(D8=0,TRUE,FALSE)</formula>
    </cfRule>
  </conditionalFormatting>
  <conditionalFormatting sqref="G10:K10">
    <cfRule type="expression" dxfId="81" priority="6" stopIfTrue="1">
      <formula>IF(G10="Please provide Certification Expiration date",TRUE,FALSE)</formula>
    </cfRule>
  </conditionalFormatting>
  <conditionalFormatting sqref="C18:K18">
    <cfRule type="expression" dxfId="80" priority="5" stopIfTrue="1">
      <formula>IF(C18="Please provide Certification Expiration date",TRUE, FALSE)</formula>
    </cfRule>
  </conditionalFormatting>
  <conditionalFormatting sqref="G7:K8">
    <cfRule type="expression" dxfId="79" priority="4" stopIfTrue="1">
      <formula>IF(G7="Please provide Certification Expiration date",TRUE,FALSE)</formula>
    </cfRule>
  </conditionalFormatting>
  <conditionalFormatting sqref="G9:K9">
    <cfRule type="expression" dxfId="78" priority="3" stopIfTrue="1">
      <formula>IF(G9="Please indicate Accredited Modalities and provide Certification Expiration dates",TRUE,FALSE)</formula>
    </cfRule>
  </conditionalFormatting>
  <conditionalFormatting sqref="G13:K14">
    <cfRule type="expression" dxfId="77" priority="2" stopIfTrue="1">
      <formula>IF(G13="Please provide Certification Expiration date",TRUE,FALSE)</formula>
    </cfRule>
  </conditionalFormatting>
  <hyperlinks>
    <hyperlink ref="J5:K5" location="text_accred" display="Document Explanations if needed"/>
  </hyperlinks>
  <pageMargins left="0.75" right="0.75" top="1" bottom="1" header="0.5" footer="0.5"/>
  <pageSetup scale="87" orientation="portrait"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46"/>
  <sheetViews>
    <sheetView zoomScaleNormal="100" workbookViewId="0">
      <selection sqref="A1:S1"/>
    </sheetView>
  </sheetViews>
  <sheetFormatPr defaultRowHeight="24.95" customHeight="1" x14ac:dyDescent="0.2"/>
  <cols>
    <col min="1" max="1" width="25.7109375" style="251" customWidth="1"/>
    <col min="2" max="2" width="5.85546875" style="251" bestFit="1" customWidth="1"/>
    <col min="3" max="3" width="9.28515625" style="251" customWidth="1"/>
    <col min="4" max="4" width="9.140625" style="251" customWidth="1"/>
    <col min="5" max="5" width="5.85546875" style="251" bestFit="1" customWidth="1"/>
    <col min="6" max="7" width="9.140625" style="251" customWidth="1"/>
    <col min="8" max="8" width="5.85546875" style="251" bestFit="1" customWidth="1"/>
    <col min="9" max="10" width="9.140625" style="251" customWidth="1"/>
    <col min="11" max="11" width="5.85546875" style="251" bestFit="1" customWidth="1"/>
    <col min="12" max="13" width="9.140625" style="251" customWidth="1"/>
    <col min="14" max="14" width="5.85546875" style="251" bestFit="1" customWidth="1"/>
    <col min="15" max="16" width="9.140625" style="251" customWidth="1"/>
    <col min="17" max="17" width="5.85546875" style="251" bestFit="1" customWidth="1"/>
    <col min="18" max="16384" width="9.140625" style="251"/>
  </cols>
  <sheetData>
    <row r="1" spans="1:23" ht="24.95" customHeight="1" thickBot="1" x14ac:dyDescent="0.25">
      <c r="A1" s="954" t="e">
        <f>CONCATENATE('Demog Contact'!D$5," ",'Demog Contact'!D$6)</f>
        <v>#N/A</v>
      </c>
      <c r="B1" s="955"/>
      <c r="C1" s="955"/>
      <c r="D1" s="955"/>
      <c r="E1" s="955"/>
      <c r="F1" s="955"/>
      <c r="G1" s="955"/>
      <c r="H1" s="955"/>
      <c r="I1" s="955"/>
      <c r="J1" s="955"/>
      <c r="K1" s="955"/>
      <c r="L1" s="955"/>
      <c r="M1" s="955"/>
      <c r="N1" s="955"/>
      <c r="O1" s="955"/>
      <c r="P1" s="955"/>
      <c r="Q1" s="955"/>
      <c r="R1" s="955"/>
      <c r="S1" s="955"/>
    </row>
    <row r="2" spans="1:23" ht="24.95" customHeight="1" x14ac:dyDescent="0.2">
      <c r="A2" s="956" t="s">
        <v>671</v>
      </c>
      <c r="B2" s="957"/>
      <c r="C2" s="957"/>
      <c r="D2" s="958"/>
      <c r="E2" s="958"/>
      <c r="F2" s="958"/>
      <c r="G2" s="958"/>
      <c r="H2" s="958"/>
      <c r="I2" s="252"/>
      <c r="J2" s="253" t="str">
        <f>CONCATENATE("Fiscal Year ",'Demog Contact'!N1)</f>
        <v>Fiscal Year 2019</v>
      </c>
      <c r="K2" s="252"/>
      <c r="L2" s="252"/>
      <c r="M2" s="252"/>
      <c r="N2" s="963" t="s">
        <v>413</v>
      </c>
      <c r="O2" s="963"/>
      <c r="P2" s="963"/>
      <c r="Q2" s="963"/>
      <c r="R2" s="963"/>
      <c r="S2" s="964"/>
    </row>
    <row r="3" spans="1:23" ht="24.95" customHeight="1" x14ac:dyDescent="0.2">
      <c r="A3" s="945" t="s">
        <v>672</v>
      </c>
      <c r="B3" s="933"/>
      <c r="C3" s="933"/>
      <c r="D3" s="933"/>
      <c r="E3" s="933"/>
      <c r="F3" s="933"/>
      <c r="G3" s="933"/>
      <c r="H3" s="933"/>
      <c r="I3" s="933"/>
      <c r="J3" s="933"/>
      <c r="K3" s="933"/>
      <c r="L3" s="933"/>
      <c r="M3" s="933"/>
      <c r="N3" s="933"/>
      <c r="O3" s="933"/>
      <c r="P3" s="933"/>
      <c r="Q3" s="933"/>
      <c r="R3" s="933"/>
      <c r="S3" s="934"/>
    </row>
    <row r="4" spans="1:23" ht="24.95" customHeight="1" x14ac:dyDescent="0.2">
      <c r="A4" s="254"/>
      <c r="B4" s="880" t="s">
        <v>37</v>
      </c>
      <c r="C4" s="961"/>
      <c r="D4" s="962"/>
      <c r="E4" s="880" t="s">
        <v>36</v>
      </c>
      <c r="F4" s="959"/>
      <c r="G4" s="960"/>
      <c r="H4" s="880" t="s">
        <v>254</v>
      </c>
      <c r="I4" s="961"/>
      <c r="J4" s="962"/>
      <c r="K4" s="880" t="s">
        <v>253</v>
      </c>
      <c r="L4" s="959"/>
      <c r="M4" s="960"/>
      <c r="N4" s="880" t="s">
        <v>252</v>
      </c>
      <c r="O4" s="959"/>
      <c r="P4" s="960"/>
      <c r="Q4" s="880" t="s">
        <v>268</v>
      </c>
      <c r="R4" s="959"/>
      <c r="S4" s="960"/>
    </row>
    <row r="5" spans="1:23" ht="24.95" customHeight="1" x14ac:dyDescent="0.2">
      <c r="A5" s="255" t="s">
        <v>148</v>
      </c>
      <c r="B5" s="256">
        <v>7708</v>
      </c>
      <c r="C5" s="952"/>
      <c r="D5" s="953"/>
      <c r="E5" s="256">
        <v>7723</v>
      </c>
      <c r="F5" s="952"/>
      <c r="G5" s="953"/>
      <c r="H5" s="256">
        <v>7738</v>
      </c>
      <c r="I5" s="952"/>
      <c r="J5" s="953"/>
      <c r="K5" s="256">
        <v>7753</v>
      </c>
      <c r="L5" s="952"/>
      <c r="M5" s="953"/>
      <c r="N5" s="257">
        <v>7768</v>
      </c>
      <c r="O5" s="952"/>
      <c r="P5" s="953"/>
      <c r="Q5" s="256">
        <v>7783</v>
      </c>
      <c r="R5" s="952"/>
      <c r="S5" s="953"/>
    </row>
    <row r="6" spans="1:23" ht="24.95" customHeight="1" x14ac:dyDescent="0.2">
      <c r="A6" s="255" t="s">
        <v>259</v>
      </c>
      <c r="B6" s="256">
        <v>7709</v>
      </c>
      <c r="C6" s="952"/>
      <c r="D6" s="953"/>
      <c r="E6" s="256">
        <v>7724</v>
      </c>
      <c r="F6" s="952"/>
      <c r="G6" s="953"/>
      <c r="H6" s="256">
        <v>7739</v>
      </c>
      <c r="I6" s="952"/>
      <c r="J6" s="953"/>
      <c r="K6" s="256">
        <v>7754</v>
      </c>
      <c r="L6" s="952"/>
      <c r="M6" s="953"/>
      <c r="N6" s="257">
        <v>7769</v>
      </c>
      <c r="O6" s="952"/>
      <c r="P6" s="953"/>
      <c r="Q6" s="256">
        <v>7784</v>
      </c>
      <c r="R6" s="952"/>
      <c r="S6" s="953"/>
    </row>
    <row r="7" spans="1:23" ht="24.95" customHeight="1" x14ac:dyDescent="0.2">
      <c r="A7" s="255" t="s">
        <v>149</v>
      </c>
      <c r="B7" s="256">
        <v>7710</v>
      </c>
      <c r="C7" s="946"/>
      <c r="D7" s="947"/>
      <c r="E7" s="256">
        <v>7725</v>
      </c>
      <c r="F7" s="946"/>
      <c r="G7" s="947"/>
      <c r="H7" s="256">
        <v>7740</v>
      </c>
      <c r="I7" s="946"/>
      <c r="J7" s="947"/>
      <c r="K7" s="256">
        <v>7755</v>
      </c>
      <c r="L7" s="946"/>
      <c r="M7" s="947"/>
      <c r="N7" s="257">
        <v>7770</v>
      </c>
      <c r="O7" s="946"/>
      <c r="P7" s="947"/>
      <c r="Q7" s="256">
        <v>7785</v>
      </c>
      <c r="R7" s="946"/>
      <c r="S7" s="947"/>
    </row>
    <row r="8" spans="1:23" ht="24.95" customHeight="1" x14ac:dyDescent="0.2">
      <c r="A8" s="255" t="s">
        <v>210</v>
      </c>
      <c r="B8" s="256">
        <v>7711</v>
      </c>
      <c r="C8" s="946"/>
      <c r="D8" s="947"/>
      <c r="E8" s="256">
        <v>7726</v>
      </c>
      <c r="F8" s="946"/>
      <c r="G8" s="947"/>
      <c r="H8" s="256">
        <v>7741</v>
      </c>
      <c r="I8" s="946"/>
      <c r="J8" s="947"/>
      <c r="K8" s="256">
        <v>7756</v>
      </c>
      <c r="L8" s="946"/>
      <c r="M8" s="947"/>
      <c r="N8" s="257">
        <v>7771</v>
      </c>
      <c r="O8" s="946"/>
      <c r="P8" s="947"/>
      <c r="Q8" s="256">
        <v>7786</v>
      </c>
      <c r="R8" s="946"/>
      <c r="S8" s="947"/>
    </row>
    <row r="9" spans="1:23" ht="24.95" customHeight="1" x14ac:dyDescent="0.2">
      <c r="A9" s="255" t="s">
        <v>211</v>
      </c>
      <c r="B9" s="256">
        <v>7712</v>
      </c>
      <c r="C9" s="946"/>
      <c r="D9" s="947"/>
      <c r="E9" s="256">
        <v>7727</v>
      </c>
      <c r="F9" s="946"/>
      <c r="G9" s="947"/>
      <c r="H9" s="256">
        <v>7742</v>
      </c>
      <c r="I9" s="946"/>
      <c r="J9" s="947"/>
      <c r="K9" s="256">
        <v>7757</v>
      </c>
      <c r="L9" s="946"/>
      <c r="M9" s="947"/>
      <c r="N9" s="257">
        <v>7772</v>
      </c>
      <c r="O9" s="946"/>
      <c r="P9" s="947"/>
      <c r="Q9" s="256">
        <v>7787</v>
      </c>
      <c r="R9" s="946"/>
      <c r="S9" s="947"/>
    </row>
    <row r="10" spans="1:23" ht="24.95" customHeight="1" x14ac:dyDescent="0.2">
      <c r="A10" s="255" t="s">
        <v>151</v>
      </c>
      <c r="B10" s="256">
        <v>7713</v>
      </c>
      <c r="C10" s="946"/>
      <c r="D10" s="947"/>
      <c r="E10" s="256">
        <v>7728</v>
      </c>
      <c r="F10" s="946"/>
      <c r="G10" s="947"/>
      <c r="H10" s="256">
        <v>7743</v>
      </c>
      <c r="I10" s="946"/>
      <c r="J10" s="947"/>
      <c r="K10" s="256">
        <v>7758</v>
      </c>
      <c r="L10" s="946"/>
      <c r="M10" s="947"/>
      <c r="N10" s="257">
        <v>7773</v>
      </c>
      <c r="O10" s="946"/>
      <c r="P10" s="947"/>
      <c r="Q10" s="256">
        <v>7788</v>
      </c>
      <c r="R10" s="946"/>
      <c r="S10" s="947"/>
    </row>
    <row r="11" spans="1:23" ht="24.95" customHeight="1" x14ac:dyDescent="0.2">
      <c r="A11" s="255" t="s">
        <v>156</v>
      </c>
      <c r="B11" s="256">
        <v>7714</v>
      </c>
      <c r="C11" s="946"/>
      <c r="D11" s="947"/>
      <c r="E11" s="256">
        <v>7729</v>
      </c>
      <c r="F11" s="946"/>
      <c r="G11" s="947"/>
      <c r="H11" s="256">
        <v>7744</v>
      </c>
      <c r="I11" s="946"/>
      <c r="J11" s="947"/>
      <c r="K11" s="256">
        <v>7759</v>
      </c>
      <c r="L11" s="946"/>
      <c r="M11" s="947"/>
      <c r="N11" s="257">
        <v>7774</v>
      </c>
      <c r="O11" s="946"/>
      <c r="P11" s="947"/>
      <c r="Q11" s="256">
        <v>7789</v>
      </c>
      <c r="R11" s="946"/>
      <c r="S11" s="947"/>
    </row>
    <row r="12" spans="1:23" ht="24.95" customHeight="1" x14ac:dyDescent="0.2">
      <c r="A12" s="255" t="s">
        <v>160</v>
      </c>
      <c r="B12" s="256">
        <v>7715</v>
      </c>
      <c r="C12" s="946"/>
      <c r="D12" s="947"/>
      <c r="E12" s="256">
        <v>7730</v>
      </c>
      <c r="F12" s="946"/>
      <c r="G12" s="947"/>
      <c r="H12" s="256">
        <v>7745</v>
      </c>
      <c r="I12" s="946"/>
      <c r="J12" s="947"/>
      <c r="K12" s="256">
        <v>7760</v>
      </c>
      <c r="L12" s="946"/>
      <c r="M12" s="947"/>
      <c r="N12" s="257">
        <v>7775</v>
      </c>
      <c r="O12" s="946"/>
      <c r="P12" s="947"/>
      <c r="Q12" s="256">
        <v>7790</v>
      </c>
      <c r="R12" s="946"/>
      <c r="S12" s="947"/>
    </row>
    <row r="13" spans="1:23" ht="24.95" customHeight="1" x14ac:dyDescent="0.2">
      <c r="A13" s="255" t="s">
        <v>150</v>
      </c>
      <c r="B13" s="256">
        <v>7716</v>
      </c>
      <c r="C13" s="946"/>
      <c r="D13" s="947"/>
      <c r="E13" s="256">
        <v>7731</v>
      </c>
      <c r="F13" s="946"/>
      <c r="G13" s="947"/>
      <c r="H13" s="256">
        <v>7746</v>
      </c>
      <c r="I13" s="946"/>
      <c r="J13" s="947"/>
      <c r="K13" s="256">
        <v>7761</v>
      </c>
      <c r="L13" s="946"/>
      <c r="M13" s="947"/>
      <c r="N13" s="257">
        <v>7776</v>
      </c>
      <c r="O13" s="946"/>
      <c r="P13" s="947"/>
      <c r="Q13" s="256">
        <v>7791</v>
      </c>
      <c r="R13" s="946"/>
      <c r="S13" s="947"/>
    </row>
    <row r="14" spans="1:23" ht="24.95" customHeight="1" x14ac:dyDescent="0.2">
      <c r="A14" s="255" t="s">
        <v>152</v>
      </c>
      <c r="B14" s="256">
        <v>7717</v>
      </c>
      <c r="C14" s="946"/>
      <c r="D14" s="947"/>
      <c r="E14" s="256">
        <v>7732</v>
      </c>
      <c r="F14" s="946"/>
      <c r="G14" s="947"/>
      <c r="H14" s="256">
        <v>7747</v>
      </c>
      <c r="I14" s="946"/>
      <c r="J14" s="947"/>
      <c r="K14" s="256">
        <v>7762</v>
      </c>
      <c r="L14" s="946"/>
      <c r="M14" s="947"/>
      <c r="N14" s="257">
        <v>7777</v>
      </c>
      <c r="O14" s="946"/>
      <c r="P14" s="947"/>
      <c r="Q14" s="256">
        <v>7792</v>
      </c>
      <c r="R14" s="946"/>
      <c r="S14" s="947"/>
    </row>
    <row r="15" spans="1:23" ht="24.95" customHeight="1" x14ac:dyDescent="0.2">
      <c r="A15" s="258" t="s">
        <v>1982</v>
      </c>
      <c r="B15" s="256">
        <v>7718</v>
      </c>
      <c r="C15" s="948">
        <f>SUM(C16:C18)</f>
        <v>0</v>
      </c>
      <c r="D15" s="951"/>
      <c r="E15" s="256">
        <v>7733</v>
      </c>
      <c r="F15" s="948">
        <f>SUM(F16:F18)</f>
        <v>0</v>
      </c>
      <c r="G15" s="949"/>
      <c r="H15" s="256">
        <v>7748</v>
      </c>
      <c r="I15" s="950">
        <f>SUM(I16:I18)</f>
        <v>0</v>
      </c>
      <c r="J15" s="949"/>
      <c r="K15" s="256">
        <v>7763</v>
      </c>
      <c r="L15" s="950">
        <f>SUM(L16:L18)</f>
        <v>0</v>
      </c>
      <c r="M15" s="949"/>
      <c r="N15" s="257">
        <v>7778</v>
      </c>
      <c r="O15" s="948">
        <f>SUM(O16:O18)</f>
        <v>0</v>
      </c>
      <c r="P15" s="949"/>
      <c r="Q15" s="256">
        <v>7793</v>
      </c>
      <c r="R15" s="950">
        <f>SUM(R16:R18)</f>
        <v>0</v>
      </c>
      <c r="S15" s="949"/>
      <c r="T15" s="924" t="s">
        <v>673</v>
      </c>
      <c r="U15" s="924"/>
      <c r="V15" s="924"/>
      <c r="W15" s="925"/>
    </row>
    <row r="16" spans="1:23" ht="24.95" customHeight="1" x14ac:dyDescent="0.2">
      <c r="A16" s="583" t="s">
        <v>155</v>
      </c>
      <c r="B16" s="256">
        <v>7719</v>
      </c>
      <c r="C16" s="259"/>
      <c r="D16" s="935"/>
      <c r="E16" s="256">
        <v>7734</v>
      </c>
      <c r="F16" s="590"/>
      <c r="G16" s="935"/>
      <c r="H16" s="256">
        <v>7749</v>
      </c>
      <c r="I16" s="590"/>
      <c r="J16" s="935"/>
      <c r="K16" s="256">
        <v>7764</v>
      </c>
      <c r="L16" s="590"/>
      <c r="M16" s="935"/>
      <c r="N16" s="257">
        <v>7779</v>
      </c>
      <c r="O16" s="590"/>
      <c r="P16" s="935"/>
      <c r="Q16" s="256">
        <v>7794</v>
      </c>
      <c r="R16" s="590"/>
      <c r="S16" s="935"/>
      <c r="T16" s="926"/>
      <c r="U16" s="926"/>
      <c r="V16" s="926"/>
      <c r="W16" s="927"/>
    </row>
    <row r="17" spans="1:23" ht="24.95" hidden="1" customHeight="1" x14ac:dyDescent="0.2">
      <c r="A17" s="583"/>
      <c r="B17" s="256"/>
      <c r="C17" s="259"/>
      <c r="D17" s="936"/>
      <c r="E17" s="256"/>
      <c r="F17" s="590"/>
      <c r="G17" s="936"/>
      <c r="H17" s="256"/>
      <c r="I17" s="590"/>
      <c r="J17" s="936"/>
      <c r="K17" s="256"/>
      <c r="L17" s="590"/>
      <c r="M17" s="936"/>
      <c r="N17" s="257"/>
      <c r="O17" s="590"/>
      <c r="P17" s="936"/>
      <c r="Q17" s="256"/>
      <c r="R17" s="590"/>
      <c r="S17" s="936"/>
      <c r="T17" s="926"/>
      <c r="U17" s="926"/>
      <c r="V17" s="926"/>
      <c r="W17" s="927"/>
    </row>
    <row r="18" spans="1:23" ht="24.95" customHeight="1" x14ac:dyDescent="0.2">
      <c r="A18" s="583" t="s">
        <v>153</v>
      </c>
      <c r="B18" s="256">
        <v>7721</v>
      </c>
      <c r="C18" s="259"/>
      <c r="D18" s="937"/>
      <c r="E18" s="256">
        <v>7736</v>
      </c>
      <c r="F18" s="590"/>
      <c r="G18" s="937"/>
      <c r="H18" s="256">
        <v>7751</v>
      </c>
      <c r="I18" s="590"/>
      <c r="J18" s="937"/>
      <c r="K18" s="256">
        <v>7766</v>
      </c>
      <c r="L18" s="590"/>
      <c r="M18" s="937"/>
      <c r="N18" s="257">
        <v>7781</v>
      </c>
      <c r="O18" s="590"/>
      <c r="P18" s="937"/>
      <c r="Q18" s="256">
        <v>7796</v>
      </c>
      <c r="R18" s="590"/>
      <c r="S18" s="937"/>
      <c r="T18" s="928"/>
      <c r="U18" s="928"/>
      <c r="V18" s="928"/>
      <c r="W18" s="929"/>
    </row>
    <row r="19" spans="1:23" ht="24.95" customHeight="1" thickBot="1" x14ac:dyDescent="0.25">
      <c r="A19" s="260" t="s">
        <v>154</v>
      </c>
      <c r="B19" s="261">
        <v>7722</v>
      </c>
      <c r="C19" s="940">
        <f>SUM(C5:D15)</f>
        <v>0</v>
      </c>
      <c r="D19" s="941"/>
      <c r="E19" s="261">
        <v>7737</v>
      </c>
      <c r="F19" s="942">
        <f>SUM(F5:G15)</f>
        <v>0</v>
      </c>
      <c r="G19" s="939"/>
      <c r="H19" s="261">
        <v>7752</v>
      </c>
      <c r="I19" s="938">
        <f>SUM(I5:J15)</f>
        <v>0</v>
      </c>
      <c r="J19" s="939"/>
      <c r="K19" s="261">
        <v>7767</v>
      </c>
      <c r="L19" s="938">
        <f>SUM(L5:M15)</f>
        <v>0</v>
      </c>
      <c r="M19" s="939"/>
      <c r="N19" s="262">
        <v>7782</v>
      </c>
      <c r="O19" s="942">
        <f>SUM(O5:P15)</f>
        <v>0</v>
      </c>
      <c r="P19" s="939"/>
      <c r="Q19" s="261">
        <v>7797</v>
      </c>
      <c r="R19" s="938">
        <f>SUM(R5:S15)</f>
        <v>0</v>
      </c>
      <c r="S19" s="939"/>
      <c r="T19" s="263"/>
      <c r="V19" s="263"/>
      <c r="W19" s="263"/>
    </row>
    <row r="20" spans="1:23" s="154" customFormat="1" ht="24.95" customHeight="1" thickBot="1" x14ac:dyDescent="0.25">
      <c r="A20" s="264">
        <f>SUM(C19,F19,I19,L19,O19,R19)</f>
        <v>0</v>
      </c>
      <c r="B20" s="265"/>
      <c r="C20" s="266"/>
      <c r="D20" s="267"/>
      <c r="E20" s="265"/>
      <c r="F20" s="266"/>
      <c r="G20" s="267"/>
      <c r="H20" s="265"/>
      <c r="I20" s="266"/>
      <c r="J20" s="267"/>
      <c r="K20" s="265"/>
      <c r="L20" s="266"/>
      <c r="M20" s="267"/>
      <c r="N20" s="265"/>
      <c r="O20" s="266"/>
      <c r="P20" s="267"/>
      <c r="Q20" s="265"/>
      <c r="R20" s="266"/>
      <c r="S20" s="267"/>
      <c r="T20" s="268"/>
      <c r="V20" s="268"/>
      <c r="W20" s="268"/>
    </row>
    <row r="21" spans="1:23" ht="24.95" customHeight="1" x14ac:dyDescent="0.2">
      <c r="A21" s="973" t="s">
        <v>97</v>
      </c>
      <c r="B21" s="974"/>
      <c r="C21" s="974"/>
      <c r="D21" s="974"/>
      <c r="E21" s="974"/>
      <c r="F21" s="974"/>
      <c r="G21" s="974"/>
      <c r="H21" s="974"/>
      <c r="I21" s="974"/>
      <c r="J21" s="974"/>
      <c r="K21" s="974"/>
      <c r="L21" s="974"/>
      <c r="M21" s="974"/>
      <c r="N21" s="965" t="s">
        <v>413</v>
      </c>
      <c r="O21" s="965"/>
      <c r="P21" s="965"/>
      <c r="Q21" s="965"/>
      <c r="R21" s="965"/>
      <c r="S21" s="966"/>
      <c r="T21" s="263"/>
      <c r="U21" s="263"/>
      <c r="V21" s="263"/>
      <c r="W21" s="263"/>
    </row>
    <row r="22" spans="1:23" ht="24.95" customHeight="1" x14ac:dyDescent="0.2">
      <c r="A22" s="945" t="s">
        <v>96</v>
      </c>
      <c r="B22" s="933"/>
      <c r="C22" s="933"/>
      <c r="D22" s="933"/>
      <c r="E22" s="933"/>
      <c r="F22" s="933"/>
      <c r="G22" s="933"/>
      <c r="H22" s="933"/>
      <c r="I22" s="933"/>
      <c r="J22" s="933"/>
      <c r="K22" s="933"/>
      <c r="L22" s="933"/>
      <c r="M22" s="933"/>
      <c r="N22" s="933"/>
      <c r="O22" s="933"/>
      <c r="P22" s="933"/>
      <c r="Q22" s="933"/>
      <c r="R22" s="933"/>
      <c r="S22" s="934"/>
      <c r="T22" s="263"/>
      <c r="U22" s="263"/>
      <c r="V22" s="263"/>
      <c r="W22" s="263"/>
    </row>
    <row r="23" spans="1:23" ht="24.95" customHeight="1" x14ac:dyDescent="0.2">
      <c r="A23" s="269"/>
      <c r="B23" s="916" t="s">
        <v>273</v>
      </c>
      <c r="C23" s="943"/>
      <c r="D23" s="944"/>
      <c r="E23" s="916" t="s">
        <v>274</v>
      </c>
      <c r="F23" s="888"/>
      <c r="G23" s="908"/>
      <c r="H23" s="916" t="s">
        <v>275</v>
      </c>
      <c r="I23" s="971"/>
      <c r="J23" s="972"/>
      <c r="K23" s="916" t="s">
        <v>276</v>
      </c>
      <c r="L23" s="888"/>
      <c r="M23" s="908"/>
      <c r="N23" s="916" t="s">
        <v>277</v>
      </c>
      <c r="O23" s="888"/>
      <c r="P23" s="908"/>
      <c r="Q23" s="703" t="s">
        <v>278</v>
      </c>
      <c r="R23" s="888"/>
      <c r="S23" s="908"/>
      <c r="T23" s="263"/>
      <c r="U23" s="263"/>
      <c r="V23" s="263"/>
      <c r="W23" s="263"/>
    </row>
    <row r="24" spans="1:23" ht="24.95" customHeight="1" thickBot="1" x14ac:dyDescent="0.25">
      <c r="A24" s="270" t="s">
        <v>674</v>
      </c>
      <c r="B24" s="271">
        <v>7196</v>
      </c>
      <c r="C24" s="914"/>
      <c r="D24" s="915"/>
      <c r="E24" s="271">
        <v>7200</v>
      </c>
      <c r="F24" s="914"/>
      <c r="G24" s="915"/>
      <c r="H24" s="271">
        <v>7313</v>
      </c>
      <c r="I24" s="914"/>
      <c r="J24" s="915"/>
      <c r="K24" s="271">
        <v>7190</v>
      </c>
      <c r="L24" s="914"/>
      <c r="M24" s="915"/>
      <c r="N24" s="271">
        <v>7320</v>
      </c>
      <c r="O24" s="914"/>
      <c r="P24" s="915"/>
      <c r="Q24" s="272">
        <v>7219</v>
      </c>
      <c r="R24" s="914"/>
      <c r="S24" s="915"/>
      <c r="T24" s="203"/>
      <c r="U24" s="263"/>
      <c r="V24" s="263"/>
      <c r="W24" s="263"/>
    </row>
    <row r="25" spans="1:23" s="154" customFormat="1" ht="24.95" customHeight="1" thickBot="1" x14ac:dyDescent="0.25">
      <c r="A25" s="273"/>
      <c r="B25" s="909" t="str">
        <f>IF(AND(C19&gt;0, ISBLANK(C24)),"Please enter the number of "&amp;B23&amp;" Scanners","")</f>
        <v/>
      </c>
      <c r="C25" s="976"/>
      <c r="D25" s="976"/>
      <c r="E25" s="909" t="str">
        <f>IF(AND(F19&gt;0, ISBLANK(F24)),"Please enter the number of "&amp;E23&amp;" Scanners","")</f>
        <v/>
      </c>
      <c r="F25" s="910"/>
      <c r="G25" s="910"/>
      <c r="H25" s="909" t="str">
        <f>IF(AND(I19&gt;0, ISBLANK(I24)),"Please enter the number of "&amp;H23&amp;" Scanners","")</f>
        <v/>
      </c>
      <c r="I25" s="910"/>
      <c r="J25" s="910"/>
      <c r="K25" s="909" t="str">
        <f>IF(AND(L19&gt;0, ISBLANK(L24)),"Please enter the number of "&amp;K23&amp;" Scanners","")</f>
        <v/>
      </c>
      <c r="L25" s="910"/>
      <c r="M25" s="910"/>
      <c r="N25" s="909" t="str">
        <f>IF(AND(O19&gt;0, ISBLANK(O24)),"Please enter the number of "&amp;N23&amp;" Scanners","")</f>
        <v/>
      </c>
      <c r="O25" s="910"/>
      <c r="P25" s="910"/>
      <c r="Q25" s="909" t="str">
        <f>IF(AND(R19&gt;0, ISBLANK(R24)),"Please enter the number of "&amp;Q23&amp;" Scanners","")</f>
        <v/>
      </c>
      <c r="R25" s="910"/>
      <c r="S25" s="911"/>
      <c r="T25" s="268"/>
      <c r="V25" s="268"/>
      <c r="W25" s="268"/>
    </row>
    <row r="26" spans="1:23" s="154" customFormat="1" ht="24.95" customHeight="1" x14ac:dyDescent="0.2">
      <c r="A26" s="967" t="s">
        <v>675</v>
      </c>
      <c r="B26" s="968"/>
      <c r="C26" s="968"/>
      <c r="D26" s="968"/>
      <c r="E26" s="968"/>
      <c r="F26" s="968"/>
      <c r="G26" s="968"/>
      <c r="H26" s="968"/>
      <c r="I26" s="968"/>
      <c r="J26" s="968"/>
      <c r="K26" s="968"/>
      <c r="L26" s="968"/>
      <c r="M26" s="968"/>
      <c r="N26" s="969" t="s">
        <v>413</v>
      </c>
      <c r="O26" s="969"/>
      <c r="P26" s="969"/>
      <c r="Q26" s="969"/>
      <c r="R26" s="969"/>
      <c r="S26" s="970"/>
    </row>
    <row r="27" spans="1:23" s="154" customFormat="1" ht="24.95" customHeight="1" x14ac:dyDescent="0.2">
      <c r="A27" s="932" t="s">
        <v>676</v>
      </c>
      <c r="B27" s="933"/>
      <c r="C27" s="933"/>
      <c r="D27" s="933"/>
      <c r="E27" s="933"/>
      <c r="F27" s="933"/>
      <c r="G27" s="933"/>
      <c r="H27" s="933"/>
      <c r="I27" s="933"/>
      <c r="J27" s="933"/>
      <c r="K27" s="933"/>
      <c r="L27" s="933"/>
      <c r="M27" s="933"/>
      <c r="N27" s="933"/>
      <c r="O27" s="933"/>
      <c r="P27" s="933"/>
      <c r="Q27" s="933"/>
      <c r="R27" s="933"/>
      <c r="S27" s="934"/>
      <c r="T27" s="268"/>
      <c r="U27" s="268"/>
      <c r="V27" s="268"/>
      <c r="W27" s="268"/>
    </row>
    <row r="28" spans="1:23" s="154" customFormat="1" ht="24.95" customHeight="1" x14ac:dyDescent="0.2">
      <c r="A28" s="274"/>
      <c r="B28" s="846" t="s">
        <v>273</v>
      </c>
      <c r="C28" s="961"/>
      <c r="D28" s="962"/>
      <c r="E28" s="880" t="s">
        <v>274</v>
      </c>
      <c r="F28" s="912"/>
      <c r="G28" s="913"/>
      <c r="H28" s="880" t="s">
        <v>275</v>
      </c>
      <c r="I28" s="917"/>
      <c r="J28" s="918"/>
      <c r="K28" s="880" t="s">
        <v>276</v>
      </c>
      <c r="L28" s="912"/>
      <c r="M28" s="913"/>
      <c r="N28" s="880" t="s">
        <v>277</v>
      </c>
      <c r="O28" s="912"/>
      <c r="P28" s="913"/>
      <c r="Q28" s="703" t="s">
        <v>278</v>
      </c>
      <c r="R28" s="888"/>
      <c r="S28" s="908"/>
    </row>
    <row r="29" spans="1:23" ht="24.95" customHeight="1" x14ac:dyDescent="0.2">
      <c r="A29" s="977" t="s">
        <v>677</v>
      </c>
      <c r="B29" s="979" t="s">
        <v>269</v>
      </c>
      <c r="C29" s="985"/>
      <c r="D29" s="275" t="s">
        <v>270</v>
      </c>
      <c r="E29" s="904" t="s">
        <v>269</v>
      </c>
      <c r="F29" s="905"/>
      <c r="G29" s="275" t="s">
        <v>270</v>
      </c>
      <c r="H29" s="904" t="s">
        <v>269</v>
      </c>
      <c r="I29" s="905"/>
      <c r="J29" s="276" t="s">
        <v>270</v>
      </c>
      <c r="K29" s="904" t="s">
        <v>269</v>
      </c>
      <c r="L29" s="905"/>
      <c r="M29" s="276" t="s">
        <v>270</v>
      </c>
      <c r="N29" s="904" t="s">
        <v>269</v>
      </c>
      <c r="O29" s="905"/>
      <c r="P29" s="276" t="s">
        <v>270</v>
      </c>
      <c r="Q29" s="904" t="s">
        <v>269</v>
      </c>
      <c r="R29" s="905"/>
      <c r="S29" s="276" t="s">
        <v>270</v>
      </c>
    </row>
    <row r="30" spans="1:23" ht="24.95" customHeight="1" x14ac:dyDescent="0.2">
      <c r="A30" s="984"/>
      <c r="B30" s="986"/>
      <c r="C30" s="903"/>
      <c r="D30" s="277"/>
      <c r="E30" s="902"/>
      <c r="F30" s="903"/>
      <c r="G30" s="277"/>
      <c r="H30" s="902"/>
      <c r="I30" s="903"/>
      <c r="J30" s="277"/>
      <c r="K30" s="902"/>
      <c r="L30" s="903"/>
      <c r="M30" s="277"/>
      <c r="N30" s="902"/>
      <c r="O30" s="903"/>
      <c r="P30" s="277"/>
      <c r="Q30" s="902"/>
      <c r="R30" s="903"/>
      <c r="S30" s="277"/>
    </row>
    <row r="31" spans="1:23" s="154" customFormat="1" ht="24.95" customHeight="1" x14ac:dyDescent="0.2">
      <c r="A31" s="278"/>
      <c r="B31" s="919" t="str">
        <f>(IF(ISBLANK(D30),"","Enter Lease Details"))</f>
        <v/>
      </c>
      <c r="C31" s="983"/>
      <c r="D31" s="983"/>
      <c r="E31" s="919" t="str">
        <f>(IF(ISBLANK(G30),"","Enter Lease Details"))</f>
        <v/>
      </c>
      <c r="F31" s="920"/>
      <c r="G31" s="920"/>
      <c r="H31" s="919" t="str">
        <f>(IF(ISBLANK(J30),"","Enter Lease Details"))</f>
        <v/>
      </c>
      <c r="I31" s="920"/>
      <c r="J31" s="920"/>
      <c r="K31" s="919" t="str">
        <f>(IF(ISBLANK(M30),"","Enter Lease Details"))</f>
        <v/>
      </c>
      <c r="L31" s="920"/>
      <c r="M31" s="920"/>
      <c r="N31" s="919" t="str">
        <f>(IF(ISBLANK(P30),"","Enter Lease Details"))</f>
        <v/>
      </c>
      <c r="O31" s="920"/>
      <c r="P31" s="920"/>
      <c r="Q31" s="919" t="str">
        <f>(IF(ISBLANK(S30),"","Enter Lease Details"))</f>
        <v/>
      </c>
      <c r="R31" s="920"/>
      <c r="S31" s="923"/>
    </row>
    <row r="32" spans="1:23" ht="24.95" customHeight="1" x14ac:dyDescent="0.2">
      <c r="A32" s="977" t="s">
        <v>678</v>
      </c>
      <c r="B32" s="979" t="s">
        <v>269</v>
      </c>
      <c r="C32" s="980"/>
      <c r="D32" s="279" t="s">
        <v>270</v>
      </c>
      <c r="E32" s="904" t="s">
        <v>269</v>
      </c>
      <c r="F32" s="905"/>
      <c r="G32" s="275" t="s">
        <v>270</v>
      </c>
      <c r="H32" s="904" t="s">
        <v>269</v>
      </c>
      <c r="I32" s="905"/>
      <c r="J32" s="275" t="s">
        <v>270</v>
      </c>
      <c r="K32" s="904" t="s">
        <v>269</v>
      </c>
      <c r="L32" s="905"/>
      <c r="M32" s="275" t="s">
        <v>270</v>
      </c>
      <c r="N32" s="904" t="s">
        <v>269</v>
      </c>
      <c r="O32" s="905"/>
      <c r="P32" s="280" t="s">
        <v>270</v>
      </c>
      <c r="Q32" s="921" t="s">
        <v>269</v>
      </c>
      <c r="R32" s="905"/>
      <c r="S32" s="275" t="s">
        <v>270</v>
      </c>
    </row>
    <row r="33" spans="1:19" ht="24.95" customHeight="1" thickBot="1" x14ac:dyDescent="0.25">
      <c r="A33" s="978"/>
      <c r="B33" s="981"/>
      <c r="C33" s="982"/>
      <c r="D33" s="281"/>
      <c r="E33" s="906"/>
      <c r="F33" s="907"/>
      <c r="G33" s="282"/>
      <c r="H33" s="906"/>
      <c r="I33" s="907"/>
      <c r="J33" s="282"/>
      <c r="K33" s="906"/>
      <c r="L33" s="907"/>
      <c r="M33" s="282"/>
      <c r="N33" s="906"/>
      <c r="O33" s="907"/>
      <c r="P33" s="283"/>
      <c r="Q33" s="922"/>
      <c r="R33" s="907"/>
      <c r="S33" s="282"/>
    </row>
    <row r="34" spans="1:19" s="154" customFormat="1" ht="24.95" customHeight="1" x14ac:dyDescent="0.2">
      <c r="A34" s="284"/>
      <c r="B34" s="930" t="str">
        <f>(IF(ISBLANK(B33),"","Enter Lease Details"))</f>
        <v/>
      </c>
      <c r="C34" s="975"/>
      <c r="D34" s="975"/>
      <c r="E34" s="930" t="str">
        <f>(IF(ISBLANK(E33),"","Enter Lease Details"))</f>
        <v/>
      </c>
      <c r="F34" s="931"/>
      <c r="G34" s="931"/>
      <c r="H34" s="930" t="str">
        <f>(IF(ISBLANK(H33),"","Enter Lease Details"))</f>
        <v/>
      </c>
      <c r="I34" s="931"/>
      <c r="J34" s="931"/>
      <c r="K34" s="930" t="str">
        <f>(IF(ISBLANK(K33),"","Enter Lease Details"))</f>
        <v/>
      </c>
      <c r="L34" s="931"/>
      <c r="M34" s="931"/>
      <c r="N34" s="930" t="str">
        <f>(IF(ISBLANK(N33),"","Enter Lease Details"))</f>
        <v/>
      </c>
      <c r="O34" s="931"/>
      <c r="P34" s="931"/>
      <c r="Q34" s="930" t="str">
        <f>(IF(ISBLANK(Q33),"","Enter Lease Details"))</f>
        <v/>
      </c>
      <c r="R34" s="931"/>
      <c r="S34" s="931"/>
    </row>
    <row r="35" spans="1:19" s="154" customFormat="1" ht="24.95" customHeight="1" x14ac:dyDescent="0.2">
      <c r="A35" s="284"/>
      <c r="B35" s="162"/>
      <c r="C35" s="162"/>
      <c r="D35" s="162"/>
      <c r="E35" s="162"/>
      <c r="F35" s="162"/>
      <c r="G35" s="162"/>
      <c r="H35" s="162"/>
      <c r="I35" s="162"/>
      <c r="J35" s="162"/>
      <c r="K35" s="162"/>
      <c r="L35" s="162"/>
      <c r="M35" s="162"/>
      <c r="N35" s="162"/>
      <c r="O35" s="162"/>
      <c r="P35" s="162"/>
      <c r="Q35" s="162"/>
      <c r="R35" s="162"/>
      <c r="S35" s="162"/>
    </row>
    <row r="36" spans="1:19" s="154" customFormat="1" ht="24.95" customHeight="1" x14ac:dyDescent="0.2">
      <c r="A36" s="284"/>
      <c r="B36" s="162"/>
      <c r="C36" s="162"/>
      <c r="D36" s="162"/>
      <c r="E36" s="162"/>
      <c r="F36" s="162"/>
      <c r="G36" s="162"/>
      <c r="H36" s="162"/>
      <c r="I36" s="162"/>
      <c r="J36" s="162"/>
      <c r="K36" s="162"/>
      <c r="L36" s="162"/>
      <c r="M36" s="162"/>
      <c r="N36" s="162"/>
      <c r="O36" s="162"/>
      <c r="P36" s="162"/>
      <c r="Q36" s="162"/>
      <c r="R36" s="162"/>
      <c r="S36" s="162"/>
    </row>
    <row r="37" spans="1:19" s="154" customFormat="1" ht="24.95" customHeight="1" x14ac:dyDescent="0.2">
      <c r="A37" s="284"/>
      <c r="B37" s="162"/>
      <c r="C37" s="162"/>
      <c r="D37" s="162"/>
      <c r="E37" s="162"/>
      <c r="F37" s="162"/>
      <c r="G37" s="162"/>
      <c r="H37" s="162"/>
      <c r="I37" s="162"/>
      <c r="J37" s="162"/>
      <c r="K37" s="162"/>
      <c r="L37" s="162"/>
      <c r="M37" s="162"/>
      <c r="N37" s="162"/>
      <c r="O37" s="162"/>
      <c r="P37" s="162"/>
      <c r="Q37" s="162"/>
      <c r="R37" s="162"/>
      <c r="S37" s="162"/>
    </row>
    <row r="38" spans="1:19" s="154" customFormat="1" ht="24.95" customHeight="1" x14ac:dyDescent="0.2">
      <c r="A38" s="284"/>
      <c r="B38" s="162"/>
      <c r="C38" s="162"/>
      <c r="D38" s="162"/>
      <c r="E38" s="162"/>
      <c r="F38" s="162"/>
      <c r="G38" s="162"/>
      <c r="H38" s="162"/>
      <c r="I38" s="162"/>
      <c r="J38" s="162"/>
      <c r="K38" s="162"/>
      <c r="L38" s="162"/>
      <c r="M38" s="162"/>
      <c r="N38" s="162"/>
      <c r="O38" s="162"/>
      <c r="P38" s="162"/>
      <c r="Q38" s="162"/>
      <c r="R38" s="162"/>
      <c r="S38" s="162"/>
    </row>
    <row r="39" spans="1:19" s="154" customFormat="1" ht="24.95" customHeight="1" x14ac:dyDescent="0.2"/>
    <row r="40" spans="1:19" s="154" customFormat="1" ht="24.95" customHeight="1" x14ac:dyDescent="0.2"/>
    <row r="41" spans="1:19" s="154" customFormat="1" ht="24.95" customHeight="1" x14ac:dyDescent="0.2"/>
    <row r="42" spans="1:19" s="154" customFormat="1" ht="24.95" customHeight="1" x14ac:dyDescent="0.2"/>
    <row r="43" spans="1:19" s="154" customFormat="1" ht="24.95" customHeight="1" x14ac:dyDescent="0.2"/>
    <row r="44" spans="1:19" s="154" customFormat="1" ht="24.95" customHeight="1" x14ac:dyDescent="0.2"/>
    <row r="45" spans="1:19" s="154" customFormat="1" ht="24.95" customHeight="1" x14ac:dyDescent="0.2"/>
    <row r="46" spans="1:19" s="154" customFormat="1" ht="24.95" customHeight="1" x14ac:dyDescent="0.2"/>
  </sheetData>
  <sheetProtection sheet="1"/>
  <mergeCells count="157">
    <mergeCell ref="B34:D34"/>
    <mergeCell ref="B28:D28"/>
    <mergeCell ref="H25:J25"/>
    <mergeCell ref="K25:M25"/>
    <mergeCell ref="B25:D25"/>
    <mergeCell ref="E31:G31"/>
    <mergeCell ref="A32:A33"/>
    <mergeCell ref="B32:C32"/>
    <mergeCell ref="B33:C33"/>
    <mergeCell ref="B31:D31"/>
    <mergeCell ref="E25:G25"/>
    <mergeCell ref="A29:A30"/>
    <mergeCell ref="B29:C29"/>
    <mergeCell ref="B30:C30"/>
    <mergeCell ref="K29:L29"/>
    <mergeCell ref="K30:L30"/>
    <mergeCell ref="E28:G28"/>
    <mergeCell ref="H29:I29"/>
    <mergeCell ref="H30:I30"/>
    <mergeCell ref="K28:M28"/>
    <mergeCell ref="H32:I32"/>
    <mergeCell ref="H33:I33"/>
    <mergeCell ref="H31:J31"/>
    <mergeCell ref="E33:F33"/>
    <mergeCell ref="N21:S21"/>
    <mergeCell ref="A26:M26"/>
    <mergeCell ref="N26:S26"/>
    <mergeCell ref="R11:S11"/>
    <mergeCell ref="O9:P9"/>
    <mergeCell ref="O10:P10"/>
    <mergeCell ref="O11:P11"/>
    <mergeCell ref="R10:S10"/>
    <mergeCell ref="I10:J10"/>
    <mergeCell ref="L10:M10"/>
    <mergeCell ref="I9:J9"/>
    <mergeCell ref="L9:M9"/>
    <mergeCell ref="R9:S9"/>
    <mergeCell ref="H23:J23"/>
    <mergeCell ref="A21:M21"/>
    <mergeCell ref="C14:D14"/>
    <mergeCell ref="F14:G14"/>
    <mergeCell ref="C9:D9"/>
    <mergeCell ref="F9:G9"/>
    <mergeCell ref="C10:D10"/>
    <mergeCell ref="I11:J11"/>
    <mergeCell ref="L11:M11"/>
    <mergeCell ref="F11:G11"/>
    <mergeCell ref="C13:D13"/>
    <mergeCell ref="A1:S1"/>
    <mergeCell ref="A3:S3"/>
    <mergeCell ref="A2:H2"/>
    <mergeCell ref="K4:M4"/>
    <mergeCell ref="N4:P4"/>
    <mergeCell ref="C11:D11"/>
    <mergeCell ref="H4:J4"/>
    <mergeCell ref="E4:G4"/>
    <mergeCell ref="B4:D4"/>
    <mergeCell ref="R6:S6"/>
    <mergeCell ref="I7:J7"/>
    <mergeCell ref="L7:M7"/>
    <mergeCell ref="I6:J6"/>
    <mergeCell ref="L6:M6"/>
    <mergeCell ref="O7:P7"/>
    <mergeCell ref="F10:G10"/>
    <mergeCell ref="R7:S7"/>
    <mergeCell ref="O8:P8"/>
    <mergeCell ref="N2:S2"/>
    <mergeCell ref="Q4:S4"/>
    <mergeCell ref="L5:M5"/>
    <mergeCell ref="C8:D8"/>
    <mergeCell ref="I8:J8"/>
    <mergeCell ref="L8:M8"/>
    <mergeCell ref="O5:P5"/>
    <mergeCell ref="R5:S5"/>
    <mergeCell ref="R8:S8"/>
    <mergeCell ref="C5:D5"/>
    <mergeCell ref="F5:G5"/>
    <mergeCell ref="O6:P6"/>
    <mergeCell ref="F7:G7"/>
    <mergeCell ref="C6:D6"/>
    <mergeCell ref="F6:G6"/>
    <mergeCell ref="I5:J5"/>
    <mergeCell ref="C7:D7"/>
    <mergeCell ref="F8:G8"/>
    <mergeCell ref="O12:P12"/>
    <mergeCell ref="F13:G13"/>
    <mergeCell ref="C15:D15"/>
    <mergeCell ref="F15:G15"/>
    <mergeCell ref="I15:J15"/>
    <mergeCell ref="L15:M15"/>
    <mergeCell ref="R12:S12"/>
    <mergeCell ref="O14:P14"/>
    <mergeCell ref="R14:S14"/>
    <mergeCell ref="R13:S13"/>
    <mergeCell ref="O13:P13"/>
    <mergeCell ref="L13:M13"/>
    <mergeCell ref="C12:D12"/>
    <mergeCell ref="F12:G12"/>
    <mergeCell ref="I12:J12"/>
    <mergeCell ref="L12:M12"/>
    <mergeCell ref="O19:P19"/>
    <mergeCell ref="R19:S19"/>
    <mergeCell ref="I13:J13"/>
    <mergeCell ref="O15:P15"/>
    <mergeCell ref="R15:S15"/>
    <mergeCell ref="P16:P18"/>
    <mergeCell ref="S16:S18"/>
    <mergeCell ref="I14:J14"/>
    <mergeCell ref="L14:M14"/>
    <mergeCell ref="T15:W18"/>
    <mergeCell ref="E34:G34"/>
    <mergeCell ref="H34:J34"/>
    <mergeCell ref="K34:M34"/>
    <mergeCell ref="N34:P34"/>
    <mergeCell ref="Q34:S34"/>
    <mergeCell ref="R24:S24"/>
    <mergeCell ref="A27:S27"/>
    <mergeCell ref="E29:F29"/>
    <mergeCell ref="E30:F30"/>
    <mergeCell ref="D16:D18"/>
    <mergeCell ref="G16:G18"/>
    <mergeCell ref="J16:J18"/>
    <mergeCell ref="M16:M18"/>
    <mergeCell ref="I19:J19"/>
    <mergeCell ref="L19:M19"/>
    <mergeCell ref="E32:F32"/>
    <mergeCell ref="C19:D19"/>
    <mergeCell ref="F19:G19"/>
    <mergeCell ref="C24:D24"/>
    <mergeCell ref="F24:G24"/>
    <mergeCell ref="B23:D23"/>
    <mergeCell ref="E23:G23"/>
    <mergeCell ref="A22:S22"/>
    <mergeCell ref="N30:O30"/>
    <mergeCell ref="N32:O32"/>
    <mergeCell ref="N33:O33"/>
    <mergeCell ref="Q23:S23"/>
    <mergeCell ref="Q25:S25"/>
    <mergeCell ref="Q28:S28"/>
    <mergeCell ref="N28:P28"/>
    <mergeCell ref="I24:J24"/>
    <mergeCell ref="L24:M24"/>
    <mergeCell ref="O24:P24"/>
    <mergeCell ref="K23:M23"/>
    <mergeCell ref="N23:P23"/>
    <mergeCell ref="H28:J28"/>
    <mergeCell ref="N31:P31"/>
    <mergeCell ref="N29:O29"/>
    <mergeCell ref="K32:L32"/>
    <mergeCell ref="K33:L33"/>
    <mergeCell ref="K31:M31"/>
    <mergeCell ref="Q29:R29"/>
    <mergeCell ref="Q30:R30"/>
    <mergeCell ref="Q32:R32"/>
    <mergeCell ref="Q33:R33"/>
    <mergeCell ref="Q31:S31"/>
    <mergeCell ref="N25:P25"/>
  </mergeCells>
  <phoneticPr fontId="6" type="noConversion"/>
  <conditionalFormatting sqref="B33:D33">
    <cfRule type="expression" dxfId="76" priority="1" stopIfTrue="1">
      <formula>IF(ISBLANK($D$30),FALSE,TRUE)</formula>
    </cfRule>
  </conditionalFormatting>
  <conditionalFormatting sqref="E33:G33">
    <cfRule type="expression" dxfId="75" priority="2" stopIfTrue="1">
      <formula>IF(ISBLANK($G$30),FALSE,TRUE)</formula>
    </cfRule>
  </conditionalFormatting>
  <conditionalFormatting sqref="H33:J33">
    <cfRule type="expression" dxfId="74" priority="3" stopIfTrue="1">
      <formula>IF(ISBLANK($J$30),FALSE,TRUE)</formula>
    </cfRule>
  </conditionalFormatting>
  <conditionalFormatting sqref="K33:M33">
    <cfRule type="expression" dxfId="73" priority="4" stopIfTrue="1">
      <formula>IF(ISBLANK($M$30),FALSE,TRUE)</formula>
    </cfRule>
  </conditionalFormatting>
  <conditionalFormatting sqref="N33:P33">
    <cfRule type="expression" dxfId="72" priority="5" stopIfTrue="1">
      <formula>IF(ISBLANK($P$30),FALSE,TRUE)</formula>
    </cfRule>
  </conditionalFormatting>
  <conditionalFormatting sqref="Q33:S33">
    <cfRule type="expression" dxfId="71" priority="6" stopIfTrue="1">
      <formula>IF(ISBLANK($S$30),FALSE,TRUE)</formula>
    </cfRule>
  </conditionalFormatting>
  <hyperlinks>
    <hyperlink ref="A2:C2" location="def_fixed" display="Section 1: Utilization - Fixed Equipment"/>
    <hyperlink ref="B34" location="lease_detail" display="lease_detail"/>
    <hyperlink ref="E34" location="lease_detail" display="lease_detail"/>
    <hyperlink ref="H34" location="lease_detail" display="lease_detail"/>
    <hyperlink ref="K34" location="lease_detail" display="lease_detail"/>
    <hyperlink ref="N34" location="lease_detail" display="lease_detail"/>
    <hyperlink ref="Q34" location="lease_detail" display="lease_detail"/>
    <hyperlink ref="E31" location="lease_detail" display="lease_detail"/>
    <hyperlink ref="B31" location="lease_detail" display="lease_detail"/>
    <hyperlink ref="H31" location="lease_detail" display="lease_detail"/>
    <hyperlink ref="K31" location="lease_detail" display="lease_detail"/>
    <hyperlink ref="N31" location="lease_detail" display="lease_detail"/>
    <hyperlink ref="Q31" location="lease_detail" display="lease_detail"/>
    <hyperlink ref="N21:S21" location="text_02" display="Document Explanations if needed"/>
    <hyperlink ref="N2:S2" location="text_01" display="Document Explanations if needed"/>
    <hyperlink ref="N26:S26" location="text_03" display="Document Explanations if needed"/>
  </hyperlinks>
  <printOptions horizontalCentered="1"/>
  <pageMargins left="0.75" right="0.75" top="1" bottom="1" header="0.5" footer="0.5"/>
  <pageSetup scale="60" orientation="landscape" r:id="rId1"/>
  <headerFooter alignWithMargins="0">
    <oddFooter>&amp;L&amp;"Calibri,Regular"Fiscal Year 2019
Diagnostic Imaging Facility Utilization Report&amp;C&amp;"Calibri,Regular"&amp;P of &amp;N&amp;R&amp;"Calibri,Regular"Minnesota Department of Health
phone 651-201-3572/fax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89</vt:i4>
      </vt:variant>
    </vt:vector>
  </HeadingPairs>
  <TitlesOfParts>
    <vt:vector size="108" baseType="lpstr">
      <vt:lpstr>demog check</vt:lpstr>
      <vt:lpstr>accred check</vt:lpstr>
      <vt:lpstr>load script</vt:lpstr>
      <vt:lpstr>Tip_Sheet</vt:lpstr>
      <vt:lpstr>Demog Contact</vt:lpstr>
      <vt:lpstr>Demog Contact (2)</vt:lpstr>
      <vt:lpstr>AccredExpl</vt:lpstr>
      <vt:lpstr>Accred (2)</vt:lpstr>
      <vt:lpstr>Fixed Equip</vt:lpstr>
      <vt:lpstr>Portable Equip</vt:lpstr>
      <vt:lpstr>Mobile Equip</vt:lpstr>
      <vt:lpstr>Leased Equip</vt:lpstr>
      <vt:lpstr>Mobile Locations</vt:lpstr>
      <vt:lpstr>Economic Interest</vt:lpstr>
      <vt:lpstr>Capital Expenditures</vt:lpstr>
      <vt:lpstr>Capital Expend Project Specific</vt:lpstr>
      <vt:lpstr>Definitions</vt:lpstr>
      <vt:lpstr>HCCIS_ID</vt:lpstr>
      <vt:lpstr>CapExpData</vt:lpstr>
      <vt:lpstr>accreditation</vt:lpstr>
      <vt:lpstr>cap_exp_contact</vt:lpstr>
      <vt:lpstr>cap_exp_errors</vt:lpstr>
      <vt:lpstr>code_7594</vt:lpstr>
      <vt:lpstr>code_7595</vt:lpstr>
      <vt:lpstr>code_7596</vt:lpstr>
      <vt:lpstr>def_cap_exp</vt:lpstr>
      <vt:lpstr>def_date_spend_commit</vt:lpstr>
      <vt:lpstr>def_econ_interest</vt:lpstr>
      <vt:lpstr>def_exceptions</vt:lpstr>
      <vt:lpstr>def_fixed</vt:lpstr>
      <vt:lpstr>def_mobile</vt:lpstr>
      <vt:lpstr>def_portable</vt:lpstr>
      <vt:lpstr>def_prov_di</vt:lpstr>
      <vt:lpstr>definitions</vt:lpstr>
      <vt:lpstr>defs_NPI</vt:lpstr>
      <vt:lpstr>demograpic</vt:lpstr>
      <vt:lpstr>economic_interest</vt:lpstr>
      <vt:lpstr>find_lease_entity</vt:lpstr>
      <vt:lpstr>fixed</vt:lpstr>
      <vt:lpstr>HCCIS_ID_list</vt:lpstr>
      <vt:lpstr>ID_list</vt:lpstr>
      <vt:lpstr>lease_detail</vt:lpstr>
      <vt:lpstr>lease_id</vt:lpstr>
      <vt:lpstr>lease_id_list</vt:lpstr>
      <vt:lpstr>mobile</vt:lpstr>
      <vt:lpstr>mobile_locations</vt:lpstr>
      <vt:lpstr>NPI</vt:lpstr>
      <vt:lpstr>portable</vt:lpstr>
      <vt:lpstr>'accred check'!Print_Area</vt:lpstr>
      <vt:lpstr>AccredExpl!Print_Area</vt:lpstr>
      <vt:lpstr>'Capital Expend Project Specific'!Print_Area</vt:lpstr>
      <vt:lpstr>'Capital Expenditures'!Print_Area</vt:lpstr>
      <vt:lpstr>Definitions!Print_Area</vt:lpstr>
      <vt:lpstr>'demog check'!Print_Area</vt:lpstr>
      <vt:lpstr>'Demog Contact'!Print_Area</vt:lpstr>
      <vt:lpstr>'Economic Interest'!Print_Area</vt:lpstr>
      <vt:lpstr>'Fixed Equip'!Print_Area</vt:lpstr>
      <vt:lpstr>HCCIS_ID!Print_Area</vt:lpstr>
      <vt:lpstr>'Leased Equip'!Print_Area</vt:lpstr>
      <vt:lpstr>'Mobile Equip'!Print_Area</vt:lpstr>
      <vt:lpstr>'Mobile Locations'!Print_Area</vt:lpstr>
      <vt:lpstr>'Portable Equip'!Print_Area</vt:lpstr>
      <vt:lpstr>Tip_Sheet!Print_Area</vt:lpstr>
      <vt:lpstr>HCCIS_ID!Print_Titles</vt:lpstr>
      <vt:lpstr>Section_13</vt:lpstr>
      <vt:lpstr>Section_14</vt:lpstr>
      <vt:lpstr>'Capital Expend Project Specific'!Section_15</vt:lpstr>
      <vt:lpstr>Section_2</vt:lpstr>
      <vt:lpstr>Section_3</vt:lpstr>
      <vt:lpstr>Section_5</vt:lpstr>
      <vt:lpstr>Section_6</vt:lpstr>
      <vt:lpstr>Section_8</vt:lpstr>
      <vt:lpstr>Section_9</vt:lpstr>
      <vt:lpstr>start</vt:lpstr>
      <vt:lpstr>text_01</vt:lpstr>
      <vt:lpstr>text_02</vt:lpstr>
      <vt:lpstr>text_03</vt:lpstr>
      <vt:lpstr>text_04</vt:lpstr>
      <vt:lpstr>text_05</vt:lpstr>
      <vt:lpstr>text_06</vt:lpstr>
      <vt:lpstr>text_07</vt:lpstr>
      <vt:lpstr>text_08</vt:lpstr>
      <vt:lpstr>text_09</vt:lpstr>
      <vt:lpstr>text_10</vt:lpstr>
      <vt:lpstr>text_11</vt:lpstr>
      <vt:lpstr>text_12</vt:lpstr>
      <vt:lpstr>text_13</vt:lpstr>
      <vt:lpstr>text_14</vt:lpstr>
      <vt:lpstr>text_15</vt:lpstr>
      <vt:lpstr>text_accred</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Imaging Utilization Report</dc:title>
  <dc:creator>State of Minnesota</dc:creator>
  <cp:keywords>HCCIS, DI</cp:keywords>
  <cp:lastModifiedBy>Tracy.L Johnson</cp:lastModifiedBy>
  <cp:lastPrinted>2019-11-26T16:26:15Z</cp:lastPrinted>
  <dcterms:created xsi:type="dcterms:W3CDTF">2004-01-02T18:03:57Z</dcterms:created>
  <dcterms:modified xsi:type="dcterms:W3CDTF">2020-01-29T15:45:35Z</dcterms:modified>
</cp:coreProperties>
</file>