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0" rupBuild="19126"/>
  <workbookPr codeName="ThisWorkbook" defaultThemeVersion="124226"/>
  <mc:AlternateContent xmlns:mc="http://schemas.openxmlformats.org/markup-compatibility/2006">
    <mc:Choice Requires="x15">
      <x15ac:absPath xmlns:x15ac="http://schemas.microsoft.com/office/spreadsheetml/2010/11/ac" url="M:\Confidential\HCCIS\HIRM\Hospital Annual Report (HAR)\HAR 2021\Approved Materials\"/>
    </mc:Choice>
  </mc:AlternateContent>
  <xr:revisionPtr revIDLastSave="0" documentId="10_ncr:100000_{8C55D868-60FB-436A-B064-6EF4E8C69A4D}" xr6:coauthVersionLast="31" xr6:coauthVersionMax="31" xr10:uidLastSave="{00000000-0000-0000-0000-000000000000}"/>
  <bookViews>
    <workbookView xWindow="0" yWindow="0" windowWidth="24435" windowHeight="10515" tabRatio="793" activeTab="5" xr2:uid="{00000000-000D-0000-FFFF-FFFF00000000}"/>
  </bookViews>
  <sheets>
    <sheet name="Tip Sheet" sheetId="5" r:id="rId1"/>
    <sheet name="2021 HAR" sheetId="1" r:id="rId2"/>
    <sheet name="Service Line Data" sheetId="2" r:id="rId3"/>
    <sheet name="Capital Expend Project Specific" sheetId="13" r:id="rId4"/>
    <sheet name="Offsite Locations" sheetId="12" r:id="rId5"/>
    <sheet name="Audit Checks" sheetId="18" r:id="rId6"/>
    <sheet name="Verify_Data_MA_Surcharge" sheetId="11" r:id="rId7"/>
    <sheet name="Prior Cap Exp Report" sheetId="16" r:id="rId8"/>
    <sheet name="Reclassifications" sheetId="7" r:id="rId9"/>
    <sheet name="Definitions" sheetId="8" r:id="rId10"/>
    <sheet name="HCCIS_ID" sheetId="9" r:id="rId11"/>
    <sheet name="Audit_Tab_Data" sheetId="10" state="hidden" r:id="rId12"/>
    <sheet name="CapExpData" sheetId="15" state="hidden" r:id="rId13"/>
    <sheet name="CAP Data" sheetId="17" state="hidden" r:id="rId14"/>
  </sheets>
  <externalReferences>
    <externalReference r:id="rId15"/>
  </externalReferences>
  <definedNames>
    <definedName name="_xlnm._FilterDatabase" localSheetId="13" hidden="1">'CAP Data'!$A$2:$Q$269</definedName>
    <definedName name="_xlnm._FilterDatabase" localSheetId="10" hidden="1">HCCIS_ID!$A$2:$D$2</definedName>
    <definedName name="adj_contractual">#REF!</definedName>
    <definedName name="audit_check">#REF!</definedName>
    <definedName name="Cap_Expend_Name">'2021 HAR'!$E$60</definedName>
    <definedName name="Code_0200">'2021 HAR'!$L$85</definedName>
    <definedName name="Code_0201">'2021 HAR'!$L$70</definedName>
    <definedName name="Code_0202">'2021 HAR'!$L$73</definedName>
    <definedName name="Code_0203">'2021 HAR'!$L$74</definedName>
    <definedName name="Code_0204">'2021 HAR'!$L$71</definedName>
    <definedName name="Code_0207">'2021 HAR'!$L$72</definedName>
    <definedName name="Code_0208">'2021 HAR'!$L$76</definedName>
    <definedName name="Code_0210">'2021 HAR'!$L$77</definedName>
    <definedName name="Code_0215">'2021 HAR'!$L$78</definedName>
    <definedName name="Code_0216">'2021 HAR'!$L$79</definedName>
    <definedName name="Code_0219">'2021 HAR'!$L$81</definedName>
    <definedName name="Code_0220">'2021 HAR'!$L$80</definedName>
    <definedName name="Code_0240">'2021 HAR'!$L$82</definedName>
    <definedName name="Code_0250">'2021 HAR'!$L$83</definedName>
    <definedName name="Code_0260">'2021 HAR'!$L$84</definedName>
    <definedName name="Code_0300">'2021 HAR'!$L$90</definedName>
    <definedName name="Code_0320">'2021 HAR'!$L$87</definedName>
    <definedName name="Code_0330">'2021 HAR'!$L$88</definedName>
    <definedName name="Code_0333">'2021 HAR'!$L$89</definedName>
    <definedName name="Code_0340">'2021 HAR'!$L$91</definedName>
    <definedName name="Code_0600">'2021 HAR'!$L$255</definedName>
    <definedName name="Code_0601">'2021 HAR'!$L$244</definedName>
    <definedName name="Code_0602">'2021 HAR'!$L$245</definedName>
    <definedName name="Code_0604">'2021 HAR'!$L$246</definedName>
    <definedName name="Code_0608">'2021 HAR'!$L$247</definedName>
    <definedName name="Code_0615">'2021 HAR'!$L$248</definedName>
    <definedName name="Code_0616">'2021 HAR'!$L$249</definedName>
    <definedName name="Code_0618">'2021 HAR'!$L$250</definedName>
    <definedName name="Code_0619">'2021 HAR'!$L$254</definedName>
    <definedName name="Code_0622">'2021 HAR'!$L$252</definedName>
    <definedName name="Code_0623">'2021 HAR'!$L$253</definedName>
    <definedName name="Code_0625">'2021 HAR'!$L$251</definedName>
    <definedName name="Code_0630">'2021 HAR'!$L$274</definedName>
    <definedName name="Code_0632">'2021 HAR'!$L$266</definedName>
    <definedName name="Code_0634">'2021 HAR'!$L$267</definedName>
    <definedName name="Code_0635">'2021 HAR'!$L$268</definedName>
    <definedName name="Code_0636">'2021 HAR'!$L$269</definedName>
    <definedName name="Code_0637">'2021 HAR'!$L$278</definedName>
    <definedName name="Code_0639">'2021 HAR'!$L$270</definedName>
    <definedName name="Code_0641">'2021 HAR'!$L$273</definedName>
    <definedName name="Code_0647">'2021 HAR'!$L$271</definedName>
    <definedName name="Code_0648">'2021 HAR'!$L$272</definedName>
    <definedName name="Code_0650">'2021 HAR'!$L$282</definedName>
    <definedName name="Code_0655">'2021 HAR'!$L$283</definedName>
    <definedName name="Code_0700">'2021 HAR'!$L$113</definedName>
    <definedName name="Code_0711">'2021 HAR'!$L$139</definedName>
    <definedName name="Code_0715">'2021 HAR'!$L$141</definedName>
    <definedName name="Code_0717">'2021 HAR'!$L$140</definedName>
    <definedName name="Code_0730">'2021 HAR'!$L$144</definedName>
    <definedName name="Code_0738">'2021 HAR'!$L$98</definedName>
    <definedName name="Code_0739">'2021 HAR'!$L$99</definedName>
    <definedName name="Code_0740">'2021 HAR'!$L$153</definedName>
    <definedName name="Code_0741">'2021 HAR'!$J$207</definedName>
    <definedName name="Code_0742">'2021 HAR'!$J$210</definedName>
    <definedName name="Code_0743">'2021 HAR'!$J$238</definedName>
    <definedName name="Code_0744">'2021 HAR'!$J$237</definedName>
    <definedName name="Code_0750">'2021 HAR'!$L$101</definedName>
    <definedName name="Code_0751">'2021 HAR'!$L$233</definedName>
    <definedName name="Code_0752">'2021 HAR'!$L$240</definedName>
    <definedName name="Code_0754">'2021 HAR'!$L$241</definedName>
    <definedName name="Code_0760">'2021 HAR'!$L$234</definedName>
    <definedName name="Code_0762">'2021 HAR'!$L$222</definedName>
    <definedName name="Code_0770">'2021 HAR'!$L$109</definedName>
    <definedName name="Code_0772">'2021 HAR'!$L$107</definedName>
    <definedName name="Code_0773">'2021 HAR'!$L$108</definedName>
    <definedName name="Code_0775">'2021 HAR'!$L$103</definedName>
    <definedName name="Code_0776">'2021 HAR'!$J$104</definedName>
    <definedName name="Code_0777">'2021 HAR'!$J$105</definedName>
    <definedName name="Code_0778">'2021 HAR'!$L$106</definedName>
    <definedName name="Code_0780">'2021 HAR'!$L$111</definedName>
    <definedName name="Code_0790">'2021 HAR'!$L$112</definedName>
    <definedName name="Code_0800">'2021 HAR'!$L$131</definedName>
    <definedName name="Code_0801">'2021 HAR'!$L$115</definedName>
    <definedName name="Code_0806">'2021 HAR'!$L$116</definedName>
    <definedName name="Code_0811">'2021 HAR'!$L$118</definedName>
    <definedName name="Code_0813">'2021 HAR'!$L$119</definedName>
    <definedName name="Code_0815">'2021 HAR'!$L$120</definedName>
    <definedName name="Code_0819">'2021 HAR'!$L$117</definedName>
    <definedName name="Code_0820">'2021 HAR'!$L$121</definedName>
    <definedName name="Code_0821">'2021 HAR'!$L$123</definedName>
    <definedName name="Code_0823">'2021 HAR'!$L$124</definedName>
    <definedName name="Code_0825">'2021 HAR'!$L$125</definedName>
    <definedName name="Code_0830">'2021 HAR'!$L$126</definedName>
    <definedName name="Code_0831">'2021 HAR'!$L$128</definedName>
    <definedName name="Code_0834">'2021 HAR'!$L$129</definedName>
    <definedName name="Code_0837">'2021 HAR'!$L$130</definedName>
    <definedName name="Code_0840">'2021 HAR'!$L$132</definedName>
    <definedName name="Code_0841">'2021 HAR'!$J$185</definedName>
    <definedName name="Code_0842">'2021 HAR'!$J$188</definedName>
    <definedName name="Code_0843">'2021 HAR'!$J$201</definedName>
    <definedName name="Code_0847">'2021 HAR'!$L$199</definedName>
    <definedName name="Code_0850">'2021 HAR'!$L$200</definedName>
    <definedName name="Code_0851">'2021 HAR'!$L$156</definedName>
    <definedName name="Code_0852">'2021 HAR'!$L$198</definedName>
    <definedName name="Code_0853">'2021 HAR'!$L$159</definedName>
    <definedName name="Code_0854">'2021 HAR'!$J$202</definedName>
    <definedName name="Code_0860">'2021 HAR'!$L$163</definedName>
    <definedName name="Code_0871">'2021 HAR'!$L$166</definedName>
    <definedName name="Code_0872">'2021 HAR'!$L$167</definedName>
    <definedName name="Code_0873">'2021 HAR'!$L$168</definedName>
    <definedName name="Code_0876">'2021 HAR'!$L$169</definedName>
    <definedName name="Code_0880">'2021 HAR'!$L$170</definedName>
    <definedName name="Code_2021">'2021 HAR'!$F$378</definedName>
    <definedName name="Code_2022">'2021 HAR'!$F$379</definedName>
    <definedName name="Code_2023">'2021 HAR'!$F$382</definedName>
    <definedName name="Code_2024">'2021 HAR'!$F$384</definedName>
    <definedName name="Code_2026">'2021 HAR'!$F$381</definedName>
    <definedName name="Code_2027">'2021 HAR'!$F$383</definedName>
    <definedName name="Code_2028">'2021 HAR'!$F$385</definedName>
    <definedName name="Code_2030">'2021 HAR'!$F$393</definedName>
    <definedName name="Code_2031">'2021 HAR'!$I$378</definedName>
    <definedName name="Code_2032">'2021 HAR'!$I$379</definedName>
    <definedName name="Code_2033">'2021 HAR'!$I$382</definedName>
    <definedName name="Code_2034">'2021 HAR'!$I$384</definedName>
    <definedName name="Code_2036">'2021 HAR'!$I$381</definedName>
    <definedName name="Code_2037">'2021 HAR'!$I$383</definedName>
    <definedName name="Code_2038">'2021 HAR'!$I$385</definedName>
    <definedName name="Code_2040">'2021 HAR'!$I$393</definedName>
    <definedName name="Code_2050">'2021 HAR'!$I$433</definedName>
    <definedName name="Code_2060">'2021 HAR'!$F$413</definedName>
    <definedName name="Code_2070">'2021 HAR'!$I$413</definedName>
    <definedName name="Code_2071">'2021 HAR'!$L$378</definedName>
    <definedName name="Code_2072">'2021 HAR'!$L$379</definedName>
    <definedName name="Code_2073">'2021 HAR'!$L$382</definedName>
    <definedName name="Code_2074">'2021 HAR'!$L$384</definedName>
    <definedName name="Code_2076">'2021 HAR'!$L$381</definedName>
    <definedName name="Code_2077">'2021 HAR'!$L$383</definedName>
    <definedName name="Code_2078">'2021 HAR'!$L$385</definedName>
    <definedName name="Code_2080">'2021 HAR'!$L$393</definedName>
    <definedName name="Code_2104">'2021 HAR'!$F$390</definedName>
    <definedName name="Code_2114">'2021 HAR'!$I$390</definedName>
    <definedName name="Code_2121">'2021 HAR'!$F$380</definedName>
    <definedName name="Code_2122">'2021 HAR'!$F$386</definedName>
    <definedName name="Code_2123">'2021 HAR'!$F$387</definedName>
    <definedName name="Code_2125">'2021 HAR'!$F$389</definedName>
    <definedName name="Code_2128">'2021 HAR'!$F$392</definedName>
    <definedName name="Code_2131">'2021 HAR'!$I$380</definedName>
    <definedName name="Code_2132">'2021 HAR'!$I$386</definedName>
    <definedName name="Code_2133">'2021 HAR'!$I$387</definedName>
    <definedName name="Code_2135">'2021 HAR'!$I$389</definedName>
    <definedName name="Code_2138">'2021 HAR'!$I$392</definedName>
    <definedName name="Code_2148">'2021 HAR'!$I$430</definedName>
    <definedName name="Code_2158">'2021 HAR'!$F$410</definedName>
    <definedName name="Code_2168">'2021 HAR'!$I$410</definedName>
    <definedName name="Code_2171">'2021 HAR'!$L$380</definedName>
    <definedName name="Code_2172">'2021 HAR'!$L$386</definedName>
    <definedName name="Code_2173">'2021 HAR'!$L$387</definedName>
    <definedName name="Code_2175">'2021 HAR'!$L$389</definedName>
    <definedName name="Code_2176">'2021 HAR'!$L$391</definedName>
    <definedName name="Code_2177">'2021 HAR'!#REF!</definedName>
    <definedName name="Code_2178">'2021 HAR'!$F$388</definedName>
    <definedName name="Code_2188">'2021 HAR'!$I$388</definedName>
    <definedName name="Code_2194">'2021 HAR'!$L$390</definedName>
    <definedName name="Code_2198">'2021 HAR'!$L$388</definedName>
    <definedName name="Code_4020">'2021 HAR'!$L$522</definedName>
    <definedName name="Code_4022">'2021 HAR'!$J$523</definedName>
    <definedName name="Code_4025">'2021 HAR'!$J$511</definedName>
    <definedName name="Code_4026">'2021 HAR'!$L$521</definedName>
    <definedName name="Code_4030">'2021 HAR'!$L$478</definedName>
    <definedName name="Code_4033">'2021 HAR'!$L$535</definedName>
    <definedName name="Code_4034">'2021 HAR'!$L$537</definedName>
    <definedName name="Code_4035">'2021 HAR'!$L$536</definedName>
    <definedName name="Code_4037">'2021 HAR'!$L$552</definedName>
    <definedName name="Code_4041">'2021 HAR'!$L$479</definedName>
    <definedName name="Code_4320">'2021 HAR'!$L$464</definedName>
    <definedName name="Code_4322">'2021 HAR'!$L$539</definedName>
    <definedName name="Code_4323">'2021 HAR'!$L$540</definedName>
    <definedName name="Code_4324">'2021 HAR'!$L$542</definedName>
    <definedName name="Code_4326">'2021 HAR'!$L$541</definedName>
    <definedName name="Code_4327">'2021 HAR'!$L$561</definedName>
    <definedName name="Code_4329">'2021 HAR'!$L$544</definedName>
    <definedName name="Code_4331">'2021 HAR'!$L$465</definedName>
    <definedName name="Code_4333">'2021 HAR'!$L$545</definedName>
    <definedName name="Code_4335">'2021 HAR'!$L$546</definedName>
    <definedName name="Code_4336">'2021 HAR'!$L$547</definedName>
    <definedName name="Code_4337">'2021 HAR'!$L$548</definedName>
    <definedName name="Code_4339">'2021 HAR'!$L$549</definedName>
    <definedName name="Code_4340">'2021 HAR'!$L$501</definedName>
    <definedName name="Code_4341">'2021 HAR'!$J$490</definedName>
    <definedName name="Code_4342">'2021 HAR'!$J$502</definedName>
    <definedName name="Code_4344">'2021 HAR'!$L$500</definedName>
    <definedName name="Code_4352">'2021 HAR'!$L$556</definedName>
    <definedName name="Code_4353">'2021 HAR'!$L$557</definedName>
    <definedName name="Code_4355">'2021 HAR'!$L$558</definedName>
    <definedName name="Code_4356">'2021 HAR'!$L$559</definedName>
    <definedName name="Code_4357">'2021 HAR'!$L$560</definedName>
    <definedName name="Code_4363">'2021 HAR'!$L$563</definedName>
    <definedName name="Code_4364">'2021 HAR'!$L$564</definedName>
    <definedName name="Code_4365">'2021 HAR'!$L$565</definedName>
    <definedName name="Code_4366">'2021 HAR'!$L$566</definedName>
    <definedName name="Code_4367">'2021 HAR'!$L$567</definedName>
    <definedName name="Code_4369">'2021 HAR'!$L$568</definedName>
    <definedName name="Code_4370">'2021 HAR'!$L$489</definedName>
    <definedName name="Code_4373">'2021 HAR'!$L$492</definedName>
    <definedName name="Code_4376">'2021 HAR'!$L$495</definedName>
    <definedName name="Code_4379">'2021 HAR'!$L$498</definedName>
    <definedName name="Code_4380">'2021 HAR'!$L$510</definedName>
    <definedName name="Code_4383">'2021 HAR'!$L$513</definedName>
    <definedName name="Code_4386">'2021 HAR'!$L$516</definedName>
    <definedName name="Code_4389">'2021 HAR'!$L$519</definedName>
    <definedName name="Code_4501">'2021 HAR'!$L$457</definedName>
    <definedName name="Code_4502">'2021 HAR'!$L$456</definedName>
    <definedName name="Code_4503">'2021 HAR'!$L$454</definedName>
    <definedName name="Code_4504">'2021 HAR'!$L$571</definedName>
    <definedName name="Code_4505">'2021 HAR'!$L$455</definedName>
    <definedName name="Code_4520">'2021 HAR'!$L$533</definedName>
    <definedName name="Code_4530">'2021 HAR'!$L$436</definedName>
    <definedName name="Code_4531">'2021 HAR'!$L$572</definedName>
    <definedName name="Code_4550">'2021 HAR'!#REF!</definedName>
    <definedName name="Code_5501">'2021 HAR'!$L$319</definedName>
    <definedName name="Code_5502">'2021 HAR'!$J$320</definedName>
    <definedName name="Code_5503">'2021 HAR'!$L$322</definedName>
    <definedName name="Code_5504">'2021 HAR'!$J$323</definedName>
    <definedName name="Code_5506">'2021 HAR'!$J$321</definedName>
    <definedName name="Code_5507">'2021 HAR'!$J$324</definedName>
    <definedName name="Code_5512">'2021 HAR'!$J$326</definedName>
    <definedName name="Code_7050">'2021 HAR'!$I$303</definedName>
    <definedName name="Code_7051">'2021 HAR'!$L$303</definedName>
    <definedName name="Code_7052">'2021 HAR'!$I$304</definedName>
    <definedName name="Code_7053">'2021 HAR'!$L$304</definedName>
    <definedName name="Code_7054">'2021 HAR'!$I$305</definedName>
    <definedName name="Code_7055">'2021 HAR'!$L$305</definedName>
    <definedName name="Code_7056">'2021 HAR'!$I$306</definedName>
    <definedName name="Code_7057">'2021 HAR'!$L$306</definedName>
    <definedName name="Code_7061">'2021 HAR'!$L$336</definedName>
    <definedName name="Code_7062">'2021 HAR'!$J$337</definedName>
    <definedName name="Code_7063">'2021 HAR'!$J$338</definedName>
    <definedName name="Code_7064">'2021 HAR'!$L$339</definedName>
    <definedName name="Code_7065">'2021 HAR'!$J$340</definedName>
    <definedName name="Code_7066">'2021 HAR'!$J$341</definedName>
    <definedName name="Code_7068">'2021 HAR'!$L$351</definedName>
    <definedName name="Code_7069">'2021 HAR'!$J$352</definedName>
    <definedName name="Code_7070">'2021 HAR'!$J$353</definedName>
    <definedName name="Code_7071">'2021 HAR'!$L$354</definedName>
    <definedName name="Code_7072">'2021 HAR'!$J$355</definedName>
    <definedName name="Code_7073">'2021 HAR'!$J$356</definedName>
    <definedName name="Code_7075">'2021 HAR'!$L$365</definedName>
    <definedName name="Code_7076">'2021 HAR'!$J$366</definedName>
    <definedName name="Code_7077">'2021 HAR'!$J$367</definedName>
    <definedName name="Code_7078">'2021 HAR'!$L$368</definedName>
    <definedName name="Code_7079">'2021 HAR'!$J$369</definedName>
    <definedName name="Code_7080">'2021 HAR'!$J$370</definedName>
    <definedName name="Code_7082">'2021 HAR'!$G$594</definedName>
    <definedName name="Code_7085">'2021 HAR'!$L$358</definedName>
    <definedName name="Code_7086">'2021 HAR'!$L$373</definedName>
    <definedName name="Code_7087">'2021 HAR'!$L$327</definedName>
    <definedName name="Code_7088">'2021 HAR'!$L$344</definedName>
    <definedName name="Code_7089">'2021 HAR'!$L$145</definedName>
    <definedName name="Code_7090">'2021 HAR'!$L$146</definedName>
    <definedName name="Code_7091">'2021 HAR'!$J$150</definedName>
    <definedName name="Code_7092">'2021 HAR'!$J$151</definedName>
    <definedName name="Code_7094">'2021 HAR'!$J$148</definedName>
    <definedName name="Code_7095">'2021 HAR'!$J$149</definedName>
    <definedName name="Code_7096">'2021 HAR'!$J$152</definedName>
    <definedName name="Code_7097">'2021 HAR'!$L$147</definedName>
    <definedName name="Code_7098">'2021 HAR'!$H$208</definedName>
    <definedName name="Code_7099">'2021 HAR'!$H$209</definedName>
    <definedName name="Code_7100">'2021 HAR'!$H$211</definedName>
    <definedName name="Code_7101">'2021 HAR'!$H$212</definedName>
    <definedName name="Code_7102">'2021 HAR'!$J$228</definedName>
    <definedName name="Code_7103">'2021 HAR'!$J$229</definedName>
    <definedName name="Code_7104">'2021 HAR'!$H$186</definedName>
    <definedName name="Code_7105">'2021 HAR'!$H$187</definedName>
    <definedName name="Code_7106">'2021 HAR'!$H$189</definedName>
    <definedName name="Code_7107">'2021 HAR'!$H$190</definedName>
    <definedName name="Code_7108">'2021 HAR'!$J$157</definedName>
    <definedName name="Code_7109">'2021 HAR'!$J$158</definedName>
    <definedName name="Code_7110">'2021 HAR'!$J$160</definedName>
    <definedName name="Code_7111">'2021 HAR'!$J$161</definedName>
    <definedName name="Code_7113">'2021 HAR'!$L$75</definedName>
    <definedName name="Code_7117">'2021 HAR'!$J$317</definedName>
    <definedName name="Code_7118">'2021 HAR'!$J$318</definedName>
    <definedName name="Code_7119">'2021 HAR'!$J$334</definedName>
    <definedName name="Code_7120">'2021 HAR'!$J$335</definedName>
    <definedName name="Code_7121">'2021 HAR'!$J$325</definedName>
    <definedName name="Code_7122">'2021 HAR'!$J$342</definedName>
    <definedName name="Code_7123">'2021 HAR'!$J$343</definedName>
    <definedName name="Code_7124">'2021 HAR'!$J$371</definedName>
    <definedName name="Code_7125">'2021 HAR'!$J$235</definedName>
    <definedName name="Code_7126">'2021 HAR'!$J$236</definedName>
    <definedName name="Code_7127">'2021 HAR'!$L$177</definedName>
    <definedName name="Code_7128">'2021 HAR'!$L$180</definedName>
    <definedName name="Code_7130">'2021 HAR'!$J$357</definedName>
    <definedName name="Code_7131">'2021 HAR'!$J$372</definedName>
    <definedName name="Code_7133">'2021 HAR'!$L$138</definedName>
    <definedName name="Code_7134">'2021 HAR'!$L$142</definedName>
    <definedName name="Code_7135">'2021 HAR'!$L$143</definedName>
    <definedName name="Code_7136">'2021 HAR'!$J$214</definedName>
    <definedName name="Code_7138">'2021 HAR'!$J$217</definedName>
    <definedName name="Code_7139">'2021 HAR'!$J$215</definedName>
    <definedName name="Code_7141">'2021 HAR'!$J$218</definedName>
    <definedName name="Code_7142">'2021 HAR'!$J$192</definedName>
    <definedName name="Code_7144">'2021 HAR'!$J$195</definedName>
    <definedName name="Code_7145">'2021 HAR'!$J$193</definedName>
    <definedName name="Code_7147">'2021 HAR'!$J$196</definedName>
    <definedName name="Code_7148">'2021 HAR'!$L$410</definedName>
    <definedName name="Code_7150" localSheetId="11">'[1]2006 HAR'!#REF!</definedName>
    <definedName name="Code_7155">'2021 HAR'!$L$483</definedName>
    <definedName name="Code_7156">'2021 HAR'!$L$480</definedName>
    <definedName name="Code_7157">'2021 HAR'!$L$481</definedName>
    <definedName name="Code_7158">'2021 HAR'!$L$482</definedName>
    <definedName name="Code_7159">'2021 HAR'!$J$514</definedName>
    <definedName name="Code_7161">'2021 HAR'!$J$517</definedName>
    <definedName name="Code_7162">'2021 HAR'!$J$512</definedName>
    <definedName name="Code_7163">'2021 HAR'!$J$524</definedName>
    <definedName name="Code_7164">'2021 HAR'!$J$515</definedName>
    <definedName name="Code_7166">'2021 HAR'!$J$518</definedName>
    <definedName name="Code_7167">'2021 HAR'!$L$520</definedName>
    <definedName name="Code_7168">'2021 HAR'!$F$430</definedName>
    <definedName name="Code_7170" localSheetId="11">'[1]2006 HAR'!#REF!</definedName>
    <definedName name="Code_7176">'2021 HAR'!$L$470</definedName>
    <definedName name="Code_7177">'2021 HAR'!$L$466</definedName>
    <definedName name="Code_7178">'2021 HAR'!$L$467</definedName>
    <definedName name="Code_7179">'2021 HAR'!$L$468</definedName>
    <definedName name="Code_7180">'2021 HAR'!$L$469</definedName>
    <definedName name="Code_7181">'2021 HAR'!$J$493</definedName>
    <definedName name="Code_7183">'2021 HAR'!$J$496</definedName>
    <definedName name="Code_7184">'2021 HAR'!$J$491</definedName>
    <definedName name="Code_7185">'2021 HAR'!$J$503</definedName>
    <definedName name="Code_7186">'2021 HAR'!$J$494</definedName>
    <definedName name="Code_7188">'2021 HAR'!$J$497</definedName>
    <definedName name="Code_7189">'2021 HAR'!$L$499</definedName>
    <definedName name="Code_7225">'2021 HAR'!$L$174</definedName>
    <definedName name="Code_7232" localSheetId="11">'[1]2006 HAR'!$E$265</definedName>
    <definedName name="Code_7234">'2021 HAR'!$J$175</definedName>
    <definedName name="Code_7235">'2021 HAR'!$J$176</definedName>
    <definedName name="Code_7242">'2021 HAR'!$J$178</definedName>
    <definedName name="Code_7243">'2021 HAR'!$J$179</definedName>
    <definedName name="Code_7244">'2021 HAR'!$L$484</definedName>
    <definedName name="Code_7245">'Service Line Data'!$L$68</definedName>
    <definedName name="Code_7248">'Service Line Data'!$L$69</definedName>
    <definedName name="Code_7250">'2021 HAR'!$L$184</definedName>
    <definedName name="Code_7251">'Service Line Data'!$L$71</definedName>
    <definedName name="Code_7253">'2021 HAR'!$L$191</definedName>
    <definedName name="Code_7256">'2021 HAR'!$L$194</definedName>
    <definedName name="Code_7259">'2021 HAR'!$L$197</definedName>
    <definedName name="Code_7260">'2021 HAR'!$L$206</definedName>
    <definedName name="Code_7261">'Service Line Data'!$L$42</definedName>
    <definedName name="Code_7263">'2021 HAR'!$L$213</definedName>
    <definedName name="Code_7264">'Service Line Data'!$L$43</definedName>
    <definedName name="Code_7266">'2021 HAR'!$L$216</definedName>
    <definedName name="Code_7267">'Service Line Data'!$L$45</definedName>
    <definedName name="Code_7269">'2021 HAR'!$L$219</definedName>
    <definedName name="Code_7310">'2021 HAR'!$I$288</definedName>
    <definedName name="Code_7410">'2021 HAR'!$L$220</definedName>
    <definedName name="Code_7426">'2021 HAR'!$L$413</definedName>
    <definedName name="Code_7441">'2021 HAR'!$F$433</definedName>
    <definedName name="Code_7497">'2021 HAR'!$G$598</definedName>
    <definedName name="Code_7498">'2021 HAR'!$G$599</definedName>
    <definedName name="Code_7499">'2021 HAR'!$G$600</definedName>
    <definedName name="Code_7567">'2021 HAR'!$L$259</definedName>
    <definedName name="Code_7568">'2021 HAR'!$J$260</definedName>
    <definedName name="Code_7569">'2021 HAR'!$J$261</definedName>
    <definedName name="Code_7570">'2021 HAR'!$J$221</definedName>
    <definedName name="Code_7571">'2021 HAR'!$J$223</definedName>
    <definedName name="Code_7572">'2021 HAR'!$J$224</definedName>
    <definedName name="Code_7573">'2021 HAR'!$H$225</definedName>
    <definedName name="Code_7574">'2021 HAR'!$H$226</definedName>
    <definedName name="Code_7575">'2021 HAR'!$J$227</definedName>
    <definedName name="Code_7576">'2021 HAR'!$L$307</definedName>
    <definedName name="Code_7577">'2021 HAR'!$I$289</definedName>
    <definedName name="Code_7578">'2021 HAR'!$I$291</definedName>
    <definedName name="Code_7579">'2021 HAR'!$I$292</definedName>
    <definedName name="Code_7580">'2021 HAR'!$I$293</definedName>
    <definedName name="Code_7581">'2021 HAR'!$I$294</definedName>
    <definedName name="Code_7582">'2021 HAR'!$I$295</definedName>
    <definedName name="Code_7583">'2021 HAR'!$I$296</definedName>
    <definedName name="Code_7584">'2021 HAR'!$I$297</definedName>
    <definedName name="Code_7585">'2021 HAR'!$I$298</definedName>
    <definedName name="Code_7586">'2021 HAR'!$L$291</definedName>
    <definedName name="Code_7587">'2021 HAR'!$L$292</definedName>
    <definedName name="Code_7588">'2021 HAR'!$L$293</definedName>
    <definedName name="Code_7589">'2021 HAR'!$L$294</definedName>
    <definedName name="Code_7590">'2021 HAR'!$L$295</definedName>
    <definedName name="Code_7591">'2021 HAR'!$L$296</definedName>
    <definedName name="Code_7592">'2021 HAR'!$L$297</definedName>
    <definedName name="Code_7593">'2021 HAR'!$L$298</definedName>
    <definedName name="Code_7594">'2021 HAR'!$L$750</definedName>
    <definedName name="Code_7595">'2021 HAR'!$L$751</definedName>
    <definedName name="Code_7596">'2021 HAR'!$L$752</definedName>
    <definedName name="Code_7689">'Service Line Data'!$G$6</definedName>
    <definedName name="Code_7690">'Service Line Data'!$G$51</definedName>
    <definedName name="Code_7691">'Service Line Data'!$G$25</definedName>
    <definedName name="Code_8062">'2021 HAR'!$L$97</definedName>
    <definedName name="Code_8063">'2021 HAR'!$L$100</definedName>
    <definedName name="Code_8100">'2021 HAR'!$L$230</definedName>
    <definedName name="Code_8101">'2021 HAR'!$J$231</definedName>
    <definedName name="Code_8102">'2021 HAR'!$J$232</definedName>
    <definedName name="Code_9999">'2021 HAR'!$L$79</definedName>
    <definedName name="def_0630">Definitions!$A$15</definedName>
    <definedName name="def_0637">Definitions!$A$25</definedName>
    <definedName name="def_0650">Definitions!$A$27</definedName>
    <definedName name="def_0655" localSheetId="9">Definitions!$A$29</definedName>
    <definedName name="def_0655">Definitions!$A$29</definedName>
    <definedName name="def_0751">Definitions!$A$34</definedName>
    <definedName name="def_0762">Definitions!$A$11</definedName>
    <definedName name="def_0847">Definitions!$A$35</definedName>
    <definedName name="def_4026">Definitions!$A$36</definedName>
    <definedName name="def_4344">Definitions!$A$37</definedName>
    <definedName name="def_7082">Definitions!$A$4</definedName>
    <definedName name="def_7310">Definitions!$A$47</definedName>
    <definedName name="def_7410">Definitions!$A$31</definedName>
    <definedName name="def_7567">Definitions!$A$41</definedName>
    <definedName name="def_7570">Definitions!$A$43</definedName>
    <definedName name="def_7573_7574">Definitions!$A$12</definedName>
    <definedName name="def_7575">Definitions!$A$45</definedName>
    <definedName name="def_7576">Definitions!$A$65</definedName>
    <definedName name="def_7577">Definitions!$A$49</definedName>
    <definedName name="def_7578">Definitions!$A$51</definedName>
    <definedName name="def_7579">Definitions!$A$53</definedName>
    <definedName name="def_7580" localSheetId="9">Definitions!$A$55</definedName>
    <definedName name="def_7580">Definitions!$A$55</definedName>
    <definedName name="def_7581">Definitions!$A$57</definedName>
    <definedName name="def_7582" localSheetId="9">Definitions!$A$59</definedName>
    <definedName name="def_7582">Definitions!$A$59</definedName>
    <definedName name="def_7583">Definitions!$A$61</definedName>
    <definedName name="def_7584">Definitions!$A$63</definedName>
    <definedName name="def_7594">Definitions!$A$67</definedName>
    <definedName name="def_8100">Definitions!$A$6</definedName>
    <definedName name="Def_Date_Spend_Commit">Definitions!$A$69</definedName>
    <definedName name="def_exceptions">Definitions!A1</definedName>
    <definedName name="def_medical_equip">Definitions!$A$71</definedName>
    <definedName name="def_NPI">Definitions!$A$39</definedName>
    <definedName name="DRGs">'Service Line Data'!$B$76</definedName>
    <definedName name="Explanation_of_Adjustments">'2021 HAR'!$A$788</definedName>
    <definedName name="HCCIS_ID">HCCIS_ID!$A$2:$AR$142</definedName>
    <definedName name="HCCIS_ID_list">HCCIS_ID!$A$2</definedName>
    <definedName name="Hospital_Data" localSheetId="11">Audit_Tab_Data!$A$3:$AO$148</definedName>
    <definedName name="Hospital_Data">Audit_Tab_Data!$A$3:$AO$148</definedName>
    <definedName name="ID_list" localSheetId="10">HCCIS_ID!$A$2:$BA$143</definedName>
    <definedName name="ID_list">HCCIS_ID!$A$2:$BZ$157</definedName>
    <definedName name="NPI">'2021 HAR'!$D$6</definedName>
    <definedName name="Page_01" localSheetId="11">'[1]2006 HAR'!#REF!</definedName>
    <definedName name="_xlnm.Print_Area" localSheetId="1">'2021 HAR'!$A$1:$R$812</definedName>
    <definedName name="_xlnm.Print_Area" localSheetId="5">'Audit Checks'!$A$1:$P$92</definedName>
    <definedName name="_xlnm.Print_Area" localSheetId="12">CapExpData!$B$1:$J$42</definedName>
    <definedName name="_xlnm.Print_Area" localSheetId="3">'Capital Expend Project Specific'!$A$1:$R$433</definedName>
    <definedName name="_xlnm.Print_Area" localSheetId="4">'Offsite Locations'!$A$1:$N$39</definedName>
    <definedName name="_xlnm.Print_Area" localSheetId="7">'Prior Cap Exp Report'!$A$1:$M$132</definedName>
    <definedName name="_xlnm.Print_Area" localSheetId="2">'Service Line Data'!$A$1:$T$85</definedName>
    <definedName name="_xlnm.Print_Area" localSheetId="0">'Tip Sheet'!$A$1:$K$36</definedName>
    <definedName name="_xlnm.Print_Area" localSheetId="6">Verify_Data_MA_Surcharge!$A$1:$M$19</definedName>
    <definedName name="_xlnm.Print_Titles" localSheetId="8">Reclassifications!$A:$C</definedName>
    <definedName name="ValidCapacity">CapExpData!$B$15:$B$16</definedName>
    <definedName name="ValidEvidence">CapExpData!$B$31:$B$32</definedName>
    <definedName name="ValidImpact">CapExpData!$B$27:$B$28</definedName>
    <definedName name="ValidPriorCap">CapExpData!$B$19:$B$22</definedName>
    <definedName name="ValidProjType">CapExpData!$E$5:$E$9</definedName>
    <definedName name="ValidRemote">CapExpData!$B$11:$B$12</definedName>
    <definedName name="ValidSubtype1">CapExpData!$G$5:$G$10</definedName>
    <definedName name="ValidSubtype2">CapExpData!$G$16:$G$41</definedName>
    <definedName name="ValidSubtype3">CapExpData!$I$5:$I$31</definedName>
    <definedName name="ValidYN">CapExpData!$B$5:$B$6</definedName>
    <definedName name="VCapacity">CapExpData!$B$15:$C$16</definedName>
    <definedName name="VEvidence">CapExpData!$B$31:$C$32</definedName>
    <definedName name="VImpact">CapExpData!$B$27:$C$28</definedName>
    <definedName name="VPriorCap">CapExpData!$B$19:$C$22</definedName>
    <definedName name="VProjType">CapExpData!$E$5:$F$9</definedName>
    <definedName name="VRemote">CapExpData!$B$11:$C$12</definedName>
    <definedName name="VSubtype1">CapExpData!$G$5:$H$10</definedName>
    <definedName name="VSubtype2">CapExpData!$G$16:$H$41</definedName>
    <definedName name="VSubtype3">CapExpData!$I$5:$J$30</definedName>
    <definedName name="VYN">CapExpData!$B$5:$C$6</definedName>
  </definedNames>
  <calcPr calcId="179017"/>
</workbook>
</file>

<file path=xl/calcChain.xml><?xml version="1.0" encoding="utf-8"?>
<calcChain xmlns="http://schemas.openxmlformats.org/spreadsheetml/2006/main">
  <c r="C4" i="17" l="1"/>
  <c r="C5" i="17"/>
  <c r="C6" i="17"/>
  <c r="C7" i="17"/>
  <c r="C8" i="17"/>
  <c r="C9" i="17"/>
  <c r="C10" i="17"/>
  <c r="C11" i="17"/>
  <c r="C12" i="17"/>
  <c r="C13" i="17"/>
  <c r="C14" i="17"/>
  <c r="C15" i="17"/>
  <c r="C16" i="17"/>
  <c r="C17" i="17"/>
  <c r="C18" i="17"/>
  <c r="C19" i="17"/>
  <c r="C20" i="17"/>
  <c r="C21" i="17"/>
  <c r="C22" i="17"/>
  <c r="C23" i="17"/>
  <c r="C24" i="17"/>
  <c r="C25" i="17"/>
  <c r="C26" i="17"/>
  <c r="C27" i="17"/>
  <c r="C28" i="17"/>
  <c r="C29" i="17"/>
  <c r="C30" i="17"/>
  <c r="C31" i="17"/>
  <c r="C32" i="17"/>
  <c r="C33" i="17"/>
  <c r="C34" i="17"/>
  <c r="C35" i="17"/>
  <c r="C36" i="17"/>
  <c r="C37" i="17"/>
  <c r="C38" i="17"/>
  <c r="C39" i="17"/>
  <c r="C40" i="17"/>
  <c r="C41" i="17"/>
  <c r="C42" i="17"/>
  <c r="C43" i="17"/>
  <c r="C44" i="17"/>
  <c r="C45" i="17"/>
  <c r="C46" i="17"/>
  <c r="C47" i="17"/>
  <c r="C48" i="17"/>
  <c r="C49" i="17"/>
  <c r="C50" i="17"/>
  <c r="C51" i="17"/>
  <c r="C52" i="17"/>
  <c r="C53" i="17"/>
  <c r="C54" i="17"/>
  <c r="C55" i="17"/>
  <c r="C56" i="17"/>
  <c r="C57" i="17"/>
  <c r="C58" i="17"/>
  <c r="C59" i="17"/>
  <c r="C60" i="17"/>
  <c r="C61" i="17"/>
  <c r="C62" i="17"/>
  <c r="C63" i="17"/>
  <c r="C64" i="17"/>
  <c r="C65" i="17"/>
  <c r="C66" i="17"/>
  <c r="C67" i="17"/>
  <c r="C68" i="17"/>
  <c r="C69" i="17"/>
  <c r="C70" i="17"/>
  <c r="C71" i="17"/>
  <c r="C72" i="17"/>
  <c r="C73" i="17"/>
  <c r="C74" i="17"/>
  <c r="C75" i="17"/>
  <c r="C76" i="17"/>
  <c r="C77" i="17"/>
  <c r="C78" i="17"/>
  <c r="C79" i="17"/>
  <c r="C80" i="17"/>
  <c r="C81" i="17"/>
  <c r="C82" i="17"/>
  <c r="C83" i="17"/>
  <c r="C84" i="17"/>
  <c r="C85" i="17"/>
  <c r="C86" i="17"/>
  <c r="C87" i="17"/>
  <c r="C88" i="17"/>
  <c r="C89" i="17"/>
  <c r="C90" i="17"/>
  <c r="C91" i="17"/>
  <c r="C92" i="17"/>
  <c r="C93" i="17"/>
  <c r="C94" i="17"/>
  <c r="C95" i="17"/>
  <c r="C96" i="17"/>
  <c r="C97" i="17"/>
  <c r="C98" i="17"/>
  <c r="C99" i="17"/>
  <c r="C100" i="17"/>
  <c r="C101" i="17"/>
  <c r="C102" i="17"/>
  <c r="C103" i="17"/>
  <c r="C104" i="17"/>
  <c r="C105" i="17"/>
  <c r="C106" i="17"/>
  <c r="C107" i="17"/>
  <c r="C108" i="17"/>
  <c r="C109" i="17"/>
  <c r="C110" i="17"/>
  <c r="C111" i="17"/>
  <c r="C112" i="17"/>
  <c r="C113" i="17"/>
  <c r="C114" i="17"/>
  <c r="C115" i="17"/>
  <c r="C116" i="17"/>
  <c r="C117" i="17"/>
  <c r="C118" i="17"/>
  <c r="C119" i="17"/>
  <c r="C120" i="17"/>
  <c r="C121" i="17"/>
  <c r="C122" i="17"/>
  <c r="C123" i="17"/>
  <c r="C124" i="17"/>
  <c r="C125" i="17"/>
  <c r="C126" i="17"/>
  <c r="C127" i="17"/>
  <c r="C128" i="17"/>
  <c r="C129" i="17"/>
  <c r="C130" i="17"/>
  <c r="C131" i="17"/>
  <c r="C132" i="17"/>
  <c r="C133" i="17"/>
  <c r="C134" i="17"/>
  <c r="C135" i="17"/>
  <c r="C136" i="17"/>
  <c r="C137" i="17"/>
  <c r="C138" i="17"/>
  <c r="C139" i="17"/>
  <c r="C140" i="17"/>
  <c r="C141" i="17"/>
  <c r="C142" i="17"/>
  <c r="C143" i="17"/>
  <c r="C144" i="17"/>
  <c r="C145" i="17"/>
  <c r="C146" i="17"/>
  <c r="C147" i="17"/>
  <c r="C148" i="17"/>
  <c r="C149" i="17"/>
  <c r="C150" i="17"/>
  <c r="C151" i="17"/>
  <c r="C152" i="17"/>
  <c r="C153" i="17"/>
  <c r="C154" i="17"/>
  <c r="C155" i="17"/>
  <c r="C156" i="17"/>
  <c r="C157" i="17"/>
  <c r="C158" i="17"/>
  <c r="C159" i="17"/>
  <c r="C160" i="17"/>
  <c r="C161" i="17"/>
  <c r="C162" i="17"/>
  <c r="C163" i="17"/>
  <c r="C164" i="17"/>
  <c r="C165" i="17"/>
  <c r="C166" i="17"/>
  <c r="C167" i="17"/>
  <c r="C168" i="17"/>
  <c r="C169" i="17"/>
  <c r="C170" i="17"/>
  <c r="C171" i="17"/>
  <c r="C172" i="17"/>
  <c r="C173" i="17"/>
  <c r="C174" i="17"/>
  <c r="C175" i="17"/>
  <c r="C176" i="17"/>
  <c r="C177" i="17"/>
  <c r="C178" i="17"/>
  <c r="C179" i="17"/>
  <c r="C180" i="17"/>
  <c r="C181" i="17"/>
  <c r="C182" i="17"/>
  <c r="C183" i="17"/>
  <c r="C184" i="17"/>
  <c r="C185" i="17"/>
  <c r="C186" i="17"/>
  <c r="C187" i="17"/>
  <c r="C188" i="17"/>
  <c r="C189" i="17"/>
  <c r="C190" i="17"/>
  <c r="C191" i="17"/>
  <c r="C192" i="17"/>
  <c r="C193" i="17"/>
  <c r="C194" i="17"/>
  <c r="C195" i="17"/>
  <c r="C196" i="17"/>
  <c r="C197" i="17"/>
  <c r="C198" i="17"/>
  <c r="C199" i="17"/>
  <c r="C200" i="17"/>
  <c r="C201" i="17"/>
  <c r="C202" i="17"/>
  <c r="C203" i="17"/>
  <c r="C204" i="17"/>
  <c r="C205" i="17"/>
  <c r="C206" i="17"/>
  <c r="C207" i="17"/>
  <c r="C208" i="17"/>
  <c r="C209" i="17"/>
  <c r="C210" i="17"/>
  <c r="C211" i="17"/>
  <c r="C212" i="17"/>
  <c r="C213" i="17"/>
  <c r="C214" i="17"/>
  <c r="C215" i="17"/>
  <c r="C216" i="17"/>
  <c r="C217" i="17"/>
  <c r="C218" i="17"/>
  <c r="C219" i="17"/>
  <c r="C220" i="17"/>
  <c r="C221" i="17"/>
  <c r="C222" i="17"/>
  <c r="C223" i="17"/>
  <c r="C224" i="17"/>
  <c r="C225" i="17"/>
  <c r="C226" i="17"/>
  <c r="C227" i="17"/>
  <c r="C228" i="17"/>
  <c r="C229" i="17"/>
  <c r="C230" i="17"/>
  <c r="C231" i="17"/>
  <c r="C232" i="17"/>
  <c r="C233" i="17"/>
  <c r="C234" i="17"/>
  <c r="C235" i="17"/>
  <c r="C236" i="17"/>
  <c r="C237" i="17"/>
  <c r="C238" i="17"/>
  <c r="C239" i="17"/>
  <c r="C240" i="17"/>
  <c r="C241" i="17"/>
  <c r="C242" i="17"/>
  <c r="C243" i="17"/>
  <c r="C244" i="17"/>
  <c r="C245" i="17"/>
  <c r="C246" i="17"/>
  <c r="C247" i="17"/>
  <c r="C248" i="17"/>
  <c r="C249" i="17"/>
  <c r="C250" i="17"/>
  <c r="C251" i="17"/>
  <c r="C252" i="17"/>
  <c r="C253" i="17"/>
  <c r="C254" i="17"/>
  <c r="C255" i="17"/>
  <c r="C256" i="17"/>
  <c r="C257" i="17"/>
  <c r="C258" i="17"/>
  <c r="C259" i="17"/>
  <c r="C260" i="17"/>
  <c r="C261" i="17"/>
  <c r="C262" i="17"/>
  <c r="C263" i="17"/>
  <c r="C264" i="17"/>
  <c r="C265" i="17"/>
  <c r="C266" i="17"/>
  <c r="C267" i="17"/>
  <c r="C268" i="17"/>
  <c r="C269" i="17"/>
  <c r="C270" i="17"/>
  <c r="C271" i="17"/>
  <c r="C272" i="17"/>
  <c r="C273" i="17"/>
  <c r="C274" i="17"/>
  <c r="C275" i="17"/>
  <c r="C276" i="17"/>
  <c r="C3" i="17"/>
  <c r="I38" i="18" l="1"/>
  <c r="N464" i="1" l="1"/>
  <c r="N463" i="1"/>
  <c r="L97" i="1" l="1"/>
  <c r="A21" i="1" l="1"/>
  <c r="D6" i="1" l="1"/>
  <c r="D7" i="1"/>
  <c r="D8" i="1"/>
  <c r="D9" i="1"/>
  <c r="D10" i="1"/>
  <c r="D11" i="1"/>
  <c r="D12" i="1"/>
  <c r="D13" i="1"/>
  <c r="D14" i="1"/>
  <c r="D15" i="1"/>
  <c r="D16" i="1"/>
  <c r="D17" i="1"/>
  <c r="D18" i="1"/>
  <c r="G594" i="1" l="1"/>
  <c r="M594" i="1"/>
  <c r="J594" i="1"/>
  <c r="P594" i="1"/>
  <c r="N496" i="1" l="1"/>
  <c r="N493" i="1"/>
  <c r="N490" i="1"/>
  <c r="N517" i="1"/>
  <c r="N514" i="1"/>
  <c r="N511" i="1"/>
  <c r="N216" i="1"/>
  <c r="N213" i="1"/>
  <c r="N206" i="1"/>
  <c r="N309" i="1" l="1"/>
  <c r="N194" i="1"/>
  <c r="N184" i="1"/>
  <c r="N192" i="1"/>
  <c r="N195" i="1"/>
  <c r="N191" i="1"/>
  <c r="N495" i="1"/>
  <c r="N492" i="1"/>
  <c r="N489" i="1"/>
  <c r="N516" i="1"/>
  <c r="N513" i="1"/>
  <c r="N510" i="1"/>
  <c r="D87" i="18"/>
  <c r="E26" i="18" l="1"/>
  <c r="C26" i="18"/>
  <c r="O37" i="12"/>
  <c r="O36" i="12"/>
  <c r="O35" i="12"/>
  <c r="O34" i="12"/>
  <c r="O33" i="12"/>
  <c r="O32" i="12"/>
  <c r="O31" i="12"/>
  <c r="O30" i="12"/>
  <c r="O29" i="12"/>
  <c r="O28" i="12"/>
  <c r="O27" i="12"/>
  <c r="O26" i="12"/>
  <c r="O25" i="12"/>
  <c r="O24" i="12"/>
  <c r="O23" i="12"/>
  <c r="O22" i="12"/>
  <c r="O21" i="12"/>
  <c r="O20" i="12"/>
  <c r="O19" i="12"/>
  <c r="O18" i="12"/>
  <c r="O17" i="12"/>
  <c r="O7" i="12"/>
  <c r="O8" i="12"/>
  <c r="O9" i="12"/>
  <c r="O10" i="12"/>
  <c r="O11" i="12"/>
  <c r="O12" i="12"/>
  <c r="O13" i="12"/>
  <c r="O14" i="12"/>
  <c r="O15" i="12"/>
  <c r="O16" i="12"/>
  <c r="O6" i="12"/>
  <c r="F79" i="18" l="1"/>
  <c r="F75" i="18"/>
  <c r="M399" i="13"/>
  <c r="M398" i="13"/>
  <c r="M397" i="13"/>
  <c r="M396" i="13"/>
  <c r="M395" i="13"/>
  <c r="M356" i="13"/>
  <c r="M355" i="13"/>
  <c r="M354" i="13"/>
  <c r="M353" i="13"/>
  <c r="M352" i="13"/>
  <c r="M313" i="13"/>
  <c r="M312" i="13"/>
  <c r="M311" i="13"/>
  <c r="M310" i="13"/>
  <c r="M309" i="13"/>
  <c r="M270" i="13"/>
  <c r="M269" i="13"/>
  <c r="M268" i="13"/>
  <c r="M267" i="13"/>
  <c r="M266" i="13"/>
  <c r="M227" i="13"/>
  <c r="M226" i="13"/>
  <c r="M225" i="13"/>
  <c r="M224" i="13"/>
  <c r="M223" i="13"/>
  <c r="M184" i="13"/>
  <c r="M183" i="13"/>
  <c r="M182" i="13"/>
  <c r="M181" i="13"/>
  <c r="M180" i="13"/>
  <c r="M141" i="13"/>
  <c r="M140" i="13"/>
  <c r="M139" i="13"/>
  <c r="M138" i="13"/>
  <c r="M137" i="13"/>
  <c r="M98" i="13"/>
  <c r="M97" i="13"/>
  <c r="M96" i="13"/>
  <c r="M95" i="13"/>
  <c r="M94" i="13"/>
  <c r="R405" i="13"/>
  <c r="R404" i="13"/>
  <c r="R403" i="13"/>
  <c r="R362" i="13"/>
  <c r="R361" i="13"/>
  <c r="R360" i="13"/>
  <c r="R319" i="13"/>
  <c r="R318" i="13"/>
  <c r="R317" i="13"/>
  <c r="R276" i="13"/>
  <c r="R275" i="13"/>
  <c r="R274" i="13"/>
  <c r="R233" i="13"/>
  <c r="R232" i="13"/>
  <c r="R231" i="13"/>
  <c r="R190" i="13"/>
  <c r="R189" i="13"/>
  <c r="R188" i="13"/>
  <c r="R147" i="13"/>
  <c r="R146" i="13"/>
  <c r="R145" i="13"/>
  <c r="R104" i="13"/>
  <c r="R103" i="13"/>
  <c r="R102" i="13"/>
  <c r="R61" i="13"/>
  <c r="R60" i="13"/>
  <c r="R59" i="13"/>
  <c r="R402" i="13"/>
  <c r="R359" i="13"/>
  <c r="R316" i="13"/>
  <c r="R273" i="13"/>
  <c r="R230" i="13"/>
  <c r="R187" i="13"/>
  <c r="R144" i="13"/>
  <c r="R101" i="13"/>
  <c r="R58" i="13"/>
  <c r="R400" i="13"/>
  <c r="R357" i="13"/>
  <c r="R314" i="13"/>
  <c r="R271" i="13"/>
  <c r="R228" i="13"/>
  <c r="R185" i="13"/>
  <c r="R142" i="13"/>
  <c r="R99" i="13"/>
  <c r="R56" i="13"/>
  <c r="M55" i="13"/>
  <c r="M54" i="13"/>
  <c r="M53" i="13"/>
  <c r="M52" i="13"/>
  <c r="M51" i="13"/>
  <c r="R18" i="13"/>
  <c r="R17" i="13"/>
  <c r="R16" i="13"/>
  <c r="R13" i="13"/>
  <c r="R15" i="13"/>
  <c r="M8" i="13"/>
  <c r="M9" i="13"/>
  <c r="M10" i="13"/>
  <c r="M11" i="13"/>
  <c r="M12" i="13"/>
  <c r="H70" i="18"/>
  <c r="H69" i="18"/>
  <c r="H68" i="18"/>
  <c r="H67" i="18"/>
  <c r="E70" i="18"/>
  <c r="E69" i="18"/>
  <c r="E68" i="18"/>
  <c r="C69" i="18"/>
  <c r="C68" i="18"/>
  <c r="C60" i="18"/>
  <c r="F60" i="18" s="1"/>
  <c r="E55" i="18"/>
  <c r="E54" i="18"/>
  <c r="E53" i="18"/>
  <c r="E52" i="18"/>
  <c r="E51" i="18"/>
  <c r="E50" i="18"/>
  <c r="E49" i="18"/>
  <c r="E48" i="18"/>
  <c r="E47" i="18"/>
  <c r="E46" i="18"/>
  <c r="C55" i="18"/>
  <c r="C54" i="18"/>
  <c r="C53" i="18"/>
  <c r="C52" i="18"/>
  <c r="C51" i="18"/>
  <c r="C50" i="18"/>
  <c r="C49" i="18"/>
  <c r="C48" i="18"/>
  <c r="C47" i="18"/>
  <c r="C46" i="18"/>
  <c r="I40" i="18"/>
  <c r="I39" i="18"/>
  <c r="I37" i="18"/>
  <c r="I36" i="18"/>
  <c r="I35" i="18"/>
  <c r="I34" i="18"/>
  <c r="I33" i="18"/>
  <c r="I32" i="18"/>
  <c r="I31" i="18"/>
  <c r="I30" i="18"/>
  <c r="I29" i="18"/>
  <c r="I28" i="18"/>
  <c r="I27" i="18"/>
  <c r="I26" i="18"/>
  <c r="C38" i="18"/>
  <c r="C37" i="18"/>
  <c r="C36" i="18"/>
  <c r="C35" i="18"/>
  <c r="C34" i="18"/>
  <c r="C33" i="18"/>
  <c r="C32" i="18"/>
  <c r="C31" i="18"/>
  <c r="C30" i="18"/>
  <c r="C29" i="18"/>
  <c r="C28" i="18"/>
  <c r="C27" i="18"/>
  <c r="E40" i="18"/>
  <c r="E38" i="18"/>
  <c r="E37" i="18"/>
  <c r="E36" i="18"/>
  <c r="E35" i="18"/>
  <c r="E34" i="18"/>
  <c r="E33" i="18"/>
  <c r="E32" i="18"/>
  <c r="E31" i="18"/>
  <c r="E30" i="18"/>
  <c r="E29" i="18"/>
  <c r="E28" i="18"/>
  <c r="E27" i="18"/>
  <c r="F68" i="18" l="1"/>
  <c r="J68" i="18" s="1"/>
  <c r="F69" i="18"/>
  <c r="J69" i="18" s="1"/>
  <c r="F49" i="18"/>
  <c r="H49" i="18" s="1"/>
  <c r="F53" i="18"/>
  <c r="H53" i="18" s="1"/>
  <c r="F50" i="18"/>
  <c r="H50" i="18" s="1"/>
  <c r="F54" i="18"/>
  <c r="H54" i="18" s="1"/>
  <c r="F47" i="18"/>
  <c r="H47" i="18" s="1"/>
  <c r="F51" i="18"/>
  <c r="H51" i="18" s="1"/>
  <c r="F55" i="18"/>
  <c r="H55" i="18" s="1"/>
  <c r="F48" i="18"/>
  <c r="H48" i="18" s="1"/>
  <c r="F52" i="18"/>
  <c r="H52" i="18" s="1"/>
  <c r="F46" i="18"/>
  <c r="H46" i="18" s="1"/>
  <c r="H26" i="18"/>
  <c r="K26" i="18" s="1"/>
  <c r="H29" i="18"/>
  <c r="K29" i="18" s="1"/>
  <c r="H33" i="18"/>
  <c r="K33" i="18" s="1"/>
  <c r="H37" i="18"/>
  <c r="K37" i="18" s="1"/>
  <c r="H32" i="18"/>
  <c r="K32" i="18" s="1"/>
  <c r="H30" i="18"/>
  <c r="K30" i="18" s="1"/>
  <c r="H34" i="18"/>
  <c r="K34" i="18" s="1"/>
  <c r="H38" i="18"/>
  <c r="K38" i="18" s="1"/>
  <c r="H28" i="18"/>
  <c r="K28" i="18" s="1"/>
  <c r="H36" i="18"/>
  <c r="K36" i="18" s="1"/>
  <c r="H27" i="18"/>
  <c r="K27" i="18" s="1"/>
  <c r="H31" i="18"/>
  <c r="K31" i="18" s="1"/>
  <c r="H35" i="18"/>
  <c r="K35" i="18" s="1"/>
  <c r="N225" i="1" l="1"/>
  <c r="N222" i="1"/>
  <c r="N220" i="1"/>
  <c r="N219" i="1"/>
  <c r="N210" i="1"/>
  <c r="N207" i="1"/>
  <c r="J63" i="1"/>
  <c r="J62" i="1"/>
  <c r="J61" i="1"/>
  <c r="J60" i="1"/>
  <c r="E64" i="1"/>
  <c r="E63" i="1"/>
  <c r="E62" i="1"/>
  <c r="E61" i="1"/>
  <c r="E60" i="1"/>
  <c r="J55" i="1"/>
  <c r="J54" i="1"/>
  <c r="J53" i="1"/>
  <c r="J52" i="1"/>
  <c r="E56" i="1"/>
  <c r="E55" i="1"/>
  <c r="E54" i="1"/>
  <c r="E53" i="1"/>
  <c r="E52" i="1"/>
  <c r="J47" i="1"/>
  <c r="J46" i="1"/>
  <c r="J45" i="1"/>
  <c r="J44" i="1"/>
  <c r="E48" i="1"/>
  <c r="E47" i="1"/>
  <c r="E46" i="1"/>
  <c r="E45" i="1"/>
  <c r="E44" i="1"/>
  <c r="J39" i="1"/>
  <c r="J38" i="1"/>
  <c r="J37" i="1"/>
  <c r="J36" i="1"/>
  <c r="E41" i="1"/>
  <c r="E40" i="1"/>
  <c r="E39" i="1"/>
  <c r="E38" i="1"/>
  <c r="E37" i="1"/>
  <c r="E36" i="1"/>
  <c r="N99" i="1" l="1"/>
  <c r="N98" i="1"/>
  <c r="N104" i="1"/>
  <c r="N79" i="1"/>
  <c r="N78" i="1"/>
  <c r="N12" i="1"/>
  <c r="N11" i="1"/>
  <c r="K20" i="1"/>
  <c r="J15" i="1"/>
  <c r="L15" i="1"/>
  <c r="L20" i="1"/>
  <c r="J20" i="1"/>
  <c r="L17" i="1"/>
  <c r="L16" i="1"/>
  <c r="D20" i="1"/>
  <c r="N451" i="1"/>
  <c r="N450" i="1"/>
  <c r="N449" i="1"/>
  <c r="N15" i="1" l="1"/>
  <c r="N152" i="1"/>
  <c r="L410" i="1"/>
  <c r="G38" i="18" s="1"/>
  <c r="I392" i="1"/>
  <c r="E39" i="18" s="1"/>
  <c r="J105" i="1"/>
  <c r="I432" i="1"/>
  <c r="F432" i="1"/>
  <c r="I412" i="1"/>
  <c r="F412" i="1"/>
  <c r="L392" i="1"/>
  <c r="O1" i="16"/>
  <c r="M129" i="16" s="1"/>
  <c r="A221" i="13"/>
  <c r="U1" i="13"/>
  <c r="S54" i="13"/>
  <c r="Z753" i="1"/>
  <c r="T1" i="13"/>
  <c r="S140" i="13"/>
  <c r="S183" i="13"/>
  <c r="S398" i="13"/>
  <c r="S355" i="13"/>
  <c r="S312" i="13"/>
  <c r="S269" i="13"/>
  <c r="S226" i="13"/>
  <c r="S97" i="13"/>
  <c r="S11" i="13"/>
  <c r="P1" i="13"/>
  <c r="N227" i="1"/>
  <c r="N217" i="1"/>
  <c r="N214" i="1"/>
  <c r="J238" i="1"/>
  <c r="J237" i="1"/>
  <c r="L524" i="1"/>
  <c r="L523" i="1"/>
  <c r="L503" i="1"/>
  <c r="L502" i="1"/>
  <c r="J202" i="1"/>
  <c r="J201" i="1"/>
  <c r="N372" i="1"/>
  <c r="N357" i="1"/>
  <c r="L41" i="7"/>
  <c r="M41" i="7" s="1"/>
  <c r="L14" i="7"/>
  <c r="M14" i="7" s="1"/>
  <c r="L11" i="7"/>
  <c r="M11" i="7" s="1"/>
  <c r="L9" i="7"/>
  <c r="M9" i="7" s="1"/>
  <c r="L230" i="1"/>
  <c r="N230" i="1" s="1"/>
  <c r="L100" i="1"/>
  <c r="N100" i="1" s="1"/>
  <c r="L80" i="1"/>
  <c r="N80" i="1" s="1"/>
  <c r="N41" i="2"/>
  <c r="P22" i="2"/>
  <c r="T1" i="2"/>
  <c r="P48" i="2"/>
  <c r="W1" i="2"/>
  <c r="N67" i="2"/>
  <c r="N478" i="1"/>
  <c r="W72" i="2"/>
  <c r="L31" i="7"/>
  <c r="M31" i="7" s="1"/>
  <c r="N76" i="1"/>
  <c r="N72" i="1"/>
  <c r="I599" i="1"/>
  <c r="O680" i="1"/>
  <c r="O679" i="1"/>
  <c r="O673" i="1"/>
  <c r="O672" i="1"/>
  <c r="O662" i="1"/>
  <c r="O661" i="1"/>
  <c r="O655" i="1"/>
  <c r="O654" i="1"/>
  <c r="O648" i="1"/>
  <c r="O647" i="1"/>
  <c r="O641" i="1"/>
  <c r="O640" i="1"/>
  <c r="L336" i="1"/>
  <c r="N344" i="1" s="1"/>
  <c r="L319" i="1"/>
  <c r="J318" i="1" s="1"/>
  <c r="F393" i="1"/>
  <c r="C40" i="18" s="1"/>
  <c r="H40" i="18" s="1"/>
  <c r="K40" i="18" s="1"/>
  <c r="L170" i="1"/>
  <c r="L169" i="1" s="1"/>
  <c r="C67" i="18" s="1"/>
  <c r="S571" i="1"/>
  <c r="N266" i="1" s="1"/>
  <c r="R603" i="1"/>
  <c r="N436" i="1"/>
  <c r="N113" i="1"/>
  <c r="N65" i="1"/>
  <c r="M735" i="1"/>
  <c r="M725" i="1"/>
  <c r="M690" i="1"/>
  <c r="M681" i="1"/>
  <c r="F679" i="1" s="1"/>
  <c r="J678" i="1"/>
  <c r="M674" i="1"/>
  <c r="F672" i="1" s="1"/>
  <c r="J671" i="1"/>
  <c r="M663" i="1"/>
  <c r="F661" i="1" s="1"/>
  <c r="J660" i="1"/>
  <c r="M656" i="1"/>
  <c r="F654" i="1" s="1"/>
  <c r="J653" i="1"/>
  <c r="M649" i="1"/>
  <c r="F647" i="1" s="1"/>
  <c r="J646" i="1"/>
  <c r="M642" i="1"/>
  <c r="F640" i="1" s="1"/>
  <c r="J639" i="1"/>
  <c r="M619" i="1"/>
  <c r="J616" i="1"/>
  <c r="P38" i="2"/>
  <c r="S38" i="2"/>
  <c r="L43" i="2" s="1"/>
  <c r="N43" i="2" s="1"/>
  <c r="J38" i="2"/>
  <c r="M38" i="2"/>
  <c r="L501" i="1"/>
  <c r="G37" i="2" s="1"/>
  <c r="G25" i="2"/>
  <c r="G35" i="2" s="1"/>
  <c r="G26" i="2"/>
  <c r="G27" i="2"/>
  <c r="G28" i="2"/>
  <c r="G29" i="2"/>
  <c r="G31" i="2"/>
  <c r="G32" i="2"/>
  <c r="G33" i="2"/>
  <c r="G34" i="2"/>
  <c r="J64" i="2"/>
  <c r="M64" i="2"/>
  <c r="P64" i="2"/>
  <c r="S64" i="2"/>
  <c r="L69" i="2" s="1"/>
  <c r="N69" i="2" s="1"/>
  <c r="G63" i="2"/>
  <c r="G51" i="2"/>
  <c r="G52" i="2"/>
  <c r="G53" i="2"/>
  <c r="G61" i="2" s="1"/>
  <c r="G54" i="2"/>
  <c r="G55" i="2"/>
  <c r="G57" i="2"/>
  <c r="G58" i="2"/>
  <c r="G59" i="2"/>
  <c r="G60" i="2"/>
  <c r="L483" i="1"/>
  <c r="L484" i="1" s="1"/>
  <c r="G64" i="2" s="1"/>
  <c r="L71" i="2" s="1"/>
  <c r="L469" i="1"/>
  <c r="L470" i="1" s="1"/>
  <c r="G38" i="2" s="1"/>
  <c r="L45" i="2" s="1"/>
  <c r="N751" i="1"/>
  <c r="L259" i="1"/>
  <c r="N259" i="1" s="1"/>
  <c r="L456" i="1"/>
  <c r="E67" i="18" s="1"/>
  <c r="L365" i="1"/>
  <c r="N373" i="1" s="1"/>
  <c r="L351" i="1"/>
  <c r="N358" i="1" s="1"/>
  <c r="N128" i="1"/>
  <c r="N126" i="1"/>
  <c r="N121" i="1"/>
  <c r="N109" i="1"/>
  <c r="N112" i="1"/>
  <c r="L101" i="1"/>
  <c r="L255" i="1"/>
  <c r="G483" i="1"/>
  <c r="G484" i="1" s="1"/>
  <c r="L306" i="1"/>
  <c r="L305" i="1" s="1"/>
  <c r="L143" i="1"/>
  <c r="L144" i="1" s="1"/>
  <c r="G19" i="2" s="1"/>
  <c r="L147" i="1"/>
  <c r="L77" i="1"/>
  <c r="L6" i="7" s="1"/>
  <c r="M6" i="7" s="1"/>
  <c r="Q38" i="2"/>
  <c r="T38" i="2"/>
  <c r="T64" i="2" s="1"/>
  <c r="S19" i="2"/>
  <c r="P56" i="2"/>
  <c r="Q19" i="2"/>
  <c r="P19" i="2"/>
  <c r="M19" i="2"/>
  <c r="J19" i="2"/>
  <c r="T19" i="2"/>
  <c r="N19" i="2"/>
  <c r="K19" i="2"/>
  <c r="H19" i="2"/>
  <c r="G18" i="2"/>
  <c r="G6" i="2"/>
  <c r="G7" i="2"/>
  <c r="G8" i="2"/>
  <c r="G9" i="2"/>
  <c r="G10" i="2"/>
  <c r="G12" i="2"/>
  <c r="G13" i="2"/>
  <c r="G14" i="2"/>
  <c r="G15" i="2"/>
  <c r="L561" i="1"/>
  <c r="L560" i="1" s="1"/>
  <c r="L552" i="1"/>
  <c r="L554" i="1" s="1"/>
  <c r="L542" i="1"/>
  <c r="L541" i="1" s="1"/>
  <c r="L537" i="1"/>
  <c r="L162" i="1"/>
  <c r="L163" i="1" s="1"/>
  <c r="D90" i="18" s="1"/>
  <c r="L522" i="1"/>
  <c r="L521" i="1" s="1"/>
  <c r="L506" i="1"/>
  <c r="M470" i="1"/>
  <c r="M484" i="1" s="1"/>
  <c r="N473" i="1"/>
  <c r="L180" i="1"/>
  <c r="J158" i="1"/>
  <c r="J157" i="1" s="1"/>
  <c r="N135" i="1"/>
  <c r="M20" i="1"/>
  <c r="J21" i="1" s="1"/>
  <c r="E5" i="1"/>
  <c r="D8" i="7"/>
  <c r="D10" i="7" s="1"/>
  <c r="D12" i="7" s="1"/>
  <c r="E8" i="7"/>
  <c r="E10" i="7" s="1"/>
  <c r="E12" i="7"/>
  <c r="E17" i="7" s="1"/>
  <c r="F8" i="7"/>
  <c r="F10" i="7" s="1"/>
  <c r="F12" i="7"/>
  <c r="F17" i="7"/>
  <c r="G8" i="7"/>
  <c r="G10" i="7" s="1"/>
  <c r="G12" i="7"/>
  <c r="G17" i="7"/>
  <c r="H8" i="7"/>
  <c r="H10" i="7" s="1"/>
  <c r="H12" i="7" s="1"/>
  <c r="H17" i="7" s="1"/>
  <c r="I8" i="7"/>
  <c r="I10" i="7" s="1"/>
  <c r="I12" i="7" s="1"/>
  <c r="I17" i="7"/>
  <c r="J8" i="7"/>
  <c r="J10" i="7" s="1"/>
  <c r="J12" i="7" s="1"/>
  <c r="J17" i="7" s="1"/>
  <c r="K8" i="7"/>
  <c r="K10" i="7" s="1"/>
  <c r="K12" i="7" s="1"/>
  <c r="K17" i="7"/>
  <c r="M13" i="7"/>
  <c r="L15" i="7"/>
  <c r="M15" i="7" s="1"/>
  <c r="L16" i="7"/>
  <c r="M16" i="7" s="1"/>
  <c r="L19" i="7"/>
  <c r="M19" i="7" s="1"/>
  <c r="D30" i="7"/>
  <c r="D32" i="7"/>
  <c r="D34" i="7" s="1"/>
  <c r="D39" i="7" s="1"/>
  <c r="E30" i="7"/>
  <c r="E32" i="7"/>
  <c r="E34" i="7" s="1"/>
  <c r="E39" i="7" s="1"/>
  <c r="F30" i="7"/>
  <c r="F32" i="7"/>
  <c r="F34" i="7" s="1"/>
  <c r="F39" i="7" s="1"/>
  <c r="G30" i="7"/>
  <c r="G32" i="7"/>
  <c r="G34" i="7" s="1"/>
  <c r="G39" i="7" s="1"/>
  <c r="H30" i="7"/>
  <c r="H32" i="7"/>
  <c r="H34" i="7"/>
  <c r="H39" i="7" s="1"/>
  <c r="I30" i="7"/>
  <c r="I32" i="7"/>
  <c r="I34" i="7"/>
  <c r="I39" i="7" s="1"/>
  <c r="J30" i="7"/>
  <c r="J32" i="7"/>
  <c r="J34" i="7"/>
  <c r="J39" i="7" s="1"/>
  <c r="K30" i="7"/>
  <c r="K32" i="7"/>
  <c r="K34" i="7" s="1"/>
  <c r="K39" i="7" s="1"/>
  <c r="L33" i="7"/>
  <c r="M33" i="7" s="1"/>
  <c r="M35" i="7"/>
  <c r="L36" i="7"/>
  <c r="M36" i="7" s="1"/>
  <c r="L37" i="7"/>
  <c r="M37" i="7" s="1"/>
  <c r="L38" i="7"/>
  <c r="M38" i="7" s="1"/>
  <c r="I484" i="1"/>
  <c r="I470" i="1"/>
  <c r="N477" i="1"/>
  <c r="N475" i="1"/>
  <c r="N38" i="2"/>
  <c r="K38" i="2"/>
  <c r="H38" i="2"/>
  <c r="P759" i="1"/>
  <c r="P760" i="1"/>
  <c r="P761" i="1"/>
  <c r="P762" i="1"/>
  <c r="P763" i="1"/>
  <c r="P764" i="1"/>
  <c r="P765" i="1"/>
  <c r="P766" i="1"/>
  <c r="P767" i="1"/>
  <c r="P768" i="1"/>
  <c r="P769" i="1"/>
  <c r="P770" i="1"/>
  <c r="P772" i="1"/>
  <c r="P773" i="1"/>
  <c r="P774" i="1"/>
  <c r="P775" i="1"/>
  <c r="P777" i="1"/>
  <c r="P778" i="1"/>
  <c r="P779" i="1"/>
  <c r="J771" i="1"/>
  <c r="J758" i="1" s="1"/>
  <c r="J776" i="1"/>
  <c r="G771" i="1"/>
  <c r="G758" i="1" s="1"/>
  <c r="G776" i="1"/>
  <c r="R756" i="1"/>
  <c r="N750" i="1"/>
  <c r="N748" i="1"/>
  <c r="G600" i="1"/>
  <c r="I600" i="1" s="1"/>
  <c r="N597" i="1"/>
  <c r="Q594" i="1"/>
  <c r="N594" i="1"/>
  <c r="M590" i="1"/>
  <c r="K594" i="1"/>
  <c r="H594" i="1"/>
  <c r="G585" i="1"/>
  <c r="G586" i="1"/>
  <c r="G587" i="1"/>
  <c r="G588" i="1"/>
  <c r="G589" i="1"/>
  <c r="G591" i="1"/>
  <c r="G593" i="1"/>
  <c r="R583" i="1"/>
  <c r="N575" i="1"/>
  <c r="N572" i="1"/>
  <c r="N571" i="1"/>
  <c r="N570" i="1"/>
  <c r="L567" i="1"/>
  <c r="N562" i="1"/>
  <c r="N555" i="1"/>
  <c r="N553" i="1"/>
  <c r="N551" i="1"/>
  <c r="L548" i="1"/>
  <c r="N543" i="1"/>
  <c r="N538" i="1"/>
  <c r="N534" i="1"/>
  <c r="N532" i="1"/>
  <c r="N529" i="1"/>
  <c r="N528" i="1"/>
  <c r="N527" i="1"/>
  <c r="N509" i="1"/>
  <c r="N488" i="1"/>
  <c r="N459" i="1"/>
  <c r="N453" i="1"/>
  <c r="H484" i="1"/>
  <c r="I464" i="1"/>
  <c r="N447" i="1"/>
  <c r="N435" i="1"/>
  <c r="N416" i="1"/>
  <c r="L413" i="1"/>
  <c r="G40" i="18" s="1"/>
  <c r="L411" i="1"/>
  <c r="L409" i="1"/>
  <c r="G37" i="18" s="1"/>
  <c r="L408" i="1"/>
  <c r="G36" i="18" s="1"/>
  <c r="L407" i="1"/>
  <c r="G35" i="18" s="1"/>
  <c r="L406" i="1"/>
  <c r="G34" i="18" s="1"/>
  <c r="L405" i="1"/>
  <c r="G33" i="18" s="1"/>
  <c r="L404" i="1"/>
  <c r="G32" i="18" s="1"/>
  <c r="L403" i="1"/>
  <c r="G31" i="18" s="1"/>
  <c r="L402" i="1"/>
  <c r="G30" i="18" s="1"/>
  <c r="L401" i="1"/>
  <c r="G29" i="18" s="1"/>
  <c r="L400" i="1"/>
  <c r="G28" i="18" s="1"/>
  <c r="L399" i="1"/>
  <c r="G27" i="18" s="1"/>
  <c r="L398" i="1"/>
  <c r="G26" i="18" s="1"/>
  <c r="N396" i="1"/>
  <c r="N376" i="1"/>
  <c r="N371" i="1"/>
  <c r="N370" i="1"/>
  <c r="N369" i="1"/>
  <c r="N368" i="1"/>
  <c r="N356" i="1"/>
  <c r="N355" i="1"/>
  <c r="N354" i="1"/>
  <c r="I305" i="1"/>
  <c r="N304" i="1"/>
  <c r="N303" i="1"/>
  <c r="L298" i="1"/>
  <c r="N283" i="1"/>
  <c r="N282" i="1"/>
  <c r="N278" i="1"/>
  <c r="L273" i="1"/>
  <c r="C59" i="18" s="1"/>
  <c r="F59" i="18" s="1"/>
  <c r="L120" i="1"/>
  <c r="J224" i="1"/>
  <c r="H226" i="1" s="1"/>
  <c r="N226" i="1" s="1"/>
  <c r="J179" i="1"/>
  <c r="N178" i="1"/>
  <c r="N177" i="1"/>
  <c r="J176" i="1"/>
  <c r="N175" i="1"/>
  <c r="N174" i="1"/>
  <c r="I136" i="1"/>
  <c r="M144" i="1"/>
  <c r="L125" i="1"/>
  <c r="N110" i="1"/>
  <c r="L108" i="1"/>
  <c r="M776" i="1"/>
  <c r="M771" i="1"/>
  <c r="M758" i="1" s="1"/>
  <c r="L29" i="7"/>
  <c r="M29" i="7" s="1"/>
  <c r="L234" i="1"/>
  <c r="N234" i="1" s="1"/>
  <c r="J335" i="1"/>
  <c r="N327" i="1"/>
  <c r="A49" i="13"/>
  <c r="N255" i="1"/>
  <c r="R647" i="1"/>
  <c r="A33" i="1"/>
  <c r="A133" i="1" s="1"/>
  <c r="C132" i="16" l="1"/>
  <c r="F131" i="16"/>
  <c r="C130" i="16"/>
  <c r="F130" i="16"/>
  <c r="C129" i="16"/>
  <c r="J131" i="16"/>
  <c r="C131" i="16"/>
  <c r="L533" i="1"/>
  <c r="N535" i="1"/>
  <c r="L7" i="7"/>
  <c r="M7" i="7" s="1"/>
  <c r="M780" i="1"/>
  <c r="G780" i="1"/>
  <c r="L536" i="1"/>
  <c r="L412" i="1"/>
  <c r="G39" i="18" s="1"/>
  <c r="P776" i="1"/>
  <c r="P771" i="1"/>
  <c r="P758" i="1" s="1"/>
  <c r="P780" i="1" s="1"/>
  <c r="F392" i="1"/>
  <c r="C39" i="18" s="1"/>
  <c r="H39" i="18" s="1"/>
  <c r="K39" i="18" s="1"/>
  <c r="G62" i="2"/>
  <c r="L70" i="2" s="1"/>
  <c r="A753" i="1"/>
  <c r="F77" i="18"/>
  <c r="F67" i="18"/>
  <c r="J67" i="18" s="1"/>
  <c r="J161" i="1"/>
  <c r="J160" i="1" s="1"/>
  <c r="L240" i="1"/>
  <c r="L233" i="1"/>
  <c r="L68" i="2"/>
  <c r="N68" i="2" s="1"/>
  <c r="L42" i="2"/>
  <c r="N42" i="2" s="1"/>
  <c r="C70" i="18"/>
  <c r="F70" i="18" s="1"/>
  <c r="J70" i="18" s="1"/>
  <c r="L500" i="1"/>
  <c r="N500" i="1" s="1"/>
  <c r="L81" i="1"/>
  <c r="L83" i="1" s="1"/>
  <c r="L10" i="7" s="1"/>
  <c r="M10" i="7" s="1"/>
  <c r="L241" i="1"/>
  <c r="L505" i="1"/>
  <c r="L526" i="1"/>
  <c r="L146" i="1"/>
  <c r="L30" i="7"/>
  <c r="M30" i="7" s="1"/>
  <c r="L111" i="1"/>
  <c r="N97" i="1"/>
  <c r="D88" i="18"/>
  <c r="C61" i="18"/>
  <c r="D59" i="18" s="1"/>
  <c r="A393" i="13"/>
  <c r="A135" i="13"/>
  <c r="M123" i="16"/>
  <c r="M15" i="16"/>
  <c r="K14" i="16" s="1"/>
  <c r="A92" i="13"/>
  <c r="M21" i="16"/>
  <c r="M81" i="16"/>
  <c r="A350" i="13"/>
  <c r="A178" i="13"/>
  <c r="N753" i="1"/>
  <c r="A6" i="13"/>
  <c r="A264" i="13"/>
  <c r="A307" i="13"/>
  <c r="M111" i="16"/>
  <c r="M51" i="16"/>
  <c r="M105" i="16"/>
  <c r="M69" i="16"/>
  <c r="M99" i="16"/>
  <c r="M39" i="16"/>
  <c r="M117" i="16"/>
  <c r="M27" i="16"/>
  <c r="M33" i="16"/>
  <c r="M87" i="16"/>
  <c r="M93" i="16"/>
  <c r="A20" i="2"/>
  <c r="A1" i="16"/>
  <c r="A664" i="1"/>
  <c r="A66" i="1"/>
  <c r="A462" i="1"/>
  <c r="A746" i="1"/>
  <c r="A46" i="2"/>
  <c r="A530" i="1"/>
  <c r="A601" i="1"/>
  <c r="A284" i="1"/>
  <c r="A242" i="1"/>
  <c r="A374" i="1"/>
  <c r="A446" i="1"/>
  <c r="A414" i="1"/>
  <c r="A203" i="1"/>
  <c r="A705" i="1"/>
  <c r="A569" i="1"/>
  <c r="A345" i="1"/>
  <c r="A632" i="1"/>
  <c r="A486" i="1"/>
  <c r="A94" i="1"/>
  <c r="A507" i="1"/>
  <c r="A310" i="1"/>
  <c r="A1" i="12"/>
  <c r="D17" i="7"/>
  <c r="L254" i="1"/>
  <c r="K1" i="13"/>
  <c r="G16" i="2"/>
  <c r="G17" i="2" s="1"/>
  <c r="G36" i="2"/>
  <c r="L44" i="2" s="1"/>
  <c r="J780" i="1"/>
  <c r="A262" i="1"/>
  <c r="A181" i="1"/>
  <c r="A1" i="13"/>
  <c r="A72" i="2"/>
  <c r="A784" i="1"/>
  <c r="A550" i="1"/>
  <c r="A1" i="2"/>
  <c r="M9" i="16"/>
  <c r="K8" i="16" s="1"/>
  <c r="M75" i="16"/>
  <c r="M57" i="16"/>
  <c r="M63" i="16"/>
  <c r="M45" i="16"/>
  <c r="C36" i="16" l="1"/>
  <c r="J35" i="16"/>
  <c r="F35" i="16"/>
  <c r="K32" i="16"/>
  <c r="F34" i="16"/>
  <c r="C33" i="16"/>
  <c r="C35" i="16"/>
  <c r="C34" i="16"/>
  <c r="K98" i="16"/>
  <c r="J101" i="16"/>
  <c r="C101" i="16"/>
  <c r="F101" i="16"/>
  <c r="F100" i="16"/>
  <c r="C102" i="16"/>
  <c r="C100" i="16"/>
  <c r="C99" i="16"/>
  <c r="F112" i="16"/>
  <c r="C111" i="16"/>
  <c r="C114" i="16"/>
  <c r="J113" i="16"/>
  <c r="C113" i="16"/>
  <c r="K110" i="16"/>
  <c r="F113" i="16"/>
  <c r="C112" i="16"/>
  <c r="F23" i="16"/>
  <c r="C22" i="16"/>
  <c r="F22" i="16"/>
  <c r="C24" i="16"/>
  <c r="J23" i="16"/>
  <c r="C23" i="16"/>
  <c r="K20" i="16"/>
  <c r="C21" i="16"/>
  <c r="F64" i="16"/>
  <c r="C63" i="16"/>
  <c r="K62" i="16"/>
  <c r="J65" i="16"/>
  <c r="F65" i="16"/>
  <c r="C64" i="16"/>
  <c r="C66" i="16"/>
  <c r="C65" i="16"/>
  <c r="K26" i="16"/>
  <c r="J29" i="16"/>
  <c r="C29" i="16"/>
  <c r="F29" i="16"/>
  <c r="F28" i="16"/>
  <c r="C30" i="16"/>
  <c r="C28" i="16"/>
  <c r="C27" i="16"/>
  <c r="F71" i="16"/>
  <c r="C70" i="16"/>
  <c r="C69" i="16"/>
  <c r="J71" i="16"/>
  <c r="C71" i="16"/>
  <c r="K68" i="16"/>
  <c r="F70" i="16"/>
  <c r="C72" i="16"/>
  <c r="C60" i="16"/>
  <c r="J59" i="16"/>
  <c r="F59" i="16"/>
  <c r="K56" i="16"/>
  <c r="F58" i="16"/>
  <c r="C57" i="16"/>
  <c r="C59" i="16"/>
  <c r="C58" i="16"/>
  <c r="K104" i="16"/>
  <c r="C108" i="16"/>
  <c r="F107" i="16"/>
  <c r="F106" i="16"/>
  <c r="C105" i="16"/>
  <c r="J107" i="16"/>
  <c r="C107" i="16"/>
  <c r="C106" i="16"/>
  <c r="F47" i="16"/>
  <c r="C46" i="16"/>
  <c r="C45" i="16"/>
  <c r="J47" i="16"/>
  <c r="C47" i="16"/>
  <c r="K44" i="16"/>
  <c r="F46" i="16"/>
  <c r="C48" i="16"/>
  <c r="F95" i="16"/>
  <c r="C94" i="16"/>
  <c r="F88" i="16"/>
  <c r="C87" i="16"/>
  <c r="F94" i="16"/>
  <c r="C90" i="16"/>
  <c r="C96" i="16"/>
  <c r="J95" i="16"/>
  <c r="C95" i="16"/>
  <c r="F89" i="16"/>
  <c r="C88" i="16"/>
  <c r="K92" i="16"/>
  <c r="C93" i="16"/>
  <c r="K86" i="16"/>
  <c r="J89" i="16"/>
  <c r="C89" i="16"/>
  <c r="F119" i="16"/>
  <c r="C118" i="16"/>
  <c r="K116" i="16"/>
  <c r="J119" i="16"/>
  <c r="C119" i="16"/>
  <c r="F118" i="16"/>
  <c r="C117" i="16"/>
  <c r="C120" i="16"/>
  <c r="K74" i="16"/>
  <c r="J77" i="16"/>
  <c r="C77" i="16"/>
  <c r="C76" i="16"/>
  <c r="C75" i="16"/>
  <c r="C78" i="16"/>
  <c r="F77" i="16"/>
  <c r="F76" i="16"/>
  <c r="F40" i="16"/>
  <c r="C39" i="16"/>
  <c r="K38" i="16"/>
  <c r="J41" i="16"/>
  <c r="F41" i="16"/>
  <c r="C40" i="16"/>
  <c r="C42" i="16"/>
  <c r="C41" i="16"/>
  <c r="K50" i="16"/>
  <c r="C54" i="16"/>
  <c r="F53" i="16"/>
  <c r="C53" i="16"/>
  <c r="F52" i="16"/>
  <c r="C52" i="16"/>
  <c r="C51" i="16"/>
  <c r="J53" i="16"/>
  <c r="C84" i="16"/>
  <c r="C83" i="16"/>
  <c r="F83" i="16"/>
  <c r="K80" i="16"/>
  <c r="F82" i="16"/>
  <c r="C81" i="16"/>
  <c r="J83" i="16"/>
  <c r="C82" i="16"/>
  <c r="K128" i="16"/>
  <c r="J125" i="16"/>
  <c r="C125" i="16"/>
  <c r="K122" i="16"/>
  <c r="C124" i="16"/>
  <c r="F124" i="16"/>
  <c r="C123" i="16"/>
  <c r="C126" i="16"/>
  <c r="F125" i="16"/>
  <c r="J11" i="16"/>
  <c r="C11" i="16"/>
  <c r="F11" i="16"/>
  <c r="C10" i="16"/>
  <c r="F10" i="16"/>
  <c r="C9" i="16"/>
  <c r="C12" i="16"/>
  <c r="C18" i="16"/>
  <c r="J17" i="16"/>
  <c r="C17" i="16"/>
  <c r="F17" i="16"/>
  <c r="C16" i="16"/>
  <c r="F16" i="16"/>
  <c r="C15" i="16"/>
  <c r="L8" i="7"/>
  <c r="M8" i="7" s="1"/>
  <c r="R780" i="1"/>
  <c r="F76" i="18"/>
  <c r="L85" i="1"/>
  <c r="L12" i="7" s="1"/>
  <c r="M12" i="7" s="1"/>
  <c r="N521" i="1"/>
  <c r="H76" i="18"/>
  <c r="F80" i="18"/>
  <c r="H79" i="18" s="1"/>
  <c r="N233" i="1"/>
  <c r="L153" i="1"/>
  <c r="N180" i="1"/>
  <c r="L10" i="11"/>
  <c r="L113" i="1"/>
  <c r="L32" i="7"/>
  <c r="M32" i="7" s="1"/>
  <c r="D60" i="18"/>
  <c r="A176" i="13"/>
  <c r="A219" i="13"/>
  <c r="A262" i="13"/>
  <c r="A348" i="13"/>
  <c r="A305" i="13"/>
  <c r="A90" i="13"/>
  <c r="A133" i="13"/>
  <c r="A391" i="13"/>
  <c r="A47" i="13"/>
  <c r="L90" i="1" l="1"/>
  <c r="L17" i="7" s="1"/>
  <c r="M17" i="7" s="1"/>
  <c r="J337" i="1"/>
  <c r="D89" i="18"/>
  <c r="L322" i="1"/>
  <c r="L28" i="7"/>
  <c r="M28" i="7" s="1"/>
  <c r="I288" i="1"/>
  <c r="L339" i="1"/>
  <c r="J320" i="1"/>
  <c r="N163" i="1"/>
  <c r="L200" i="1"/>
  <c r="J321" i="1"/>
  <c r="J338" i="1"/>
  <c r="I289" i="1"/>
  <c r="L129" i="1"/>
  <c r="L131" i="1" s="1"/>
  <c r="L39" i="7" s="1"/>
  <c r="M39" i="7" s="1"/>
  <c r="L34" i="7"/>
  <c r="M34" i="7" s="1"/>
  <c r="H187" i="1" l="1"/>
  <c r="H186" i="1" s="1"/>
  <c r="L11" i="11" s="1"/>
  <c r="H190" i="1"/>
  <c r="H189" i="1" s="1"/>
  <c r="L12" i="11" s="1"/>
  <c r="J324" i="1"/>
  <c r="J323" i="1"/>
  <c r="J236" i="1"/>
  <c r="J235" i="1" s="1"/>
  <c r="L14" i="11" s="1"/>
  <c r="J325" i="1"/>
  <c r="J326" i="1"/>
  <c r="J340" i="1"/>
  <c r="J342" i="1"/>
  <c r="J343" i="1"/>
  <c r="J341" i="1"/>
  <c r="L199" i="1"/>
  <c r="N199" i="1" s="1"/>
  <c r="D91" i="18"/>
  <c r="A85" i="18" s="1"/>
  <c r="I298" i="1"/>
  <c r="A27" i="1" l="1"/>
  <c r="N27" i="1" s="1"/>
  <c r="J232" i="1"/>
  <c r="J231" i="1" s="1"/>
  <c r="N231" i="1" s="1"/>
  <c r="H212" i="1"/>
  <c r="H211" i="1" s="1"/>
  <c r="L16" i="11" s="1"/>
  <c r="L13" i="11"/>
  <c r="J229" i="1"/>
  <c r="J228" i="1" s="1"/>
  <c r="N232" i="1"/>
  <c r="H209" i="1"/>
  <c r="H208" i="1" s="1"/>
  <c r="L15" i="11" s="1"/>
  <c r="L17" i="11" l="1"/>
  <c r="L18" i="11" s="1"/>
  <c r="L19"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jpeters</author>
    <author>lhovila</author>
  </authors>
  <commentList>
    <comment ref="B80" authorId="0" shapeId="0" xr:uid="{00000000-0006-0000-0100-000001000000}">
      <text>
        <r>
          <rPr>
            <b/>
            <sz val="10"/>
            <color indexed="81"/>
            <rFont val="Arial"/>
            <family val="2"/>
          </rPr>
          <t>Please ensure Bad Debt is included in Adjustments.  Bad Debt rules have changed and should no longer be reported as part of Total Operating Expenses.</t>
        </r>
        <r>
          <rPr>
            <sz val="10"/>
            <color indexed="81"/>
            <rFont val="Arial"/>
            <family val="2"/>
          </rPr>
          <t xml:space="preserve">
</t>
        </r>
      </text>
    </comment>
    <comment ref="B82" authorId="0" shapeId="0" xr:uid="{00000000-0006-0000-0100-000002000000}">
      <text>
        <r>
          <rPr>
            <b/>
            <sz val="10"/>
            <color indexed="81"/>
            <rFont val="Arial"/>
            <family val="2"/>
          </rPr>
          <t xml:space="preserve">Investment Income should NOT be reported in Operating Revenue.  Please reclass any income from investments to Non-Operating Revenue
</t>
        </r>
      </text>
    </comment>
    <comment ref="B100" authorId="0" shapeId="0" xr:uid="{00000000-0006-0000-0100-000003000000}">
      <text>
        <r>
          <rPr>
            <b/>
            <sz val="10"/>
            <color indexed="81"/>
            <rFont val="Arial"/>
            <family val="2"/>
          </rPr>
          <t>Bad Debt rules have changed and should no longer be reported as part of Total Operating Expenses.</t>
        </r>
        <r>
          <rPr>
            <sz val="10"/>
            <color indexed="81"/>
            <rFont val="Arial"/>
            <family val="2"/>
          </rPr>
          <t xml:space="preserve">
</t>
        </r>
      </text>
    </comment>
    <comment ref="B109" authorId="0" shapeId="0" xr:uid="{00000000-0006-0000-0100-000004000000}">
      <text>
        <r>
          <rPr>
            <b/>
            <sz val="10"/>
            <color indexed="81"/>
            <rFont val="Arial"/>
            <family val="2"/>
          </rPr>
          <t xml:space="preserve">Investment Income should NOT be reported in Operating Revenue.  Please reclass any income from investments to Non-Operating Revenue
</t>
        </r>
      </text>
    </comment>
    <comment ref="B221" authorId="0" shapeId="0" xr:uid="{00000000-0006-0000-0100-000005000000}">
      <text>
        <r>
          <rPr>
            <sz val="10"/>
            <color indexed="81"/>
            <rFont val="Arial"/>
            <family val="2"/>
          </rPr>
          <t>Pursuant to Minnesota Statutes Section 62J.321, subdivision 5, the information provided in this account is classified as non-public.</t>
        </r>
        <r>
          <rPr>
            <sz val="8"/>
            <color indexed="81"/>
            <rFont val="Tahoma"/>
            <family val="2"/>
          </rPr>
          <t xml:space="preserve">
</t>
        </r>
      </text>
    </comment>
    <comment ref="A390" authorId="1" shapeId="0" xr:uid="{00000000-0006-0000-0100-000006000000}">
      <text>
        <r>
          <rPr>
            <b/>
            <sz val="9"/>
            <color indexed="81"/>
            <rFont val="Tahoma"/>
            <family val="2"/>
          </rPr>
          <t>This classification includes all direct patient care related specialists. For more detail, please see page 30 of the HAR Instructions.</t>
        </r>
      </text>
    </comment>
    <comment ref="A410" authorId="1" shapeId="0" xr:uid="{00000000-0006-0000-0100-000007000000}">
      <text>
        <r>
          <rPr>
            <b/>
            <sz val="9"/>
            <color indexed="81"/>
            <rFont val="Tahoma"/>
            <family val="2"/>
          </rPr>
          <t>This classification includes all direct patient care related specialists. For more detail, please see page 30 of the HAR Instructions.</t>
        </r>
      </text>
    </comment>
    <comment ref="A430" authorId="1" shapeId="0" xr:uid="{00000000-0006-0000-0100-000008000000}">
      <text>
        <r>
          <rPr>
            <b/>
            <sz val="9"/>
            <color indexed="81"/>
            <rFont val="Tahoma"/>
            <family val="2"/>
          </rPr>
          <t>This classification includes all direct patient care related specialists. For more detail, please see page 30 of the HAR Instructions.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Nicholas Johnston</author>
  </authors>
  <commentList>
    <comment ref="N4" authorId="0" shapeId="0" xr:uid="{1C8848D5-B731-4F69-BC4F-A5C5B424F8C4}">
      <text>
        <r>
          <rPr>
            <b/>
            <sz val="9"/>
            <color indexed="81"/>
            <rFont val="Tahoma"/>
            <family val="2"/>
          </rPr>
          <t xml:space="preserve">MHA: 
</t>
        </r>
        <r>
          <rPr>
            <sz val="9"/>
            <color indexed="81"/>
            <rFont val="Tahoma"/>
            <family val="2"/>
          </rPr>
          <t>In the case of RHCs, please select "207 - Clinic Charges"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Nicholas Johnston</author>
  </authors>
  <commentList>
    <comment ref="M25" authorId="0" shapeId="0" xr:uid="{BB6BFA70-E424-4D31-BA96-7DEC029961B7}">
      <text>
        <r>
          <rPr>
            <b/>
            <sz val="9"/>
            <color indexed="81"/>
            <rFont val="Tahoma"/>
            <family val="2"/>
          </rPr>
          <t>MHA:</t>
        </r>
        <r>
          <rPr>
            <sz val="9"/>
            <color indexed="81"/>
            <rFont val="Tahoma"/>
            <family val="2"/>
          </rPr>
          <t xml:space="preserve">
Significant means an increase or decrease of more than 15%</t>
        </r>
      </text>
    </comment>
    <comment ref="L66" authorId="0" shapeId="0" xr:uid="{7C9B7CDD-15B3-45CB-9F78-A5B26DA27FD1}">
      <text>
        <r>
          <rPr>
            <b/>
            <sz val="9"/>
            <color indexed="81"/>
            <rFont val="Tahoma"/>
            <family val="2"/>
          </rPr>
          <t>MHA:</t>
        </r>
        <r>
          <rPr>
            <sz val="9"/>
            <color indexed="81"/>
            <rFont val="Tahoma"/>
            <family val="2"/>
          </rPr>
          <t xml:space="preserve">
Significant means an increase or decrease of more than 20%</t>
        </r>
      </text>
    </comment>
  </commentList>
</comments>
</file>

<file path=xl/sharedStrings.xml><?xml version="1.0" encoding="utf-8"?>
<sst xmlns="http://schemas.openxmlformats.org/spreadsheetml/2006/main" count="13795" uniqueCount="3529">
  <si>
    <t>Items on this worksheet are for your reference and to be used as an aid in completing the formset.</t>
  </si>
  <si>
    <t>If your reported amounts do not fall within the stated ranges, you may be contacted by MHA for corrections.</t>
  </si>
  <si>
    <t>Contractual %</t>
  </si>
  <si>
    <t>A brief description of the type of care provided to patients in swing beds:  Non-Acute skilled nursing care such as, but no restricted to, IV Meds, Physical Therapy, Bandage Change, or Lab work primarily for Medicare patients.</t>
  </si>
  <si>
    <t>Average Daily Number of Swing Beds.  Calculation:  (4034/365 days)</t>
  </si>
  <si>
    <t>Medicare Reimbursed Swing Bed Patient Days</t>
  </si>
  <si>
    <t>Medicaid Reimbursed Swing Bed Patient Days</t>
  </si>
  <si>
    <t>Total Swing Bed Patient Days (ties to 7156)</t>
  </si>
  <si>
    <t>Admissions from this Hospital</t>
  </si>
  <si>
    <t>Admissions from Another Hospital</t>
  </si>
  <si>
    <t>Swing Bed Re-Admissions (within 60 days of discharge)</t>
  </si>
  <si>
    <t>Total Swing Bed Admissions (ties to 7177)</t>
  </si>
  <si>
    <t>Discharges to Another Unit in this Hospital</t>
  </si>
  <si>
    <t>Discharges to a Nursing Home</t>
  </si>
  <si>
    <t>Discharges to Home</t>
  </si>
  <si>
    <t>Deaths</t>
  </si>
  <si>
    <t>All Other Discharges</t>
  </si>
  <si>
    <t>Total Swing Bed Discharges</t>
  </si>
  <si>
    <t>Total Subacute/Transitional Care Patient Days (ties to 7157)</t>
  </si>
  <si>
    <t>Average Number of Subacute/Transitional Care Beds.  Calculation:  (4037/365 days)</t>
  </si>
  <si>
    <t>Admissions from a Nursing Home</t>
  </si>
  <si>
    <t>Admissions from Home</t>
  </si>
  <si>
    <t>All Other Sources of Admission</t>
  </si>
  <si>
    <t>Total Subacute/Transitional Care Admissions (ties to 7178)</t>
  </si>
  <si>
    <t>Discharges to a Nursing Home (Attached or Other)</t>
  </si>
  <si>
    <t>Total Subacute/Transitional Care Discharges</t>
  </si>
  <si>
    <t>If there was a permanent change in the number of licensed hospital beds or licensed bassinets during the reporting period, list the type of change (licensed bed or bassinet), the number of beds added or withdrawn (show increase by + and decrease by -), and dates of change.</t>
  </si>
  <si>
    <t>Type of Change (Bed or Bassinet)</t>
  </si>
  <si>
    <t>Change</t>
  </si>
  <si>
    <t>Date of Change</t>
  </si>
  <si>
    <t>Example:  Bed</t>
  </si>
  <si>
    <t>- 4</t>
  </si>
  <si>
    <t>Example:  Bassinet</t>
  </si>
  <si>
    <t>+3</t>
  </si>
  <si>
    <r>
      <t xml:space="preserve">This section is for Available Beds only.  Identify the categories where your facility has a </t>
    </r>
    <r>
      <rPr>
        <b/>
        <i/>
        <sz val="10"/>
        <color indexed="16"/>
        <rFont val="Arial"/>
        <family val="2"/>
      </rPr>
      <t>dedicated</t>
    </r>
    <r>
      <rPr>
        <b/>
        <sz val="10"/>
        <color indexed="16"/>
        <rFont val="Arial"/>
        <family val="2"/>
      </rPr>
      <t xml:space="preserve"> specialty unit.  Reporting this information is required by Minnesota Statutes, section 144.698, subdivision 1.</t>
    </r>
  </si>
  <si>
    <t>Category</t>
  </si>
  <si>
    <t>Total Available</t>
  </si>
  <si>
    <t>Adult ICU</t>
  </si>
  <si>
    <t>Adult Non-ICU</t>
  </si>
  <si>
    <t>Pediatric</t>
  </si>
  <si>
    <t>Med/Surg Available Beds</t>
  </si>
  <si>
    <t>Cardiac Available Beds</t>
  </si>
  <si>
    <t>Chemical Dependency Available Beds</t>
  </si>
  <si>
    <t xml:space="preserve">Mental Health (Psychiatric) Available Beds </t>
  </si>
  <si>
    <t>Neurology Available Beds</t>
  </si>
  <si>
    <t>Obstetrics Available Beds</t>
  </si>
  <si>
    <t>Orthopedic Available Beds</t>
  </si>
  <si>
    <t>Rehabilitation Available Beds</t>
  </si>
  <si>
    <t xml:space="preserve">Other Specialty Available Beds </t>
  </si>
  <si>
    <t>Total Available Beds</t>
  </si>
  <si>
    <t xml:space="preserve">This section is for Available Bassinets only. </t>
  </si>
  <si>
    <r>
      <t xml:space="preserve">Total Neonatal Acute Care Available </t>
    </r>
    <r>
      <rPr>
        <b/>
        <i/>
        <sz val="10"/>
        <rFont val="Arial"/>
        <family val="2"/>
      </rPr>
      <t>Bassinets</t>
    </r>
  </si>
  <si>
    <r>
      <t xml:space="preserve">Total Routine Nursery Non-Acute Care Available </t>
    </r>
    <r>
      <rPr>
        <b/>
        <i/>
        <sz val="10"/>
        <rFont val="Arial"/>
        <family val="2"/>
      </rPr>
      <t>Bassinets</t>
    </r>
  </si>
  <si>
    <r>
      <t xml:space="preserve">Total Available </t>
    </r>
    <r>
      <rPr>
        <b/>
        <i/>
        <sz val="10"/>
        <rFont val="Arial"/>
        <family val="2"/>
      </rPr>
      <t>Bassinets</t>
    </r>
  </si>
  <si>
    <t>GENERAL SERVICES</t>
  </si>
  <si>
    <t>Abortion Services (Inpatient)</t>
  </si>
  <si>
    <t>Abortion Services (Outpatient)</t>
  </si>
  <si>
    <t>Cardiac Catheterization Services</t>
  </si>
  <si>
    <t>Chemical Dependency Treatment (Outpatient)</t>
  </si>
  <si>
    <t>Detoxification Services</t>
  </si>
  <si>
    <t>Electroencephalography</t>
  </si>
  <si>
    <t>Extracorporeal Shock Wave Lithotripter (ESWL)</t>
  </si>
  <si>
    <t>Number of Fixed ESWL Scanners</t>
  </si>
  <si>
    <t>Number of Mobile ESWL Scanners</t>
  </si>
  <si>
    <t>Total Number of ESWL Scanners</t>
  </si>
  <si>
    <t>Number of Inpatient Treatments</t>
  </si>
  <si>
    <r>
      <t xml:space="preserve">This worksheet is </t>
    </r>
    <r>
      <rPr>
        <b/>
        <u/>
        <sz val="10"/>
        <color indexed="16"/>
        <rFont val="Arial"/>
        <family val="2"/>
      </rPr>
      <t>STRICTLY</t>
    </r>
    <r>
      <rPr>
        <b/>
        <sz val="10"/>
        <color indexed="16"/>
        <rFont val="Arial"/>
        <family val="2"/>
      </rPr>
      <t xml:space="preserve"> an estimate of the Medical Care Surcharge, and in no way explicitly or implicitly indicates the final amount that may be determined by the Minnesota Department of Human Services (DHS).  DHS is the </t>
    </r>
    <r>
      <rPr>
        <b/>
        <u/>
        <sz val="10"/>
        <color indexed="16"/>
        <rFont val="Arial"/>
        <family val="2"/>
      </rPr>
      <t>sole</t>
    </r>
    <r>
      <rPr>
        <b/>
        <sz val="10"/>
        <color indexed="16"/>
        <rFont val="Arial"/>
        <family val="2"/>
      </rPr>
      <t xml:space="preserve"> determiner of your hospital's medical care surcharge obligation, and reserves all rights regarding your hospital's surcharge obligations.  This worksheet is strictly to be used to give guidance and assistance in the ACCURATE completion of the HAR, and any other use is strictly prohibited.  Use of this estimation tool to manipulate your hospital's surcharge obligation constitutes tax fraud, and known instances of manipulation </t>
    </r>
    <r>
      <rPr>
        <b/>
        <u/>
        <sz val="10"/>
        <color indexed="16"/>
        <rFont val="Arial"/>
        <family val="2"/>
      </rPr>
      <t>will</t>
    </r>
    <r>
      <rPr>
        <b/>
        <sz val="10"/>
        <color indexed="16"/>
        <rFont val="Arial"/>
        <family val="2"/>
      </rPr>
      <t xml:space="preserve"> be prosecuted to the fullest extent of the law.  </t>
    </r>
  </si>
  <si>
    <t>Verification of the HAR Data Elements involved in the calculation of the 
Medical Care Surcharge</t>
  </si>
  <si>
    <t>·        Quality assurance and utilization management program or activity:  All costs associated with any activities or programs established for the purpose of quality of care evaluation and utilization management. Activities include quality assurance, development of practice protocols, utilization review, peer review, provider credentialing, and all other medical care evaluation activities.</t>
  </si>
  <si>
    <t>·        Community and wellness education:  All the costs related to wellness programs, health promotion, community education classes, support groups, and other outreach programs and health screening included in a specific community or wellness education cost center or reclassified from other cost centers.  Community and wellness education expenses does not include patient education programs.</t>
  </si>
  <si>
    <t>·        Promotion and marketing:  All costs related to marketing, promotion, and advertising activities such as billboards, yellow page listing, cost of materials, advertising agency fees, marketing representative wages and fringe benefits, travel, and other expenses allocated to the promotion and marketing activities.  Promotion and marketing expenses does not include costs charged to other departments within the hospital.</t>
  </si>
  <si>
    <t>·        Taxes, fees, and assessments:  The direct payments made to government agencies including property taxes; medical care surcharge; MinnesotaCare tax; unrelated business income taxes; any assessments imposed by local, state, or federal jurisdiction; all fees associated with the facility's new or renewal certification with state or federal regulatory agencies, including fees associated with joint Commission on Accreditation of Healthcare Organizations (JCAHO) accreditation; and any fees or fines paid to government agencies for examinations related to regulation.</t>
  </si>
  <si>
    <t>Financial, Utilization, and Services Data</t>
  </si>
  <si>
    <t>Complete this page, print it, and have it signed.</t>
  </si>
  <si>
    <t>Hospital Identification</t>
  </si>
  <si>
    <t>HCCIS ID</t>
  </si>
  <si>
    <t>NPI</t>
  </si>
  <si>
    <t>Please provide the National Provider Identifier for the acute care facility of the hospital</t>
  </si>
  <si>
    <t>Hospital Name</t>
  </si>
  <si>
    <t>Address</t>
  </si>
  <si>
    <t xml:space="preserve">Date Filed </t>
  </si>
  <si>
    <t>P.O. Box</t>
  </si>
  <si>
    <t>Date Revised</t>
  </si>
  <si>
    <t>City</t>
  </si>
  <si>
    <t>Fiscal Year</t>
  </si>
  <si>
    <t>Zip Code</t>
  </si>
  <si>
    <t>County</t>
  </si>
  <si>
    <t>Number of Months in Reporting Year</t>
  </si>
  <si>
    <t>Facility Phone #</t>
  </si>
  <si>
    <t>Critical Access Hospital (CAH) Status</t>
  </si>
  <si>
    <t>Facility Fax #</t>
  </si>
  <si>
    <t>Yes</t>
  </si>
  <si>
    <t>No</t>
  </si>
  <si>
    <t>Administrator's Name</t>
  </si>
  <si>
    <t>Administrator's Title</t>
  </si>
  <si>
    <t>Administrator's 
e-mail address</t>
  </si>
  <si>
    <t>CFO's Name</t>
  </si>
  <si>
    <t>Hospital's Website 
Address</t>
  </si>
  <si>
    <t>System Affiliation:  Name of system(s), e.g., Allina, Fairview,</t>
  </si>
  <si>
    <t>Check Type of Affiliation(s):</t>
  </si>
  <si>
    <t>Own</t>
  </si>
  <si>
    <t>Manage</t>
  </si>
  <si>
    <t>Lease</t>
  </si>
  <si>
    <t>N/A</t>
  </si>
  <si>
    <t>Emergency Department Physician Director (full name)</t>
  </si>
  <si>
    <t>This certification must be signed by an officer of the hospital, such as the Administrator, CEO, CFO, etc.</t>
  </si>
  <si>
    <r>
      <t xml:space="preserve">Certification Statement:  </t>
    </r>
    <r>
      <rPr>
        <sz val="10"/>
        <color indexed="16"/>
        <rFont val="Arial"/>
        <family val="2"/>
      </rPr>
      <t>I hereby certify that I have examined the accompanying Hospital Annual Report and to the best of my knowledge, the information herein is accurate.</t>
    </r>
  </si>
  <si>
    <t>Signed</t>
  </si>
  <si>
    <t>Printed Name</t>
  </si>
  <si>
    <t>Position</t>
  </si>
  <si>
    <t>Date</t>
  </si>
  <si>
    <t>Contact Information</t>
  </si>
  <si>
    <t>Preparer</t>
  </si>
  <si>
    <t>Name of person completing this form</t>
  </si>
  <si>
    <t>Title</t>
  </si>
  <si>
    <t>Steve</t>
  </si>
  <si>
    <t>President</t>
  </si>
  <si>
    <t>Mark</t>
  </si>
  <si>
    <t>Reimbursement Analyst</t>
  </si>
  <si>
    <t>Minneapolis</t>
  </si>
  <si>
    <t>Hennepin</t>
  </si>
  <si>
    <t>Trisha</t>
  </si>
  <si>
    <t>Schirmers</t>
  </si>
  <si>
    <t>trisha.schirmers@allina.com</t>
  </si>
  <si>
    <t>Mail Route 10809</t>
  </si>
  <si>
    <t>MINNEAPOLIS</t>
  </si>
  <si>
    <t>BURNSVILLE</t>
  </si>
  <si>
    <t>DAKOTA</t>
  </si>
  <si>
    <t>Gary</t>
  </si>
  <si>
    <t>HENNEPIN</t>
  </si>
  <si>
    <t>www.fairview.org</t>
  </si>
  <si>
    <t>Cambridge Medical Center</t>
  </si>
  <si>
    <t>CAMBRIDGE</t>
  </si>
  <si>
    <t>ISANTI</t>
  </si>
  <si>
    <t>Laura</t>
  </si>
  <si>
    <t>CANBY</t>
  </si>
  <si>
    <t>YELLOW MEDICINE</t>
  </si>
  <si>
    <t>Allison Nelson</t>
  </si>
  <si>
    <t>Senior Accountant</t>
  </si>
  <si>
    <t>Dr. Maritza Lopez</t>
  </si>
  <si>
    <t>CANNON FALLS</t>
  </si>
  <si>
    <t>GOODHUE</t>
  </si>
  <si>
    <t>Jeff</t>
  </si>
  <si>
    <t>CLOQUET</t>
  </si>
  <si>
    <t>CARLTON</t>
  </si>
  <si>
    <t>Rick</t>
  </si>
  <si>
    <t>Breuer</t>
  </si>
  <si>
    <t>Brad Anderson</t>
  </si>
  <si>
    <t>Director of Accounting</t>
  </si>
  <si>
    <t>COOK</t>
  </si>
  <si>
    <t>Kaylee</t>
  </si>
  <si>
    <t>Hoard</t>
  </si>
  <si>
    <t>www.cookhospital.org</t>
  </si>
  <si>
    <t>Mercy Hospital</t>
  </si>
  <si>
    <t>COON RAPIDS</t>
  </si>
  <si>
    <t>Tom</t>
  </si>
  <si>
    <t>CROOKSTON</t>
  </si>
  <si>
    <t>POLK</t>
  </si>
  <si>
    <t>Crookston</t>
  </si>
  <si>
    <t>www.riverhealth.org</t>
  </si>
  <si>
    <t>Cuyuna Regional Medical Center</t>
  </si>
  <si>
    <t>CROSBY</t>
  </si>
  <si>
    <t>Bauer</t>
  </si>
  <si>
    <t>Crosby</t>
  </si>
  <si>
    <t>www.cuyunamed.org</t>
  </si>
  <si>
    <t>Johnson Memorial Health Services</t>
  </si>
  <si>
    <t>DAWSON</t>
  </si>
  <si>
    <t>LAC QUI PARLE</t>
  </si>
  <si>
    <t>Stacy</t>
  </si>
  <si>
    <t>Lee</t>
  </si>
  <si>
    <t>DEER RIVER</t>
  </si>
  <si>
    <t>DULUTH</t>
  </si>
  <si>
    <t>DETROIT LAKES</t>
  </si>
  <si>
    <t>BECKER</t>
  </si>
  <si>
    <t>St. Mary's Medical Center</t>
  </si>
  <si>
    <t>MONTEVIDEO</t>
  </si>
  <si>
    <t>CHIPPEWA</t>
  </si>
  <si>
    <t>Paulson</t>
  </si>
  <si>
    <t>www.montevideomedical.com</t>
  </si>
  <si>
    <t>MONTICELLO</t>
  </si>
  <si>
    <t>Chief Financial Officer</t>
  </si>
  <si>
    <t>Dr. Mark Bonneville</t>
  </si>
  <si>
    <t>MOOSE LAKE</t>
  </si>
  <si>
    <t>www.mercymooselake.org</t>
  </si>
  <si>
    <t>MORA</t>
  </si>
  <si>
    <t>KANABEC</t>
  </si>
  <si>
    <t>Randy</t>
  </si>
  <si>
    <t>Ulseth</t>
  </si>
  <si>
    <t>rulseth@sisunet.org</t>
  </si>
  <si>
    <t>Gordon Forbort</t>
  </si>
  <si>
    <t>Stevens Community Medical Center</t>
  </si>
  <si>
    <t>MORRIS</t>
  </si>
  <si>
    <t>STEVENS</t>
  </si>
  <si>
    <t>NEW PRAGUE</t>
  </si>
  <si>
    <t>SCOTT</t>
  </si>
  <si>
    <t>Julie</t>
  </si>
  <si>
    <t>New Ulm Medical Center</t>
  </si>
  <si>
    <t>NEW ULM</t>
  </si>
  <si>
    <t>BROWN</t>
  </si>
  <si>
    <t>NORTHFIELD</t>
  </si>
  <si>
    <t>Northfield</t>
  </si>
  <si>
    <t>www.northfieldhospital.org</t>
  </si>
  <si>
    <t>OLIVIA</t>
  </si>
  <si>
    <t>RENVILLE</t>
  </si>
  <si>
    <t>Tim</t>
  </si>
  <si>
    <t>Mille Lacs Health System</t>
  </si>
  <si>
    <t>ONAMIA</t>
  </si>
  <si>
    <t>MILLE LACS</t>
  </si>
  <si>
    <t>Ortonville Area Health Services</t>
  </si>
  <si>
    <t>ORTONVILLE</t>
  </si>
  <si>
    <t>Ash</t>
  </si>
  <si>
    <t>www.oahs.us</t>
  </si>
  <si>
    <t>Owatonna Hospital</t>
  </si>
  <si>
    <t>OWATONNA</t>
  </si>
  <si>
    <t>STEELE</t>
  </si>
  <si>
    <t>Address (if different than Hospital)</t>
  </si>
  <si>
    <t>E-mail</t>
  </si>
  <si>
    <t>City (if different than Hospital)</t>
  </si>
  <si>
    <t>Direct Phone#</t>
  </si>
  <si>
    <t>State (if different than Hospital)</t>
  </si>
  <si>
    <t>Fax#</t>
  </si>
  <si>
    <t>Zip Code (If different than Hospital)</t>
  </si>
  <si>
    <t>County (if different than Hospital)</t>
  </si>
  <si>
    <t>Courtesy Contact 1(Optional)</t>
  </si>
  <si>
    <t>Courtesy Contact 1 Name</t>
  </si>
  <si>
    <t>Courtesy Contact 2(Optional)</t>
  </si>
  <si>
    <t>Courtesy Contact 2 Name</t>
  </si>
  <si>
    <t>Capital Expenditure Contact Name</t>
  </si>
  <si>
    <r>
      <t xml:space="preserve">Complete Lines 0201 - 0340 if you do </t>
    </r>
    <r>
      <rPr>
        <b/>
        <i/>
        <sz val="10"/>
        <color indexed="16"/>
        <rFont val="Arial"/>
        <family val="2"/>
      </rPr>
      <t>not</t>
    </r>
    <r>
      <rPr>
        <b/>
        <sz val="10"/>
        <color indexed="16"/>
        <rFont val="Arial"/>
        <family val="2"/>
      </rPr>
      <t xml:space="preserve"> have a hospital specific Certified Audit Statement.</t>
    </r>
  </si>
  <si>
    <t>Section 1:  Revenue and Expense Summary</t>
  </si>
  <si>
    <t>FY 2007</t>
  </si>
  <si>
    <t>0201</t>
  </si>
  <si>
    <r>
      <t xml:space="preserve">Gross </t>
    </r>
    <r>
      <rPr>
        <b/>
        <sz val="10"/>
        <color indexed="12"/>
        <rFont val="Arial"/>
        <family val="2"/>
      </rPr>
      <t>Hospital</t>
    </r>
    <r>
      <rPr>
        <sz val="10"/>
        <color indexed="8"/>
        <rFont val="Arial"/>
        <family val="2"/>
      </rPr>
      <t xml:space="preserve"> Charges from Patient Care (ties to 0740)</t>
    </r>
  </si>
  <si>
    <r>
      <t xml:space="preserve">Gross </t>
    </r>
    <r>
      <rPr>
        <b/>
        <sz val="10"/>
        <color indexed="12"/>
        <rFont val="Arial"/>
        <family val="2"/>
      </rPr>
      <t>Nursing Home</t>
    </r>
    <r>
      <rPr>
        <sz val="10"/>
        <color indexed="8"/>
        <rFont val="Arial"/>
        <family val="2"/>
      </rPr>
      <t xml:space="preserve"> Charges from Patient Care</t>
    </r>
  </si>
  <si>
    <r>
      <t xml:space="preserve">Gross </t>
    </r>
    <r>
      <rPr>
        <b/>
        <sz val="10"/>
        <color indexed="12"/>
        <rFont val="Arial"/>
        <family val="2"/>
      </rPr>
      <t>Clinic</t>
    </r>
    <r>
      <rPr>
        <sz val="10"/>
        <color indexed="8"/>
        <rFont val="Arial"/>
        <family val="2"/>
      </rPr>
      <t xml:space="preserve"> Charges from Patient Care</t>
    </r>
  </si>
  <si>
    <r>
      <t xml:space="preserve">Gross </t>
    </r>
    <r>
      <rPr>
        <b/>
        <sz val="10"/>
        <color indexed="12"/>
        <rFont val="Arial"/>
        <family val="2"/>
      </rPr>
      <t>Home Health</t>
    </r>
    <r>
      <rPr>
        <sz val="10"/>
        <color indexed="8"/>
        <rFont val="Arial"/>
        <family val="2"/>
      </rPr>
      <t xml:space="preserve"> Charges from Patient Care</t>
    </r>
  </si>
  <si>
    <r>
      <t xml:space="preserve">Gross </t>
    </r>
    <r>
      <rPr>
        <b/>
        <sz val="10"/>
        <color indexed="12"/>
        <rFont val="Arial"/>
        <family val="2"/>
      </rPr>
      <t>Hospice</t>
    </r>
    <r>
      <rPr>
        <sz val="10"/>
        <color indexed="8"/>
        <rFont val="Arial"/>
        <family val="2"/>
      </rPr>
      <t xml:space="preserve"> Charges from Patient Care</t>
    </r>
  </si>
  <si>
    <r>
      <t xml:space="preserve">Gross </t>
    </r>
    <r>
      <rPr>
        <b/>
        <sz val="10"/>
        <color indexed="12"/>
        <rFont val="Arial"/>
        <family val="2"/>
      </rPr>
      <t xml:space="preserve">Ambulance Services </t>
    </r>
    <r>
      <rPr>
        <sz val="10"/>
        <color indexed="8"/>
        <rFont val="Arial"/>
        <family val="2"/>
      </rPr>
      <t>Charges from Patient Care</t>
    </r>
  </si>
  <si>
    <t>Other Institution Charges from Patient Care (specify)</t>
  </si>
  <si>
    <t>Gross Charges from Patient Care</t>
  </si>
  <si>
    <t>Total Adjustments and Uncollectibles</t>
  </si>
  <si>
    <t>Net Revenue from Patient Care (0210+0220)</t>
  </si>
  <si>
    <t>ROBBINSDALE</t>
  </si>
  <si>
    <t>PARK RAPIDS</t>
  </si>
  <si>
    <t>HUBBARD</t>
  </si>
  <si>
    <t>www.sjahs.org</t>
  </si>
  <si>
    <t>Jane M. Churchill, MD</t>
  </si>
  <si>
    <t>PAYNESVILLE</t>
  </si>
  <si>
    <t>PERHAM</t>
  </si>
  <si>
    <t>Chuck</t>
  </si>
  <si>
    <t>Hofius</t>
  </si>
  <si>
    <t>Brad</t>
  </si>
  <si>
    <t>PINE</t>
  </si>
  <si>
    <t>Pipestone County Medical Center</t>
  </si>
  <si>
    <t>PIPESTONE</t>
  </si>
  <si>
    <t>Burris</t>
  </si>
  <si>
    <t>bradley.burris@pcmchealth.org</t>
  </si>
  <si>
    <t>www.pcmchealth.org</t>
  </si>
  <si>
    <t>Fairview Northland Regional Hospital</t>
  </si>
  <si>
    <t>PRINCETON</t>
  </si>
  <si>
    <t>SHERBURNE</t>
  </si>
  <si>
    <t>Kevin</t>
  </si>
  <si>
    <t>Finance Assistant</t>
  </si>
  <si>
    <t>RED WING</t>
  </si>
  <si>
    <t>Barbara</t>
  </si>
  <si>
    <t>REDWOOD FALLS</t>
  </si>
  <si>
    <t>REDWOOD</t>
  </si>
  <si>
    <t>Redwood Falls</t>
  </si>
  <si>
    <t>STEARNS</t>
  </si>
  <si>
    <t>Koppelman</t>
  </si>
  <si>
    <t>Administrator</t>
  </si>
  <si>
    <t>Larry</t>
  </si>
  <si>
    <t>Gross Medicare Other Billable Professional Managed Care Charges included in Account 0842. Calculation: (0842/0740)*7061</t>
  </si>
  <si>
    <t>Other Billable Professional Adjustments &amp; Uncollectibles included in Account 0760. 
Calculation: (0760/0740)*7061</t>
  </si>
  <si>
    <t xml:space="preserve">Medicare Other Billable Professional Adjustments &amp; Uncollectibles included in Account 0741.  Calculation:  (0741/0760)*7064 </t>
  </si>
  <si>
    <t>Medicare Other Billable Professional Managed Care Adjustments &amp; Uncollectibles included in Account 0742.  Calculation: (0742/0760)*7064</t>
  </si>
  <si>
    <t xml:space="preserve">Other Billable Professional Charity Care Adjustments included
in Account 0762. Calculation: (0762/0760)*7064 </t>
  </si>
  <si>
    <t>Other Billable Professional Expense (related to billable professional (non-physician) services only)</t>
  </si>
  <si>
    <t>Gross Reference Lab/Reference Radiology Charges included in Account 0740 (ties to 7091)</t>
  </si>
  <si>
    <t>Gross Medicare Reference Lab/Reference Radiology Charges included in Account 0841</t>
  </si>
  <si>
    <t>Gross Medicare Reference Lab/Reference Radiology Managed Care Charges included in Account 0842</t>
  </si>
  <si>
    <t>Reference Lab/Reference Radiology Adjustments &amp; Uncollectibles included Account 0760</t>
  </si>
  <si>
    <t>Medicare Reference Lab/Reference Radiology Adjustments &amp; Uncollectibles included in Account 0741</t>
  </si>
  <si>
    <t>Medicare Reference Lab/Reference Radiology Managed Care Adjustments &amp; Uncollectibles included in Account 0742</t>
  </si>
  <si>
    <t>Reference Lab/Reference Radiology Expense</t>
  </si>
  <si>
    <t>Gross DME/Retail Pharmacy Supplies Charges included in Account 0740 (ties to 7092)</t>
  </si>
  <si>
    <t>Gross Medicare DME/Retail Pharmacy Supplies Charges included in Account 0841</t>
  </si>
  <si>
    <t>Gross Medicare DME/Retail Pharmacy Managed Care Charges included in Account 0842</t>
  </si>
  <si>
    <t>DME/Retail Pharmacy Supplies Adjustments &amp; Uncollectibles included in Account 0760</t>
  </si>
  <si>
    <t>Medicare DME/Retail Pharmacy Supplies Adjustments &amp; Uncollectibles included in Account 0741</t>
  </si>
  <si>
    <t>Medicare DME/Retail Pharmacy Supplies Managed Care Adjustments &amp; Uncollectibles included in Account 0742</t>
  </si>
  <si>
    <t>DME/Retail Pharmacy Charity Care Adjustments included in Account 0762</t>
  </si>
  <si>
    <t>DME/Retail Pharmacy Expense</t>
  </si>
  <si>
    <t>Salaries and Wages</t>
  </si>
  <si>
    <t>FTEs included in Salaries and Wages</t>
  </si>
  <si>
    <t>Acct#</t>
  </si>
  <si>
    <t>FTE Vacancies</t>
  </si>
  <si>
    <t>RN</t>
  </si>
  <si>
    <t>LPN</t>
  </si>
  <si>
    <t>Nurse Anesthetist</t>
  </si>
  <si>
    <t>Nursing Practitioner</t>
  </si>
  <si>
    <t>Nursing Assistant/Aide</t>
  </si>
  <si>
    <t>Pharmacist</t>
  </si>
  <si>
    <t>Physician</t>
  </si>
  <si>
    <t>Physician Assistant</t>
  </si>
  <si>
    <t>Occupational Therapist</t>
  </si>
  <si>
    <t>Physical Therapist</t>
  </si>
  <si>
    <t>Lab Technologist/Technician</t>
  </si>
  <si>
    <t>Administrator/CEO</t>
  </si>
  <si>
    <t>All Other Personnel</t>
  </si>
  <si>
    <t>Total (2030 ties to 0601)</t>
  </si>
  <si>
    <r>
      <t>Full Time
Employed Staff
(</t>
    </r>
    <r>
      <rPr>
        <b/>
        <sz val="10"/>
        <color indexed="16"/>
        <rFont val="Arial"/>
        <family val="2"/>
      </rPr>
      <t>≥</t>
    </r>
    <r>
      <rPr>
        <b/>
        <sz val="10"/>
        <color indexed="16"/>
        <rFont val="Arial"/>
        <family val="2"/>
      </rPr>
      <t>32 hours/wk)</t>
    </r>
  </si>
  <si>
    <t>Part-Time
Employed Staff
(&lt;32 hours/wk)</t>
  </si>
  <si>
    <t>Total Hospital
Employed Staff</t>
  </si>
  <si>
    <t>This section is for consultants or contracting employed staff only.  Hospital employees are to be reported in the previous section.</t>
  </si>
  <si>
    <t>Contract Amounts
(report whole dollars)</t>
  </si>
  <si>
    <t>FTEs included in Contracted Amounts</t>
  </si>
  <si>
    <t>Number of Physicians with Admitting Privileges</t>
  </si>
  <si>
    <t>This section is to be completed by teaching and research hospitals only.</t>
  </si>
  <si>
    <t>Number of Full-Time Equivalent Residents</t>
  </si>
  <si>
    <t>Emergency Department Physician Director</t>
  </si>
  <si>
    <t>Courtesy Contact Person First Name</t>
  </si>
  <si>
    <t>Courtesy Contact Person Last Name</t>
  </si>
  <si>
    <t>Courtesy Contact Person Title</t>
  </si>
  <si>
    <t>Courtesy Contact Person Phone</t>
  </si>
  <si>
    <t>Courtesy Contact Person Extension</t>
  </si>
  <si>
    <t>Courtesy Contact Person Fax</t>
  </si>
  <si>
    <t>Courtesy Contact Person e-mail</t>
  </si>
  <si>
    <t>Courtesy Contact Address</t>
  </si>
  <si>
    <t>Courtesy Contact Multiple Unit</t>
  </si>
  <si>
    <t>Courtesy Contact City</t>
  </si>
  <si>
    <t>Courtesy Contact State</t>
  </si>
  <si>
    <t>Courtesy Contact Zip5</t>
  </si>
  <si>
    <t>Coutesy Contact Zip4</t>
  </si>
  <si>
    <t>ADA</t>
  </si>
  <si>
    <t>NORMAN</t>
  </si>
  <si>
    <t>MN</t>
  </si>
  <si>
    <t>Dan</t>
  </si>
  <si>
    <t>CEO/Administrator</t>
  </si>
  <si>
    <t>Ryan</t>
  </si>
  <si>
    <t>Hill</t>
  </si>
  <si>
    <t>CFO</t>
  </si>
  <si>
    <t>Leased</t>
  </si>
  <si>
    <t>Riverwood HealthCare Center</t>
  </si>
  <si>
    <t>AITKIN</t>
  </si>
  <si>
    <t>Mike</t>
  </si>
  <si>
    <t>CEO</t>
  </si>
  <si>
    <t>Judy</t>
  </si>
  <si>
    <t>Turner</t>
  </si>
  <si>
    <t>Finance Manager</t>
  </si>
  <si>
    <t>Aitkin</t>
  </si>
  <si>
    <t>No Affiliation</t>
  </si>
  <si>
    <t>James Harris, MD</t>
  </si>
  <si>
    <t>Susan</t>
  </si>
  <si>
    <t>www.mahnomenhealthcenter.com</t>
  </si>
  <si>
    <t>MANKATO</t>
  </si>
  <si>
    <t>Financial Analyst</t>
  </si>
  <si>
    <t>PO Box 8673</t>
  </si>
  <si>
    <t>St. John's Hospital</t>
  </si>
  <si>
    <t>MAPLEWOOD</t>
  </si>
  <si>
    <t>ST. PAUL</t>
  </si>
  <si>
    <t>www.healtheast.org</t>
  </si>
  <si>
    <t>Johnson</t>
  </si>
  <si>
    <t>Avera Marshall Regional Medical Center</t>
  </si>
  <si>
    <t>State (governmental, nonfederal)</t>
  </si>
  <si>
    <t>County (governmental, nonfederal)</t>
  </si>
  <si>
    <t>City (governmental, nonfederal)</t>
  </si>
  <si>
    <t>City - County (governmental, nonfederal)</t>
  </si>
  <si>
    <t>Hospital District or Authority (governmental, nonfederal)</t>
  </si>
  <si>
    <t>Church Related (nongovernmental, nonprofit)</t>
  </si>
  <si>
    <t>Nonprofit Corporation (nongovernmental, nonprofit)</t>
  </si>
  <si>
    <t>Other Nonprofit Ownership (nongovernmental, nonprofit)</t>
  </si>
  <si>
    <t>Individual (nongovernmental, FOR PROFIT)</t>
  </si>
  <si>
    <t>Partnership (nongovernmental, FOR PROFIT)</t>
  </si>
  <si>
    <t>Corporation (nongovernmental, FOR PROFIT)</t>
  </si>
  <si>
    <t>The National Provider Identifier (NPI) is being collected on the first page of the Hospital Annual Report formset.  Please note to enter the NPI assigned to the acute care facility, and not one assigned to a different facility of the hospital (e.g. mental health unit, clinic, nursing home, etc.)    See http://www.cms.hhs.gov/NationalProvIdentStand/ for more information.</t>
  </si>
  <si>
    <t>Questions concerning Medical Education Expenses should be directed to the Division of Health Policy in MDH at (651) 201-3566.</t>
  </si>
  <si>
    <r>
      <t xml:space="preserve"> Enter the NPI number assigned by CMS for the Acute Care hospital.
See </t>
    </r>
    <r>
      <rPr>
        <sz val="10"/>
        <color indexed="8"/>
        <rFont val="Arial"/>
        <family val="2"/>
      </rPr>
      <t>http://www.cms.hhs.gov/NationalProvIdentStand/</t>
    </r>
    <r>
      <rPr>
        <sz val="10"/>
        <rFont val="Arial"/>
        <family val="2"/>
      </rPr>
      <t xml:space="preserve"> for more information.</t>
    </r>
  </si>
  <si>
    <t>Record all direct and indirect expenses related to each of the following categories.  Include portions of 0637, 0650 and 0655 where applicable.</t>
  </si>
  <si>
    <t>Admitting, Patient Billing &amp; Collection Expenses</t>
  </si>
  <si>
    <t>Accounting and Financial Reporting Expenses</t>
  </si>
  <si>
    <t>Quality Assurance and Utilization Management Program/Activity Expenses</t>
  </si>
  <si>
    <t>Community/Wellness Educations Expenses</t>
  </si>
  <si>
    <t>Promotion and Marketing Expenses</t>
  </si>
  <si>
    <t>Taxes, Fees, and Assessments</t>
  </si>
  <si>
    <t>Malpractice Expenses (ties to 0625)</t>
  </si>
  <si>
    <t>Other Administrative Expenses</t>
  </si>
  <si>
    <t>Total Administrative Expenses</t>
  </si>
  <si>
    <t>Total Cost of Regulatory and Compliance Reporting</t>
  </si>
  <si>
    <t>Total Management Information Systems Expenses</t>
  </si>
  <si>
    <t>Total Plant, Equipment, and Occupancy Expenses</t>
  </si>
  <si>
    <t>Reporting of this information is required by Minnesota Statutes 144.699, subd. 5.</t>
  </si>
  <si>
    <t>Community Benefit Expenses</t>
  </si>
  <si>
    <t>Offsetting Revenues</t>
  </si>
  <si>
    <r>
      <t>Community Care. Calculation</t>
    </r>
    <r>
      <rPr>
        <u/>
        <sz val="10"/>
        <color indexed="8"/>
        <rFont val="Arial"/>
        <family val="2"/>
      </rPr>
      <t xml:space="preserve">: </t>
    </r>
    <r>
      <rPr>
        <sz val="10"/>
        <color indexed="8"/>
        <rFont val="Arial"/>
        <family val="2"/>
      </rPr>
      <t>(0600/(0740+0770))*absolute value of (0762)</t>
    </r>
  </si>
  <si>
    <t>Cost of Operating Subsidized Services</t>
  </si>
  <si>
    <t>Education Cost</t>
  </si>
  <si>
    <t>Research Cost</t>
  </si>
  <si>
    <t>Community Health Services Cost</t>
  </si>
  <si>
    <t>Financial and In-Kind Contributions</t>
  </si>
  <si>
    <t>Cost of Community Building Activities</t>
  </si>
  <si>
    <t>Cost of Community Benefit Operations</t>
  </si>
  <si>
    <t>Total Community Benefits</t>
  </si>
  <si>
    <t>Charity Care Contacts should be counted as 1 contact per outpatient visit and 1 contact per inpatient stay.</t>
  </si>
  <si>
    <t>Charity Care Contacts should be counted as 1 contact per Outpatient visit and 1 contact per Inpatient stay.</t>
  </si>
  <si>
    <t># of Contacts</t>
  </si>
  <si>
    <t>Amount of Charity Care Provided</t>
  </si>
  <si>
    <t>Family income is above 275% FPG</t>
  </si>
  <si>
    <t>Family income is below 275% FPG</t>
  </si>
  <si>
    <t>Fairview Southdale Hospital</t>
  </si>
  <si>
    <t>EDINA</t>
  </si>
  <si>
    <t>Davis</t>
  </si>
  <si>
    <t>ELBOW LAKE</t>
  </si>
  <si>
    <t>GRANT</t>
  </si>
  <si>
    <t>Peterson</t>
  </si>
  <si>
    <t>ELY</t>
  </si>
  <si>
    <t>FAIRMONT</t>
  </si>
  <si>
    <t>MARTIN</t>
  </si>
  <si>
    <t>FOSSTON</t>
  </si>
  <si>
    <t>Patricia</t>
  </si>
  <si>
    <t>Kim Bodensteiner</t>
  </si>
  <si>
    <t>Bodensteiner</t>
  </si>
  <si>
    <t>Fosston</t>
  </si>
  <si>
    <t>GLENCOE</t>
  </si>
  <si>
    <t>MCLEOD</t>
  </si>
  <si>
    <t>Finance Director</t>
  </si>
  <si>
    <t>Glencoe</t>
  </si>
  <si>
    <t>Park Nicollet Health Services</t>
  </si>
  <si>
    <t>Glacial Ridge Health System</t>
  </si>
  <si>
    <t>GLENWOOD</t>
  </si>
  <si>
    <t>POPE</t>
  </si>
  <si>
    <t>Kirk</t>
  </si>
  <si>
    <t>Stensrud</t>
  </si>
  <si>
    <t>Administrator and CEO</t>
  </si>
  <si>
    <t>Casey Johnson</t>
  </si>
  <si>
    <t>www.glacialridge.org</t>
  </si>
  <si>
    <t>Regency Hospital of Minneapolis</t>
  </si>
  <si>
    <t>GOLDEN VALLEY</t>
  </si>
  <si>
    <t>GRACEVILLE</t>
  </si>
  <si>
    <t>BIG STONE</t>
  </si>
  <si>
    <t>ND</t>
  </si>
  <si>
    <t>GRAND MARAIS</t>
  </si>
  <si>
    <t>GRAND RAPIDS</t>
  </si>
  <si>
    <t>GRANITE FALLS</t>
  </si>
  <si>
    <t>Hoffman</t>
  </si>
  <si>
    <t>Granite Falls</t>
  </si>
  <si>
    <t>Kittson Memorial Healthcare Center</t>
  </si>
  <si>
    <t>HALLOCK</t>
  </si>
  <si>
    <t>KITTSON</t>
  </si>
  <si>
    <t>Jason</t>
  </si>
  <si>
    <t>Carlson</t>
  </si>
  <si>
    <t>HASTINGS</t>
  </si>
  <si>
    <t>Hendricks Community Hospital Association</t>
  </si>
  <si>
    <t>HENDRICKS</t>
  </si>
  <si>
    <t>LINCOLN</t>
  </si>
  <si>
    <t>Gollaher</t>
  </si>
  <si>
    <t>Fairview University Medical Center - Mesabi</t>
  </si>
  <si>
    <t>HIBBING</t>
  </si>
  <si>
    <t>Chief Operating Officer</t>
  </si>
  <si>
    <t>Schneider</t>
  </si>
  <si>
    <t>lschnei1@range.fairview.org</t>
  </si>
  <si>
    <t>Hibbing</t>
  </si>
  <si>
    <t>HUTCHINSON</t>
  </si>
  <si>
    <t>LAKE CITY</t>
  </si>
  <si>
    <t>Kramer</t>
  </si>
  <si>
    <t>LE SUEUR</t>
  </si>
  <si>
    <t>Patricia Schlegel</t>
  </si>
  <si>
    <t>Schlegel</t>
  </si>
  <si>
    <t>LITCHFIELD</t>
  </si>
  <si>
    <t>MEEKER</t>
  </si>
  <si>
    <t>Michael</t>
  </si>
  <si>
    <t>Schramm</t>
  </si>
  <si>
    <t>David M Ross, MD</t>
  </si>
  <si>
    <t>St. Gabriel's Hospital</t>
  </si>
  <si>
    <t>LITTLE FALLS</t>
  </si>
  <si>
    <t>MORRISON</t>
  </si>
  <si>
    <t>Vaagenes</t>
  </si>
  <si>
    <t>LONG PRAIRIE</t>
  </si>
  <si>
    <t>TODD</t>
  </si>
  <si>
    <t>Knutson</t>
  </si>
  <si>
    <t>knutsonl@centracare.com</t>
  </si>
  <si>
    <t>Long Prairie</t>
  </si>
  <si>
    <t>www.centracare.com</t>
  </si>
  <si>
    <t>Dr. Rene Eldidy, Jr.</t>
  </si>
  <si>
    <t>LUVERNE</t>
  </si>
  <si>
    <t>ROCK</t>
  </si>
  <si>
    <t>MADELIA</t>
  </si>
  <si>
    <t>WATONWAN</t>
  </si>
  <si>
    <t>www.mchospital.org</t>
  </si>
  <si>
    <t>MADISON</t>
  </si>
  <si>
    <t>Madison</t>
  </si>
  <si>
    <t>Mahnomen Health Center</t>
  </si>
  <si>
    <t>MAHNOMEN</t>
  </si>
  <si>
    <t>Number of Outpatient Treatments</t>
  </si>
  <si>
    <t>Total Number of ESWL Treatments</t>
  </si>
  <si>
    <t>Geriatric Day Care Services</t>
  </si>
  <si>
    <t>Home Health Care Services</t>
  </si>
  <si>
    <t>Number of Visits</t>
  </si>
  <si>
    <t>Laboratory Services</t>
  </si>
  <si>
    <t>Inpatient Adjustments &amp; Uncollectibles.  Calculation:  (0851/0860)*0760</t>
  </si>
  <si>
    <t>Outpatient Adjustments &amp; Uncollectibles  Calculation:  (0853/0860)*0760</t>
  </si>
  <si>
    <t>Salaries and Wages (ties to 2030)</t>
  </si>
  <si>
    <t>Employee Benefits</t>
  </si>
  <si>
    <t>Purchased Services</t>
  </si>
  <si>
    <t>Supplies</t>
  </si>
  <si>
    <t>Interest Expense</t>
  </si>
  <si>
    <t>Depreciation</t>
  </si>
  <si>
    <t>Property Taxes</t>
  </si>
  <si>
    <t>Provision for Bad Debts</t>
  </si>
  <si>
    <t>Provision for Bad Debts - Hospital Patient Care Services</t>
  </si>
  <si>
    <t>Provision for Bad Debts - Other Patient Care Services</t>
  </si>
  <si>
    <t>Malpractice Expenses</t>
  </si>
  <si>
    <t>Medical Care Surcharge</t>
  </si>
  <si>
    <t>MinnesotaCare Tax</t>
  </si>
  <si>
    <t>Other Expenses</t>
  </si>
  <si>
    <t>Total Operating Expenses (ties to 0790)</t>
  </si>
  <si>
    <t>This is a balance sheet item.</t>
  </si>
  <si>
    <t>Bad Debt Write Offs</t>
  </si>
  <si>
    <t>Bad Debt Write Offs for Insured Patients</t>
  </si>
  <si>
    <t>Bad Debt Write Offs for Uninsured Patients</t>
  </si>
  <si>
    <t>Pursuant to Minnesota Statutes Section 62J.321, subdivision 5, the information provided in this section is classified as non-public.</t>
  </si>
  <si>
    <t>This INCLUDES Room and Board and Ancillary Charges.</t>
  </si>
  <si>
    <t>Total Adult Care Charges (18+) included in Account 7090</t>
  </si>
  <si>
    <t>Inpatient Adult Care Charges (18+) included in Account 7090</t>
  </si>
  <si>
    <t>Outpatient Adult Care Charges (18+) included in Account 7090</t>
  </si>
  <si>
    <t>Total Pediatric and Adolescent Care Charges (including neonatal) included in Account 7090</t>
  </si>
  <si>
    <t>Inpatient Pediatric and Adolescent Care Charges (including neonatal) included in Account 7090</t>
  </si>
  <si>
    <t>Outpatient Pediatric and Adolescent Care Charges (including neonatal) included in Account 7090</t>
  </si>
  <si>
    <t>Hospital Patient Care Services Charges (ties to 7090).  Calculation:  (7225+7127)</t>
  </si>
  <si>
    <t>This INCLUDES Nursery, Swing Bed, and Subacute/Transitional Care Charges.</t>
  </si>
  <si>
    <t>Medicare Patient Charges (Non-Managed Care)</t>
  </si>
  <si>
    <t>Medicare Patient Charges (Non-Managed Care)
Hospital Patient Care Services</t>
  </si>
  <si>
    <t>Medicare Patient Charges (Non-Managed Care)
Other Patient Care Services</t>
  </si>
  <si>
    <t>MA Patient Charges (Non-Managed Care)</t>
  </si>
  <si>
    <t>MinnesotaCare Patient Charges (Non-Managed Care)</t>
  </si>
  <si>
    <t>Medicare Managed Care Patient Charges</t>
  </si>
  <si>
    <t>Medicare Managed Care Patient Charges
Hospital Patient Care Services</t>
  </si>
  <si>
    <t>Medicare Managed Care Patient Charges
Other Patient Care Services</t>
  </si>
  <si>
    <t>PMAP Managed Care Patient Charges</t>
  </si>
  <si>
    <t>MinnesotaCare Managed Care Patient Charges</t>
  </si>
  <si>
    <t>Individual (Self-Pay) Patient Charges</t>
  </si>
  <si>
    <t>Other Payers: Patient Charges (Champus, Workers' Comp, Auto, etc.)</t>
  </si>
  <si>
    <t xml:space="preserve">Total Patient Charges (ties to 0740) </t>
  </si>
  <si>
    <t>This INCLUDES Nursery, Swing Bed, and Subacute/Transitional Care Adjustments.</t>
  </si>
  <si>
    <t>Medicare Adjustments (Non-Managed Care)</t>
  </si>
  <si>
    <t>Medicare Adjustments (Non-Managed Care)
Hospital Patient Care Services</t>
  </si>
  <si>
    <t>Medicare Adjustments (Non-Managed Care)
Other Patient Care Services</t>
  </si>
  <si>
    <t>MA Adjustments (Non-Managed Care)</t>
  </si>
  <si>
    <t>MinnesotaCare Adjustments (Non-Managed Care)</t>
  </si>
  <si>
    <t>Medicare Managed Care Adjustments</t>
  </si>
  <si>
    <t>Medicare Managed Care Adjustments
Hospital Patient Care Services</t>
  </si>
  <si>
    <t>Medicare Managed Care Adjustments
Other Patient Care Services</t>
  </si>
  <si>
    <t>PMAP Managed Care Adjustments</t>
  </si>
  <si>
    <t>MinnesotaCare Managed Care Adjustments</t>
  </si>
  <si>
    <t>Self Pay Discounts</t>
  </si>
  <si>
    <t>Charity Care Adjustments</t>
  </si>
  <si>
    <t>Insured Patients Charity Care Adjustments</t>
  </si>
  <si>
    <t>Charity Care</t>
  </si>
  <si>
    <t>Uninsured Patients Charity Care Adjustments</t>
  </si>
  <si>
    <t>Average Partial Charity Care Discount (percent)</t>
  </si>
  <si>
    <t>Charity Care Adjustments - Hospital Patient Care Services</t>
  </si>
  <si>
    <t>District One Hospital</t>
  </si>
  <si>
    <t>RICE</t>
  </si>
  <si>
    <t>FERGUS FALLS</t>
  </si>
  <si>
    <t>Charity Care Adjustments - Other Patient Care Services</t>
  </si>
  <si>
    <t>Other Payers: Adjustments and Uncollectibles (Champus, Workers' Comp, Auto, and includes small balance write offs)</t>
  </si>
  <si>
    <t>Total Adjustments &amp; Uncollectibles - Hospital Patient Care Services</t>
  </si>
  <si>
    <t>Total Adjustments &amp; Uncollectibles - Other Patient Care Services</t>
  </si>
  <si>
    <t xml:space="preserve">HAR Formset Code </t>
  </si>
  <si>
    <t>Account Name</t>
  </si>
  <si>
    <t xml:space="preserve">Audited Financial Statement </t>
  </si>
  <si>
    <t>Bad Debt</t>
  </si>
  <si>
    <t>Unrealized Gains/Losses</t>
  </si>
  <si>
    <t>Gain on Sale of Properties</t>
  </si>
  <si>
    <t>Loss on Sale of Properties</t>
  </si>
  <si>
    <t>Other             (Please Specify)</t>
  </si>
  <si>
    <t>Reported on HAR</t>
  </si>
  <si>
    <t>Difference</t>
  </si>
  <si>
    <t>Explanation                                                                         (Provide if cell in Difference Column is highlighted)</t>
  </si>
  <si>
    <t>Net Revenue from Patient Care</t>
  </si>
  <si>
    <t>Total Operating Revenue</t>
  </si>
  <si>
    <t>Income/(Loss) from Operations</t>
  </si>
  <si>
    <t>Other Changes to Unrestricted Net Assets</t>
  </si>
  <si>
    <t xml:space="preserve">HAR Line Number </t>
  </si>
  <si>
    <t>Internal Financial Statements</t>
  </si>
  <si>
    <t>Loss of Sale of Properties</t>
  </si>
  <si>
    <t>Explanation                                                                                       (Provide if cell in Difference Column is highlighted)</t>
  </si>
  <si>
    <t>Income/(Loss) from Hosp. Operations</t>
  </si>
  <si>
    <t>If any cells are highlighted in yellow, please re-check numbers</t>
  </si>
  <si>
    <t>and calculations.</t>
  </si>
  <si>
    <t>If any cells in the difference column are purple, please provide</t>
  </si>
  <si>
    <t xml:space="preserve">Please break out Charity Care amounts from insured (7571) and uninsured patients (7572). For the uninsured patients, also breakout the amounts where the hospital has forgiven the entire bill (7573) from where the hospital has applied a partial discount (7574) to the bill. If an uninsured patient is eligible for a self pay discount and full charity care under the hospital’s charity care policy, record the entire charge in (7573) Full Charity Care. If an uninsured patient is eligible for a self pay discount and a partial charity care discount under the hospital’s charity care policy, record the total amount of the self pay discount and partial charity care discount in (7574) Partial Charity Care. </t>
  </si>
  <si>
    <t>·        Admitting, patient billing, and collections:  All of the costs related to inpatient and outpatient admission or registration, whether scheduled or non-scheduled; the scheduling of admission times; insurance verification, including coordination of benefits; preparing and submitting claim forms; and cashiering, credit, and collection functions.</t>
  </si>
  <si>
    <t xml:space="preserve">“Major spending commitment” means an expenditure in excess of $1,000,000 for:
     (1) acquisition of a unit of medical equipment;
     (2) a capital expenditure for a single project for the
     purposes of providing health care services, other 
     than for the acquisition of medical equipment;
     (3) offering a new specialized service not 
     offered before;
     (4) planning for an activity that would qualify as a 
     major spending commitment under this 
     paragraph; or
     (5) a project involving a combination of two or 
     more of the activities in clauses (1) to (4).
The cost of acquisition of medical equipment, and the 
amount of a capital expenditure, is the total cost to the
provider regardless of whether the cost is distributed over
time through a lease arrangement or other financing or 
payment mechanism.
</t>
  </si>
  <si>
    <t>Multiple unit</t>
  </si>
  <si>
    <t>State</t>
  </si>
  <si>
    <t>Zip</t>
  </si>
  <si>
    <t>Zip4</t>
  </si>
  <si>
    <t>Phone</t>
  </si>
  <si>
    <t>Fax</t>
  </si>
  <si>
    <t>Administrator First Name</t>
  </si>
  <si>
    <t>Administrator Last Name</t>
  </si>
  <si>
    <t>Administrator Title</t>
  </si>
  <si>
    <t>Administrator e-mail</t>
  </si>
  <si>
    <t>CFO Name</t>
  </si>
  <si>
    <t>Contact Person First Name</t>
  </si>
  <si>
    <t>Contact Person Last Name</t>
  </si>
  <si>
    <t>Contact Person Title</t>
  </si>
  <si>
    <t>Contact Person Phone</t>
  </si>
  <si>
    <t>Contact Person Extension</t>
  </si>
  <si>
    <t>Contact Person Fax</t>
  </si>
  <si>
    <t>Contact Person e-mail</t>
  </si>
  <si>
    <t>Contact Address</t>
  </si>
  <si>
    <t>Contact Multiple Unit</t>
  </si>
  <si>
    <t xml:space="preserve">Zip 4 </t>
  </si>
  <si>
    <t>Hospital Website Address</t>
  </si>
  <si>
    <t>System Affiliation</t>
  </si>
  <si>
    <t>Affiliation Type</t>
  </si>
  <si>
    <t>CAH</t>
  </si>
  <si>
    <t>Total Charges from Patient Care (ties to 0201).  Calc:  (7090+7097)</t>
  </si>
  <si>
    <t>Total Non-Acute Care and Nursery Charges</t>
  </si>
  <si>
    <t>Section 3:  Patient Revenue</t>
  </si>
  <si>
    <t>Section 4:  Other Operating Revenue</t>
  </si>
  <si>
    <t>Section: 5:  Operating Income</t>
  </si>
  <si>
    <t>Section 6:  Non-Operating Revenue</t>
  </si>
  <si>
    <t>Section 7:  Non-Operating Expense</t>
  </si>
  <si>
    <t>Section 8:  Revenue in Excess of Expense</t>
  </si>
  <si>
    <t>Section 9:  Patient Care Charge Summary</t>
  </si>
  <si>
    <t>Section 10:  Inpatient/Outpatient/Other Charges Summary</t>
  </si>
  <si>
    <t>Section 11:  Outpatient Charges Summary</t>
  </si>
  <si>
    <t>Section 12:  Patient Care Charge Summary by Age</t>
  </si>
  <si>
    <t>Section 13:  Primary Payer Charges Summary</t>
  </si>
  <si>
    <t>Section 14:  Primary Payer Adjustments &amp; Uncollectibles</t>
  </si>
  <si>
    <t>Section 15:  Inpatient/Outpatient Adjustment Summary</t>
  </si>
  <si>
    <t>Section 16:  Natural Expense Summary</t>
  </si>
  <si>
    <t>SLAYTON</t>
  </si>
  <si>
    <t>MURRAY</t>
  </si>
  <si>
    <t>Slayton</t>
  </si>
  <si>
    <t>www.murraycountymed.org</t>
  </si>
  <si>
    <t>Sleepy Eye Medical Center</t>
  </si>
  <si>
    <t>SLEEPY EYE</t>
  </si>
  <si>
    <t>Sellheim</t>
  </si>
  <si>
    <t>P.O. Box 323</t>
  </si>
  <si>
    <t>www.semedicalcenter.org</t>
  </si>
  <si>
    <t>St. Cloud Hospital</t>
  </si>
  <si>
    <t>ST. CLOUD</t>
  </si>
  <si>
    <t>Craig</t>
  </si>
  <si>
    <t>bromanc@centracare.com</t>
  </si>
  <si>
    <t>Ann</t>
  </si>
  <si>
    <t>St. Cloud</t>
  </si>
  <si>
    <r>
      <t xml:space="preserve">All costs related to plant, equipment, and occupancy expenses, including maintenance, repairs, and engineering expenses, building rent and leases, equipment rent and leases, and utilities.  Plant, equipment, and occupancy expenses include interest expenses and depreciation. .  The portion of Account 0655 that is administrative expenses is to be reported in Account 0630 </t>
    </r>
    <r>
      <rPr>
        <b/>
        <i/>
        <sz val="10"/>
        <rFont val="Arial"/>
        <family val="2"/>
      </rPr>
      <t>and</t>
    </r>
    <r>
      <rPr>
        <sz val="10"/>
        <rFont val="Arial"/>
        <family val="2"/>
      </rPr>
      <t xml:space="preserve"> included in the total of Account 0655.</t>
    </r>
  </si>
  <si>
    <t>Use this space, or any additional sheet if more space is required, to elaborate on any information supplied on this formset</t>
  </si>
  <si>
    <t>Total Charges</t>
  </si>
  <si>
    <t>Med/Surg Charges</t>
  </si>
  <si>
    <t>Cardiac Charges</t>
  </si>
  <si>
    <t>Chemical Dependency Charges</t>
  </si>
  <si>
    <t>Mental Health (Psychiatric) Charges</t>
  </si>
  <si>
    <t>Neurology Charges</t>
  </si>
  <si>
    <t>Neonatal Care (exclude routine nursery) Charges</t>
  </si>
  <si>
    <t>Obstetrics Charges</t>
  </si>
  <si>
    <t>Orthopedic Charges</t>
  </si>
  <si>
    <t>Rehabilitation Charges</t>
  </si>
  <si>
    <t>Other Specialty Charges</t>
  </si>
  <si>
    <t>Total Patient Days</t>
  </si>
  <si>
    <t>Total Admissions</t>
  </si>
  <si>
    <t>Balancing Admissions Account</t>
  </si>
  <si>
    <t>Balancing Charges Account</t>
  </si>
  <si>
    <t xml:space="preserve">Total Billing Acute Care Charges </t>
  </si>
  <si>
    <t>Total Financials Acute Care Charges (from 7133)</t>
  </si>
  <si>
    <t>DRG Number</t>
  </si>
  <si>
    <t>DRG Description
List in descending order of Number of Discharges</t>
  </si>
  <si>
    <t>NOTE:  Reporting this data is mandatory either through the UB data project as identified in the check box below or by completing this form.</t>
  </si>
  <si>
    <t>Do you want MHA to report your hospital's Top 10 DRG information?</t>
  </si>
  <si>
    <t>Capital Expenditure Detail by Project</t>
  </si>
  <si>
    <t>Project 1</t>
  </si>
  <si>
    <t>Financial, Utilization, and Services Data - Tip Sheet</t>
  </si>
  <si>
    <t>Additional Formatting within the formset:</t>
  </si>
  <si>
    <t>a</t>
  </si>
  <si>
    <t>b</t>
  </si>
  <si>
    <t>c</t>
  </si>
  <si>
    <t>d</t>
  </si>
  <si>
    <t>e</t>
  </si>
  <si>
    <t>All items in the formset are REQUIRED unless otherwise noted.</t>
  </si>
  <si>
    <t>If you have any questions or have never completed this form, please contact Minnesota Hospital Association (MHA) before you begin.</t>
  </si>
  <si>
    <t>e-mail MHA</t>
  </si>
  <si>
    <r>
      <t xml:space="preserve">Audits have been added and will show as </t>
    </r>
    <r>
      <rPr>
        <b/>
        <sz val="10"/>
        <color indexed="10"/>
        <rFont val="Arial"/>
        <family val="2"/>
      </rPr>
      <t>RED</t>
    </r>
    <r>
      <rPr>
        <sz val="10"/>
        <rFont val="Arial"/>
        <family val="2"/>
      </rPr>
      <t xml:space="preserve"> text to the right of the potential error.</t>
    </r>
  </si>
  <si>
    <r>
      <t xml:space="preserve">Tips throughout the formset are highlighted in </t>
    </r>
    <r>
      <rPr>
        <sz val="10"/>
        <color indexed="10"/>
        <rFont val="Arial"/>
        <family val="2"/>
      </rPr>
      <t>YELLOW</t>
    </r>
    <r>
      <rPr>
        <sz val="10"/>
        <rFont val="Arial"/>
        <family val="2"/>
      </rPr>
      <t>.</t>
    </r>
  </si>
  <si>
    <r>
      <t xml:space="preserve">Specific instructions for Psychiatric and Specialty hospitals are highlighted in </t>
    </r>
    <r>
      <rPr>
        <sz val="10"/>
        <color indexed="12"/>
        <rFont val="Arial"/>
        <family val="2"/>
      </rPr>
      <t>GREEN</t>
    </r>
    <r>
      <rPr>
        <sz val="10"/>
        <rFont val="Arial"/>
        <family val="2"/>
      </rPr>
      <t>.</t>
    </r>
  </si>
  <si>
    <t>The HAR contains audit hyperlinks to an audit check worksheet that can assist the preparer in evaluating the appropriateness and validity of several sections.  Links to this worksheet are located on pages 5, 6, 7, 9, 13, and 25 or it can be viewed directly by clicking on the Audit Checks tab at the bottom of the HAR formset worksheet.</t>
  </si>
  <si>
    <r>
      <t xml:space="preserve">Total Outpatient Registrations on page 15 should count one person, one registration.  Please </t>
    </r>
    <r>
      <rPr>
        <b/>
        <i/>
        <sz val="10"/>
        <rFont val="Arial"/>
        <family val="2"/>
      </rPr>
      <t>exclude</t>
    </r>
    <r>
      <rPr>
        <sz val="10"/>
        <rFont val="Arial"/>
        <family val="2"/>
      </rPr>
      <t xml:space="preserve"> physician clinic, home health, and hospice visits and remain consistent with previous years.</t>
    </r>
  </si>
  <si>
    <t>john.rodewald@parknicollet.com</t>
  </si>
  <si>
    <t>PO Box 650</t>
  </si>
  <si>
    <t>St. Louis Park</t>
  </si>
  <si>
    <t>www.parknicollet.com</t>
  </si>
  <si>
    <t>Gillette Children's Specialty Healthcare</t>
  </si>
  <si>
    <t>www.gillettechildrens.org</t>
  </si>
  <si>
    <t>United Hospital</t>
  </si>
  <si>
    <t>St. Joseph's Hospital</t>
  </si>
  <si>
    <t>Regions Hospital</t>
  </si>
  <si>
    <t>Jaszewski</t>
  </si>
  <si>
    <t>ann.m.jaszewski@healthpartners.com</t>
  </si>
  <si>
    <t>www.regionshospital.com</t>
  </si>
  <si>
    <t>HealthPartners, Inc.</t>
  </si>
  <si>
    <t>NICOLLET</t>
  </si>
  <si>
    <t>Colleen</t>
  </si>
  <si>
    <t>Lakewood Health System</t>
  </si>
  <si>
    <t>STAPLES</t>
  </si>
  <si>
    <t>WADENA</t>
  </si>
  <si>
    <t>Rice</t>
  </si>
  <si>
    <t>timrice@lakewoodhealthsystem.com</t>
  </si>
  <si>
    <t>www.lakewoodsystem.com</t>
  </si>
  <si>
    <t>Dr. John Halfen</t>
  </si>
  <si>
    <t>Lakeview Memorial Hospital</t>
  </si>
  <si>
    <t>STILLWATER</t>
  </si>
  <si>
    <t>WASHINGTON</t>
  </si>
  <si>
    <t>Douglas Johnson</t>
  </si>
  <si>
    <t>Stillwater</t>
  </si>
  <si>
    <t>ST. JAMES</t>
  </si>
  <si>
    <t>ST. LOUIS PARK</t>
  </si>
  <si>
    <t>Rodewald</t>
  </si>
  <si>
    <t>Outpatient Psychiatric Services</t>
  </si>
  <si>
    <t>Outpatient Hospice Services</t>
  </si>
  <si>
    <t>Social Services</t>
  </si>
  <si>
    <t>Urgent Care/Fast Track Services</t>
  </si>
  <si>
    <t>Volunteer Services Dept.</t>
  </si>
  <si>
    <t>Number of Volunteers</t>
  </si>
  <si>
    <t>Computerized Tomography Scanning Services</t>
  </si>
  <si>
    <t>Total Number of CT Scanners</t>
  </si>
  <si>
    <t>Number of Inpatient CT Procedures</t>
  </si>
  <si>
    <t>Number of Outpatient CT Procedures</t>
  </si>
  <si>
    <t>Total Number of CT Procedures</t>
  </si>
  <si>
    <t xml:space="preserve">Diagnostic Ultrasounds </t>
  </si>
  <si>
    <t>Number of Diagnostic Ultrasounds</t>
  </si>
  <si>
    <t>Diagnostic X-Ray Services</t>
  </si>
  <si>
    <t>Mammography Services</t>
  </si>
  <si>
    <t>Number of Inpatient Mammograms</t>
  </si>
  <si>
    <t>Number of Outpatient Mammograms</t>
  </si>
  <si>
    <t>Total Number of Mammograms</t>
  </si>
  <si>
    <t>Total Number of MRI Scanners</t>
  </si>
  <si>
    <t>Number of Inpatient MRI Procedures</t>
  </si>
  <si>
    <t>Number of Outpatient MRI Procedures</t>
  </si>
  <si>
    <t>Total Number of MRI Procedures</t>
  </si>
  <si>
    <t>Positron Emission Tomography (PET) Services</t>
  </si>
  <si>
    <t>Number of Inpatient PET Procedures</t>
  </si>
  <si>
    <t>Number of Outpatient PET Procedures</t>
  </si>
  <si>
    <t>Total Number of PET Procedures</t>
  </si>
  <si>
    <t>PET/CT Combination Services</t>
  </si>
  <si>
    <t>Single Photon Emission Computerized Tomography (SPECT) Services</t>
  </si>
  <si>
    <t>Total Number of SPECT Scanners</t>
  </si>
  <si>
    <t>Number of Inpatient SPECT Procedures</t>
  </si>
  <si>
    <t>Number of Outpatient SPECT Procedures</t>
  </si>
  <si>
    <t>Total Number of SPECT Procedures</t>
  </si>
  <si>
    <t>SPECT/CT Combination Services</t>
  </si>
  <si>
    <t>RADIATION THERAPY SERVICES</t>
  </si>
  <si>
    <t>Radiation Therapy/Cobalt-60 Device</t>
  </si>
  <si>
    <t>Number of Devices</t>
  </si>
  <si>
    <t>Total Number of Treatments</t>
  </si>
  <si>
    <t>Number of Cancer Cases Treated</t>
  </si>
  <si>
    <t>Radiation Therapy/Linear Accelerators</t>
  </si>
  <si>
    <t>Radiation Therapy/Other Devices (&gt;1 MEV)</t>
  </si>
  <si>
    <t>RADIATION THERAPY SERVICES (continued)</t>
  </si>
  <si>
    <t>Radioisotope Diagnostic Services</t>
  </si>
  <si>
    <t>Radioisotope Therapeutic Services</t>
  </si>
  <si>
    <t>Radium/Cesium or Iridium Therapy Services</t>
  </si>
  <si>
    <t>Renal Dialysis Services</t>
  </si>
  <si>
    <t>REPRODUCTIVE HEALTH SERVICES</t>
  </si>
  <si>
    <t>Genetic Counseling</t>
  </si>
  <si>
    <t>Obstetrics Services</t>
  </si>
  <si>
    <t>Total Acute Care Admissions (ties to 4340)</t>
  </si>
  <si>
    <t>Total Acute Care Patient Days (ties to 4020)</t>
  </si>
  <si>
    <t>This Excludes Swing Bed, Subacute/Transitional Care and Births.</t>
  </si>
  <si>
    <t>This EXCLUDES Swing Bed, Subacute/Transitional Care and Routine Nursery Days.</t>
  </si>
  <si>
    <t>Nursery</t>
  </si>
  <si>
    <t>Routine Care Charges (ties to account 730)</t>
  </si>
  <si>
    <t>Project 2</t>
  </si>
  <si>
    <t>Project 3</t>
  </si>
  <si>
    <t>Project 4</t>
  </si>
  <si>
    <t>Gastric Scopes should be included in 0873 Outpatient Surgery Charges.</t>
  </si>
  <si>
    <t>Number of Liver Transplants</t>
  </si>
  <si>
    <t>Number of Lung Transplants</t>
  </si>
  <si>
    <t>Number of Other Transplants</t>
  </si>
  <si>
    <t>Total Transplants</t>
  </si>
  <si>
    <t>THERAPY SERVICES</t>
  </si>
  <si>
    <t>Inhalation Therapy Services</t>
  </si>
  <si>
    <t>Outpatient Medical Rehabilitation Services</t>
  </si>
  <si>
    <t>Occupational Therapy Services</t>
  </si>
  <si>
    <t>Physical Therapy Services</t>
  </si>
  <si>
    <t>Speech Therapy Services</t>
  </si>
  <si>
    <t>TRANSPORTATION SERVICES</t>
  </si>
  <si>
    <t>Transportation Services (non-ambulance)</t>
  </si>
  <si>
    <t>Separate attachments for EACH project over 1 million need to be submitted along with this formset. Reporting this information is required by Minnesota Statutes, section 62J.17, subdivision 2 and 144.698, subdivision 1.</t>
  </si>
  <si>
    <r>
      <t xml:space="preserve">Total number of Capital Expenditure </t>
    </r>
    <r>
      <rPr>
        <b/>
        <i/>
        <sz val="10"/>
        <rFont val="Arial"/>
        <family val="2"/>
      </rPr>
      <t>projects</t>
    </r>
    <r>
      <rPr>
        <sz val="10"/>
        <rFont val="Arial"/>
        <family val="2"/>
      </rPr>
      <t xml:space="preserve"> over $1 million dollars each</t>
    </r>
  </si>
  <si>
    <t>Total Major Capital Expenditure Commitments (for projects listed in code 7595 above)</t>
  </si>
  <si>
    <r>
      <t xml:space="preserve">For all projects that are over 1 million, report the detail in this section.  Note that the parts of any project </t>
    </r>
    <r>
      <rPr>
        <i/>
        <sz val="10"/>
        <color indexed="16"/>
        <rFont val="Arial"/>
        <family val="2"/>
      </rPr>
      <t>can</t>
    </r>
    <r>
      <rPr>
        <sz val="10"/>
        <color indexed="16"/>
        <rFont val="Arial"/>
        <family val="2"/>
      </rPr>
      <t xml:space="preserve"> be reported in more than one category, but should </t>
    </r>
    <r>
      <rPr>
        <i/>
        <sz val="10"/>
        <color indexed="16"/>
        <rFont val="Arial"/>
        <family val="2"/>
      </rPr>
      <t>not</t>
    </r>
    <r>
      <rPr>
        <sz val="10"/>
        <color indexed="16"/>
        <rFont val="Arial"/>
        <family val="2"/>
      </rPr>
      <t xml:space="preserve"> be double counted. Reporting this information is required by Minnesota Statutes, section 62J.17, subdivision 2 and 144.698, subdivision 1.</t>
    </r>
  </si>
  <si>
    <t>Medical Equipment</t>
  </si>
  <si>
    <t>Building and Space</t>
  </si>
  <si>
    <t>Other Capital Expenditures</t>
  </si>
  <si>
    <t>Total Capital Expenditures</t>
  </si>
  <si>
    <t>Patient Care Services</t>
  </si>
  <si>
    <t>Cardiac Care</t>
  </si>
  <si>
    <t>Chemical Dependency</t>
  </si>
  <si>
    <t>Emergency Care</t>
  </si>
  <si>
    <t>Intensive Care (ICU or NICU)</t>
  </si>
  <si>
    <t>Mental Health</t>
  </si>
  <si>
    <t>Neurology</t>
  </si>
  <si>
    <t>Obstetrics</t>
  </si>
  <si>
    <t>Orthopedics</t>
  </si>
  <si>
    <t>Radiation Therapy</t>
  </si>
  <si>
    <t>Rehabilitation</t>
  </si>
  <si>
    <t>Surgery</t>
  </si>
  <si>
    <t>Other Patient Care Services</t>
  </si>
  <si>
    <r>
      <t xml:space="preserve">Diagnostic Imaging (includes new </t>
    </r>
    <r>
      <rPr>
        <b/>
        <i/>
        <sz val="10"/>
        <rFont val="Arial"/>
        <family val="2"/>
      </rPr>
      <t>and</t>
    </r>
    <r>
      <rPr>
        <b/>
        <sz val="10"/>
        <rFont val="Arial"/>
        <family val="2"/>
      </rPr>
      <t xml:space="preserve"> replacement equipment)</t>
    </r>
  </si>
  <si>
    <t>MRI</t>
  </si>
  <si>
    <t>CT</t>
  </si>
  <si>
    <t>PET</t>
  </si>
  <si>
    <t>Other Imaging</t>
  </si>
  <si>
    <t>General Infrastructure</t>
  </si>
  <si>
    <t>Building, Renovation, Non-Patient</t>
  </si>
  <si>
    <t>Computer, Laboratory, Phone, or Monitoring</t>
  </si>
  <si>
    <t>Electronic Medical Records</t>
  </si>
  <si>
    <t>Total Major Capital Expenditure Commitment Expense</t>
  </si>
  <si>
    <t>start of formset</t>
  </si>
  <si>
    <t>Please go back to the start of the formset and review any comments in the columns N-S and review the preliminary audit check for potential errors in the data prior to submitting your formset to MHA.</t>
  </si>
  <si>
    <t>EXPLANATION OF ADJUSTMENTS</t>
  </si>
  <si>
    <t>REFERENCE</t>
  </si>
  <si>
    <t>EXPLANATION AND COMPUTATION</t>
  </si>
  <si>
    <t>Adjusted Amount</t>
  </si>
  <si>
    <t>PAGE #</t>
  </si>
  <si>
    <t>ACCT. #</t>
  </si>
  <si>
    <t>HCCIS_ID</t>
  </si>
  <si>
    <t>OP Reg Charges 871</t>
  </si>
  <si>
    <t>ER Reg Charges 872</t>
  </si>
  <si>
    <t>OP Surg Charges 873</t>
  </si>
  <si>
    <t>OP Ancill Charges 876</t>
  </si>
  <si>
    <t>Total OP Charges 880</t>
  </si>
  <si>
    <t>Other OP Reg 4502</t>
  </si>
  <si>
    <t>ER OP Reg 4503</t>
  </si>
  <si>
    <t>Surg OP Reg 4505</t>
  </si>
  <si>
    <t>Total OP Reg 4501</t>
  </si>
  <si>
    <t>WESTBROOK</t>
  </si>
  <si>
    <t>COTTONWOOD</t>
  </si>
  <si>
    <t>www.westbrookhealth.com</t>
  </si>
  <si>
    <t>WHEATON</t>
  </si>
  <si>
    <t>TRAVERSE</t>
  </si>
  <si>
    <t>Shane</t>
  </si>
  <si>
    <t>Ayres</t>
  </si>
  <si>
    <t>WILLMAR</t>
  </si>
  <si>
    <t>KANDIYOHI</t>
  </si>
  <si>
    <t>Willmar</t>
  </si>
  <si>
    <t>www.ricehospital.com</t>
  </si>
  <si>
    <t>WINDOM</t>
  </si>
  <si>
    <t>www.windomareahospital.com</t>
  </si>
  <si>
    <t>WINONA</t>
  </si>
  <si>
    <t>Rachelle</t>
  </si>
  <si>
    <t>Schultz</t>
  </si>
  <si>
    <t>rschultz@winonahealth.org</t>
  </si>
  <si>
    <t>Theresa</t>
  </si>
  <si>
    <t>Brendel</t>
  </si>
  <si>
    <t>tbrendel@winonahealth.org</t>
  </si>
  <si>
    <t>Winona</t>
  </si>
  <si>
    <t>www.winonahealth.org</t>
  </si>
  <si>
    <t>Woodwinds Health Campus</t>
  </si>
  <si>
    <t>WOODBURY</t>
  </si>
  <si>
    <t>WORTHINGTON</t>
  </si>
  <si>
    <t>NOBLES</t>
  </si>
  <si>
    <t>WYOMING</t>
  </si>
  <si>
    <t>CHISAGO</t>
  </si>
  <si>
    <t xml:space="preserve">This category includes discounts for persons who qualify for partial-bill or sliding scale discounts under a provider’s policy that provides discounts to the uninsured. This includes discounts applied to those that qualify for a discount under the Fair Price for the Uninsured agreement with the Minnesota Attorney General’s office. Do not include prompt pay discounts or staff courtesy discounts; these should be recorded under Other Payers Adjustments and Uncollectibles (#0751).
Self Pay discounts should be reported under (#0762) Charity Care Adjustments if the discount is specifically included in your hospital’s Charity Care policy. If a self pay discount is included in (#0762) Charity Care, do not report the amount in (#7410) Self Pay Discounts.
</t>
  </si>
  <si>
    <t>This category is for the payers that are not already identified in the breakouts for Non-Managed Care, Managed Care, and Individual (Self Pay). This would include Champus, Workman's Comp., Auto, etc. for each of the respective sections:  Adjustments, Charges, Days, and Admissions. Please note that Commercial and Private payers are not reported on the Other Payers lines. This category also includes small balance write offs, staff courtesy discounts, and prompt pay discounts.</t>
  </si>
  <si>
    <t>Family income is unknown</t>
  </si>
  <si>
    <t>Total</t>
  </si>
  <si>
    <t>Purchased Charity Care Services</t>
  </si>
  <si>
    <t>0887</t>
  </si>
  <si>
    <r>
      <t xml:space="preserve">Has the hospital's Charity Care or Community Benefit policy been changed or modified since last year's reporting on the HAR? </t>
    </r>
    <r>
      <rPr>
        <b/>
        <i/>
        <sz val="10"/>
        <rFont val="Arial"/>
        <family val="2"/>
      </rPr>
      <t>If yes, please attach a copy of the current policy.</t>
    </r>
  </si>
  <si>
    <t>Inpatient Gross Physician Charges included in Account 5501</t>
  </si>
  <si>
    <t xml:space="preserve">Gross Physician Charges should be broken into I/P &amp; O/P Charges as appropriate. They will be totaled automatically into Account 5501. </t>
  </si>
  <si>
    <t>Outpatient Gross Physician Charges included in Account 5501</t>
  </si>
  <si>
    <t>Gross Physician Charges included in Account 0740 (ties to 7094).
Calculation:  (7117+7118)</t>
  </si>
  <si>
    <t>Gross Medicare Physician Charges included in Account 0841.
Calculation:  (0841/0740)*5501</t>
  </si>
  <si>
    <t>Gross Medicare Physician Managed Care Charges included in Account 0842. Calculation: (0842/0740)*5501</t>
  </si>
  <si>
    <t>Physician Adjustments &amp; Uncollectibles included in Account 0760. 
Calculation: (0760/0740)*5501</t>
  </si>
  <si>
    <t>Medicare Physician Adjustments &amp; Uncollectibles included in Account 0741. 
Calculation: (0741/0760)*5503</t>
  </si>
  <si>
    <t xml:space="preserve">Medicare Physician Managed Care Adjustments &amp; Uncollectibles included in Account 0742.  Calculation:  (0742/0760)*5503 </t>
  </si>
  <si>
    <t>Physician Charity Care Adjustments that are included in Account 0762. 
Calculation: (0762/0760)*5503</t>
  </si>
  <si>
    <t>Physician Expense (related to billable professional physician services only)</t>
  </si>
  <si>
    <t xml:space="preserve">Inpatient Gross Other Billable Professional Charges included in Account 7061 </t>
  </si>
  <si>
    <t xml:space="preserve">Gross Other Billable Professional Charges should be broken into I/P &amp; O/P Charges as appropriate. They will be totaled automatically into Account 7061. </t>
  </si>
  <si>
    <t xml:space="preserve">Outpatient Gross Other Billable Professional Charges included in Account 7061 </t>
  </si>
  <si>
    <t>Gross Other Billable Professional Charges included in Account 0740 (ties to 7095). 
Calculation: (7119+7120)</t>
  </si>
  <si>
    <t>Gross Medicare Other Billable Professional Charges included in Account 0841. Calculation: (0841/0740)*7061</t>
  </si>
  <si>
    <t>ROSEAU</t>
  </si>
  <si>
    <t>Keith</t>
  </si>
  <si>
    <t>Okeson</t>
  </si>
  <si>
    <t>Catherine Huss</t>
  </si>
  <si>
    <t>Cathy</t>
  </si>
  <si>
    <t>Huss</t>
  </si>
  <si>
    <t>SANDSTONE</t>
  </si>
  <si>
    <t>SAUK CENTRE</t>
  </si>
  <si>
    <t>Delano</t>
  </si>
  <si>
    <t>Christianson</t>
  </si>
  <si>
    <t>Sauk Centre</t>
  </si>
  <si>
    <t>St. Francis Regional Medical Center</t>
  </si>
  <si>
    <t>SHAKOPEE</t>
  </si>
  <si>
    <t>Cindy Vincent</t>
  </si>
  <si>
    <t>Brian</t>
  </si>
  <si>
    <t>Gynecology Services</t>
  </si>
  <si>
    <t>SURGICAL SERVICES</t>
  </si>
  <si>
    <t>Inpatient Surgery Services</t>
  </si>
  <si>
    <t>Number of Surgical Admissions</t>
  </si>
  <si>
    <t>Outpatient Surgery Services</t>
  </si>
  <si>
    <t>Number of Outpatient Surgery Registrations (ties to 4505)</t>
  </si>
  <si>
    <t>Open-Heart Surgery Services</t>
  </si>
  <si>
    <t>Number of Procedures</t>
  </si>
  <si>
    <t>Organ Transplant Services</t>
  </si>
  <si>
    <t>Number of Kidney Transplants</t>
  </si>
  <si>
    <t>Number of Bone Marrow Transplants</t>
  </si>
  <si>
    <t>Number of Heart Transplants</t>
  </si>
  <si>
    <t>Resident Salaries and Benefits</t>
  </si>
  <si>
    <t>Total Research Expenses</t>
  </si>
  <si>
    <t>Does the hospital provide organized emergency room services for conditions considered to require immediate care?</t>
  </si>
  <si>
    <t>Is the hospital's emergency department open on a part-time basis only?</t>
  </si>
  <si>
    <t>What is the number of hours per week that the emergency department or emergency room is staffed with contracted physicians rather than hospital employed physicians?</t>
  </si>
  <si>
    <t>Routine Nursery Admissions (Births)</t>
  </si>
  <si>
    <t>Swing Bed Admissions (ties to 4324)</t>
  </si>
  <si>
    <t>Sub-Acute and Transitional Care Admissions (ties to 4327)</t>
  </si>
  <si>
    <t>Other Non-Acute Admissions</t>
  </si>
  <si>
    <t>Total Non-Acute and Nursery Care Admissions</t>
  </si>
  <si>
    <t>Routine Nursery Patient Days</t>
  </si>
  <si>
    <t>Swing Bed Patient Days (ties to 4034)</t>
  </si>
  <si>
    <t>Sub-Acute and Transitional Care Patient Days (ties to 4037)</t>
  </si>
  <si>
    <t>Other Non-Acute Patient Days</t>
  </si>
  <si>
    <t>Total Non-Acute Care Patient Days</t>
  </si>
  <si>
    <t>Total Acute and Non-Acute Care Hospital Patient Days (4030+7155)</t>
  </si>
  <si>
    <t>Total Number of Emergency Room Registrations (does not include those patients that leave before seeing a physician)</t>
  </si>
  <si>
    <t>Outpatient Surgery Registrations (ties to 6258)</t>
  </si>
  <si>
    <t>Gastric Scopes should be included in 4505 Outpatient Surgery Registrations.</t>
  </si>
  <si>
    <t>Gerald</t>
  </si>
  <si>
    <t>Robbinsdale</t>
  </si>
  <si>
    <t>North Memorial Health Care</t>
  </si>
  <si>
    <t>ROCHESTER</t>
  </si>
  <si>
    <t>OLMSTED</t>
  </si>
  <si>
    <t>Rochester</t>
  </si>
  <si>
    <t>Hospital Patient Care Services Charges</t>
  </si>
  <si>
    <t xml:space="preserve">Medicare Patient Charges - Hospital Patient Care Services  </t>
  </si>
  <si>
    <t xml:space="preserve">Medicare Managed Care Organizations Patient Charges - Hospital Patient Care Services  </t>
  </si>
  <si>
    <t>Medicare Adjustments - Hospital Patient Care Services</t>
  </si>
  <si>
    <t>Medicare Managed Care Organizations Adjustments - Hospital Patient Care Services</t>
  </si>
  <si>
    <t>Hospital Patient Care Charges Excluding Medicare (Non-Managed and Managed)</t>
  </si>
  <si>
    <t>Hospital Patient Care Adjustments Excluding Medicare (Non-Managed and Managed)</t>
  </si>
  <si>
    <t>Total Medical Assistance Surcharge Base</t>
  </si>
  <si>
    <t>Medical Assistance Surcharge Calculation Estimate</t>
  </si>
  <si>
    <t>Estimated Medical Assistance Surcharge Obligation</t>
  </si>
  <si>
    <t>Catholic Health Initiatives</t>
  </si>
  <si>
    <t>Owned</t>
  </si>
  <si>
    <t>ALBERT LEA</t>
  </si>
  <si>
    <t>FREEBORN</t>
  </si>
  <si>
    <t>Chief Administrative Officer</t>
  </si>
  <si>
    <t>Amy</t>
  </si>
  <si>
    <t>Mayo Clinic</t>
  </si>
  <si>
    <t>ALEXANDRIA</t>
  </si>
  <si>
    <t>DOUGLAS</t>
  </si>
  <si>
    <t>Director of Finance</t>
  </si>
  <si>
    <t>www.dchospital.com</t>
  </si>
  <si>
    <t>Anoka Metro Regional Treatment Center</t>
  </si>
  <si>
    <t>ANOKA</t>
  </si>
  <si>
    <t>Shirley Jacobson</t>
  </si>
  <si>
    <t>Lori</t>
  </si>
  <si>
    <t>Controller</t>
  </si>
  <si>
    <t>St. Paul</t>
  </si>
  <si>
    <t>Dept of Human Services, State of MN</t>
  </si>
  <si>
    <t>APPLETON</t>
  </si>
  <si>
    <t>SWIFT</t>
  </si>
  <si>
    <t>Swenson</t>
  </si>
  <si>
    <t>Todd</t>
  </si>
  <si>
    <t>ARLINGTON</t>
  </si>
  <si>
    <t>SIBLEY</t>
  </si>
  <si>
    <t>AURORA</t>
  </si>
  <si>
    <t>ST. LOUIS</t>
  </si>
  <si>
    <t>Accountant</t>
  </si>
  <si>
    <t>www.mayohealthsystem.org</t>
  </si>
  <si>
    <t>Total Charges from Patient Care (ties to 0201)</t>
  </si>
  <si>
    <t>Total Adjustments &amp; Uncollectibles (ties to 8063)</t>
  </si>
  <si>
    <t>Bad Debt Write Offs (this should be different than Provision for Bad Debts)</t>
  </si>
  <si>
    <t>Med/Surg Admissions</t>
  </si>
  <si>
    <t>Cardiac Admissions</t>
  </si>
  <si>
    <t>Chemical Dependency Admissions</t>
  </si>
  <si>
    <t xml:space="preserve">Mental Health (Psychiatric) Admissions </t>
  </si>
  <si>
    <t>Neurology Admissions</t>
  </si>
  <si>
    <t>Neonatal (exclude routine nursery) 
Admissions</t>
  </si>
  <si>
    <t>Obstetrics Admissions</t>
  </si>
  <si>
    <t>Orthopedic Admissions</t>
  </si>
  <si>
    <t>Rehabilitation Admissions</t>
  </si>
  <si>
    <t xml:space="preserve">Other Specialty Admissions </t>
  </si>
  <si>
    <t>Total Billing Acute Care Admissions</t>
  </si>
  <si>
    <t>Total Acute and Non-Acute Care Admissions (ties to account 7176)</t>
  </si>
  <si>
    <t>Med/Surg  Patient Days</t>
  </si>
  <si>
    <t>Cardiac  Patient Days</t>
  </si>
  <si>
    <t>Chemical Dependency  Patient Days</t>
  </si>
  <si>
    <t xml:space="preserve">Mental Health (Psychiatric)  Patient Days </t>
  </si>
  <si>
    <t>Neurology  Patient Days</t>
  </si>
  <si>
    <t>Neonatal (exclude routine nursery) 
 Patient Days</t>
  </si>
  <si>
    <t>Obstetrics  Patient Days</t>
  </si>
  <si>
    <t>Orthopedic  Patient Days</t>
  </si>
  <si>
    <t>Rehabilitation  Patient Days</t>
  </si>
  <si>
    <t xml:space="preserve">Other Specialty  Patient Days </t>
  </si>
  <si>
    <t xml:space="preserve">Total Billing Acute Care Patient Days </t>
  </si>
  <si>
    <t>Balancing Patient Days Account</t>
  </si>
  <si>
    <t>Total Acute and Non-Acute Care Hospital Patient Days (ties to account 7244)</t>
  </si>
  <si>
    <t>Total Acute Care Patient Days
(ties to 4030)</t>
  </si>
  <si>
    <t>Total Acute Care Admissions 
(ties to 4320)</t>
  </si>
  <si>
    <t>Total Acute and Non-Acute Care Hospital Admissions (4320+7180)</t>
  </si>
  <si>
    <t>For availability of service, choose apporopriate item from drop down menu.</t>
  </si>
  <si>
    <t>Availability of Service</t>
  </si>
  <si>
    <t>Number of Scanners</t>
  </si>
  <si>
    <t>Utilization Counts</t>
  </si>
  <si>
    <t>Number of Cardiac Catheterizations</t>
  </si>
  <si>
    <t>Only report # of procedures where the hospital does the billing or where the procedures are billed on behalf of the hospital using the hosital's medicare provider number.</t>
  </si>
  <si>
    <t>DIAGNOSTIC IMAGING (DI) SERVICES</t>
  </si>
  <si>
    <t>Owner of DI equipment</t>
  </si>
  <si>
    <t>Fixed CT Scanners</t>
  </si>
  <si>
    <t>Mobile CT Scanners</t>
  </si>
  <si>
    <t>Magnetic Resonance Imaging (MRI) Services</t>
  </si>
  <si>
    <t>Fixed MRI Scanners</t>
  </si>
  <si>
    <t>Mobile MRI Scanners</t>
  </si>
  <si>
    <t>Drop Down descriptions</t>
  </si>
  <si>
    <t>1=On site by hospital staff</t>
  </si>
  <si>
    <t>2=Not available</t>
  </si>
  <si>
    <t>3=On site - contracted services</t>
  </si>
  <si>
    <t>4=Off site - shared services agreement</t>
  </si>
  <si>
    <t>Fixed PET Scanners</t>
  </si>
  <si>
    <t>Mobile PET Scanners</t>
  </si>
  <si>
    <t>Total Number of PET Scanners</t>
  </si>
  <si>
    <t>Other - please enter owner of equipment below</t>
  </si>
  <si>
    <t>Fixed PET/CT Scanners</t>
  </si>
  <si>
    <t>Mobile PET/CT Scanners</t>
  </si>
  <si>
    <t>Other Changes to Unrestricted Net Assets (FASB's, Changes in Accounting Principles, Transfers, etc.)</t>
  </si>
  <si>
    <t>Total Acute Care Charges (Exclude routine Nursery)</t>
  </si>
  <si>
    <t>Routine Nursery Charges (Births)</t>
  </si>
  <si>
    <t>Swing Bed Charges</t>
  </si>
  <si>
    <t>Sub-Acute and Transitional Care Charges</t>
  </si>
  <si>
    <t>Other Non-Acute Charges</t>
  </si>
  <si>
    <t>Routine Care Charges (7133+7135)</t>
  </si>
  <si>
    <t>Ancillary Services Charges
(Inpatient and Outpatient)</t>
  </si>
  <si>
    <t>Hospital Patient Care Services Charges (0730+7089)</t>
  </si>
  <si>
    <t>Accounting Manager</t>
  </si>
  <si>
    <t>BAGLEY</t>
  </si>
  <si>
    <t>CLEARWATER</t>
  </si>
  <si>
    <t>Anderson</t>
  </si>
  <si>
    <t>RAMSEY</t>
  </si>
  <si>
    <t>BAUDETTE</t>
  </si>
  <si>
    <t>LAKE OF THE WOODS</t>
  </si>
  <si>
    <t>President/CEO</t>
  </si>
  <si>
    <t>BEMIDJI</t>
  </si>
  <si>
    <t>BELTRAMI</t>
  </si>
  <si>
    <t>President &amp; CEO</t>
  </si>
  <si>
    <t>Bemidji</t>
  </si>
  <si>
    <t>Jane</t>
  </si>
  <si>
    <t>Miller</t>
  </si>
  <si>
    <t>BENSON</t>
  </si>
  <si>
    <t>Rice Memorial Hospital</t>
  </si>
  <si>
    <t>Managed</t>
  </si>
  <si>
    <t>Bigfork Valley Hospital</t>
  </si>
  <si>
    <t>BIGFORK</t>
  </si>
  <si>
    <t>ITASCA</t>
  </si>
  <si>
    <t>Bigfork</t>
  </si>
  <si>
    <t>www.bigforkvalley.org</t>
  </si>
  <si>
    <t>United Hospital District</t>
  </si>
  <si>
    <t>BLUE EARTH</t>
  </si>
  <si>
    <t>FARIBAULT</t>
  </si>
  <si>
    <t>Chief Executive Officer</t>
  </si>
  <si>
    <t>Blue Earth</t>
  </si>
  <si>
    <t>www.uhd.org</t>
  </si>
  <si>
    <t>Kyle</t>
  </si>
  <si>
    <t>PO Box 160</t>
  </si>
  <si>
    <t>BRAINERD</t>
  </si>
  <si>
    <t>CROW WING</t>
  </si>
  <si>
    <t>St. Joseph's Medical Center</t>
  </si>
  <si>
    <t>Kim</t>
  </si>
  <si>
    <t>BRECKENRIDGE</t>
  </si>
  <si>
    <t>WILKIN</t>
  </si>
  <si>
    <t>David</t>
  </si>
  <si>
    <t>Nelson</t>
  </si>
  <si>
    <t>davidnelson@catholichealth.net</t>
  </si>
  <si>
    <t>Kristin</t>
  </si>
  <si>
    <t>www.sfcare.org</t>
  </si>
  <si>
    <t>Buffalo Hospital</t>
  </si>
  <si>
    <t>BUFFALO</t>
  </si>
  <si>
    <t>WRIGHT</t>
  </si>
  <si>
    <t>All Other Outpatient Registrations (exclude hospice and home health care visits)</t>
  </si>
  <si>
    <t>Total Outpatient Registrations (exclude hospice and home health care visits)</t>
  </si>
  <si>
    <t>Total Number of Patients Admitted to Hospital through the Emergency Department</t>
  </si>
  <si>
    <r>
      <t xml:space="preserve">Total Number of Emergency Room Registrations that leave before seeing a physician (these are </t>
    </r>
    <r>
      <rPr>
        <b/>
        <i/>
        <sz val="10"/>
        <rFont val="Arial"/>
        <family val="2"/>
      </rPr>
      <t>not</t>
    </r>
    <r>
      <rPr>
        <sz val="10"/>
        <rFont val="Arial"/>
        <family val="2"/>
      </rPr>
      <t xml:space="preserve"> included in 4503).  This is OPTIONAL.</t>
    </r>
  </si>
  <si>
    <t>Reporting of this item is optional</t>
  </si>
  <si>
    <t>Medicare Admissions (Non-Managed Care)</t>
  </si>
  <si>
    <t>MA Admissions (Non-Managed Care)</t>
  </si>
  <si>
    <t>MinnesotaCare Admissions (Non-Managed Care)</t>
  </si>
  <si>
    <t>Medicare Managed Care Admissions</t>
  </si>
  <si>
    <t>PMAP Managed Care Admissions</t>
  </si>
  <si>
    <t>MinnesotaCare Managed Care Admissions</t>
  </si>
  <si>
    <t>Individual (Self-Pay) Admissions</t>
  </si>
  <si>
    <t>Other Payers: Admissions (Champus, Workers' Comp, Auto, etc.)</t>
  </si>
  <si>
    <t>Total Acute Care Admissions (ties to 4320)</t>
  </si>
  <si>
    <t>Acute Adjusted Patient Admissions.  Calculation:  (0860/0851)*4340</t>
  </si>
  <si>
    <t>Average Length of Stay.  Calculation:  (4030/4320)</t>
  </si>
  <si>
    <t>Medicare Patient Days (Non-Managed Care)</t>
  </si>
  <si>
    <t>MA Patient Days (Non-Managed Care)</t>
  </si>
  <si>
    <t>MinnesotaCare Patient Days (Non-Managed Care)</t>
  </si>
  <si>
    <t>Medicare Managed Care Patient Days</t>
  </si>
  <si>
    <t>PMAP Managed Care Patient Days</t>
  </si>
  <si>
    <t>MinnesotaCare Managed Care Patient Days</t>
  </si>
  <si>
    <t>Individual (Self-Pay) Patient Days</t>
  </si>
  <si>
    <t>Other Payers: Patient Days (Champus, Workers' Comp, Auto, etc.)</t>
  </si>
  <si>
    <t>Total Acute Care Patient Days (ties to 4030)</t>
  </si>
  <si>
    <t>Acute Adjusted Patient Days. Calculation:  (0860/0851)*4030</t>
  </si>
  <si>
    <t>Maximum daily census for the reporting period</t>
  </si>
  <si>
    <t>Minimum daily census for the reporting period</t>
  </si>
  <si>
    <t>Total Other Operating Revenue</t>
  </si>
  <si>
    <t>Total Operating Revenue (0219+0240)</t>
  </si>
  <si>
    <t>Total Operating Expenses</t>
  </si>
  <si>
    <t>Income/(Loss) from Operations (0250-0260)</t>
  </si>
  <si>
    <t>Section 2:  Non-Operating Revenue and Expense</t>
  </si>
  <si>
    <t>Total Non-Operating Revenue</t>
  </si>
  <si>
    <t>Total Non-Operating Expense</t>
  </si>
  <si>
    <t>Extraordinary Items; Gain/(Loss)</t>
  </si>
  <si>
    <t>Revenue in Excess of Expenses</t>
  </si>
  <si>
    <t>Please tie to Certified Audit</t>
  </si>
  <si>
    <t>Other Changes to Unrestricted Net Assets (FASB'S, Changes in Accounting Principles, Transfers, etc.)</t>
  </si>
  <si>
    <t>Donations/Grants for Charity Care</t>
  </si>
  <si>
    <r>
      <t>Percentage</t>
    </r>
    <r>
      <rPr>
        <sz val="10"/>
        <rFont val="Arial"/>
        <family val="2"/>
      </rPr>
      <t xml:space="preserve"> Estimate of Donations/Grants for Charity Care :  Public</t>
    </r>
  </si>
  <si>
    <r>
      <t>Percentage</t>
    </r>
    <r>
      <rPr>
        <sz val="10"/>
        <rFont val="Arial"/>
        <family val="2"/>
      </rPr>
      <t xml:space="preserve"> Estimate of Donations/Grants for Charity Care :  Private</t>
    </r>
  </si>
  <si>
    <t>Private Donations and Grants for Operations</t>
  </si>
  <si>
    <t>Public Funding for Operations</t>
  </si>
  <si>
    <t>This includes monies from the MERC grant fund and rural hospital grant programs.</t>
  </si>
  <si>
    <t>Total Operating Revenue (0750+0770)</t>
  </si>
  <si>
    <t>Total Operating Expense (ties to 0600)</t>
  </si>
  <si>
    <t>Income/(Loss) from Hospital Operations (0780-0790)</t>
  </si>
  <si>
    <t>Interest Income</t>
  </si>
  <si>
    <t>Non-Operating Donations and Grants</t>
  </si>
  <si>
    <t>Non-Operating Public Funding</t>
  </si>
  <si>
    <t>Gain on Disposal of Assets</t>
  </si>
  <si>
    <t>Gain on Sale of Investments</t>
  </si>
  <si>
    <t>Loss on Disposal of Assets</t>
  </si>
  <si>
    <t>Loss on Sale of Investments</t>
  </si>
  <si>
    <t>Net Income Before Income Tax (0700+0820-0830+0831)</t>
  </si>
  <si>
    <t>Tax Returns should be reported as a positive number.  Tax Liabilities should be reported as a negative number</t>
  </si>
  <si>
    <t>Income Tax</t>
  </si>
  <si>
    <t>Revenue in Excess of Expense</t>
  </si>
  <si>
    <t>MARSHALL</t>
  </si>
  <si>
    <t>LYON</t>
  </si>
  <si>
    <t>Williams</t>
  </si>
  <si>
    <t>Marshall</t>
  </si>
  <si>
    <t>MELROSE</t>
  </si>
  <si>
    <t>Melrose</t>
  </si>
  <si>
    <t>www.childrensmn.org</t>
  </si>
  <si>
    <t>Children's Hospitals and Clinics</t>
  </si>
  <si>
    <t>Hennepin County Medical Center</t>
  </si>
  <si>
    <t>Abbott Northwestern Hospital</t>
  </si>
  <si>
    <t>Senior Reimbursement Analyst</t>
  </si>
  <si>
    <t>University of Minnesota Medical Center - Fairview</t>
  </si>
  <si>
    <t>Steven</t>
  </si>
  <si>
    <t>Nate R. Meyer</t>
  </si>
  <si>
    <t>Nate R</t>
  </si>
  <si>
    <t>Meyer</t>
  </si>
  <si>
    <t>Ackman</t>
  </si>
  <si>
    <t>Community Behavioral Health Hospital - Bemidji</t>
  </si>
  <si>
    <t>PO Box 258</t>
  </si>
  <si>
    <t>Jennifer</t>
  </si>
  <si>
    <t>Lodge</t>
  </si>
  <si>
    <t>glodge1@fairview.org</t>
  </si>
  <si>
    <t>Kaylee Hoard</t>
  </si>
  <si>
    <t>www.hendrickshosp.org</t>
  </si>
  <si>
    <t>Jeff.Gollaher@hendrickshosp.org</t>
  </si>
  <si>
    <t>Hoof</t>
  </si>
  <si>
    <t>leverson@rainylakemedical.com</t>
  </si>
  <si>
    <t>mmarcotte@rainylakemedical.com</t>
  </si>
  <si>
    <t>Gilbertson</t>
  </si>
  <si>
    <t>gilbertsong@centracare.com</t>
  </si>
  <si>
    <t>Janet</t>
  </si>
  <si>
    <t>McCarthy</t>
  </si>
  <si>
    <t>Group (nongovernmental, FOR PROFIT)</t>
  </si>
  <si>
    <t>Center for Diagnsotic Imaging (CDI)  (ALEXANDRIA)</t>
  </si>
  <si>
    <t>Alliance Imaging - Central Region (CHICAGO, IL)</t>
  </si>
  <si>
    <t>Avera Worthington Joint Venture @ Avera Hospital (WORTHINGTON)</t>
  </si>
  <si>
    <t>Central Minnesota Diagnostic, Inc (CMDI) (MILACA)</t>
  </si>
  <si>
    <t>DMS Imaging (FARGO, ND)</t>
  </si>
  <si>
    <t>Imaging Solutions, Inc  (FARGO, ND)</t>
  </si>
  <si>
    <t>Sanford USD Medical Center (SIOUX FALLS, SD)</t>
  </si>
  <si>
    <t>Shared Health Services, LLC (OWATONNA)</t>
  </si>
  <si>
    <t>Shared Medical Services (COTTAGE GROVE, WI)</t>
  </si>
  <si>
    <t>Shared Medical Technology, Inc.  (BEMIDJI)</t>
  </si>
  <si>
    <t>St. Paul Heart Clinic - United Hospital (ST. PAUL)</t>
  </si>
  <si>
    <t>St. Paul Radiology (ST. PAUL)</t>
  </si>
  <si>
    <t xml:space="preserve">Provide the names and addresses of all outpatient departments, clinics, and components not located on the hospital's premise. Please indicate which locations are billed under the hospital's Medicare and Medicaid provider numbers. Please note that all revenues and expenses for services billed under the hospital's Medicare and Medicaid provider numbers are required to be included with the hospital reporting in the HAR report.
In addition, please provide a short description of the services provided* at the offsite component, i.e. physical therapy, speech therapy, occupational therapy, ambulatory surgery, outpatient medical services, etc.
</t>
  </si>
  <si>
    <t>Total Number of PET/CT Scanners</t>
  </si>
  <si>
    <t>Number of Inpatient PET/CT Procedures</t>
  </si>
  <si>
    <t>Number of Outpatient PET/CT Procedures</t>
  </si>
  <si>
    <t>Total Number of PET/CT Procedures</t>
  </si>
  <si>
    <t>Fixed SPECT Scanners</t>
  </si>
  <si>
    <t>Mobile SPECT Scanners</t>
  </si>
  <si>
    <t>Fixed SPECT/CT Scanners</t>
  </si>
  <si>
    <t>Mobile SPECT/CT Scanners</t>
  </si>
  <si>
    <t>Total Number of SPECT/CT Scanners</t>
  </si>
  <si>
    <t>Number of Inpatient SPECT/CT Procedures</t>
  </si>
  <si>
    <t>Number of Outpatient SPECT/CT Procedures</t>
  </si>
  <si>
    <t>Total Number of SPECT/CT Procedures</t>
  </si>
  <si>
    <t>These are the totals from Ref Lab/Radiology and/or DME/Retail Pharmacy from Sections 26 &amp; 27.</t>
  </si>
  <si>
    <t>Courtesy Contact 2 Person Fax</t>
  </si>
  <si>
    <t>Courtesy Contact 2 Person e-mail</t>
  </si>
  <si>
    <t>Courtesy Contact 2 Address</t>
  </si>
  <si>
    <t>Courtesy Contact 2 Multiple Unit</t>
  </si>
  <si>
    <t>Courtesy Contact 2 City</t>
  </si>
  <si>
    <t>Courtesy Contact 2 State</t>
  </si>
  <si>
    <t>Courtesy Contact 2 Zip5</t>
  </si>
  <si>
    <t>Capital Expenditure Person First Name</t>
  </si>
  <si>
    <t>Capital Expenditure Person Last Name</t>
  </si>
  <si>
    <t>Capital Expenditure Person Title</t>
  </si>
  <si>
    <t>Capital Expenditure Person Phone</t>
  </si>
  <si>
    <t>Capital Expenditure Person Extension</t>
  </si>
  <si>
    <t>Capital Expenditure Person Fax</t>
  </si>
  <si>
    <t>Capital Expenditure Person e-mail</t>
  </si>
  <si>
    <t>Capital Expenditure Address</t>
  </si>
  <si>
    <t>Capital Expenditure Multiple Unit</t>
  </si>
  <si>
    <t>Capital Expenditure City</t>
  </si>
  <si>
    <t>Capital Expenditure State</t>
  </si>
  <si>
    <t>Capital Expenditure Zip5</t>
  </si>
  <si>
    <t>Total Acute and Non-Acute Care Hospital Admissions (ties to 8072)</t>
  </si>
  <si>
    <t>Total Acute and Non-Acute Care Hospital Patient Days (ties to 8069)</t>
  </si>
  <si>
    <t>Date of Spending Commitment</t>
  </si>
  <si>
    <t>The date the project was authorized by an Executive or Board of Directors</t>
  </si>
  <si>
    <t>Hospital Only Income Statement. Nursing Home, Clinic, Home Health, Ambulance and Other Institutions that have been listed separately in section 1 should NOT be included from this point forward in the HAR.</t>
  </si>
  <si>
    <t>Sections 18 - 20 are Non-Public.</t>
  </si>
  <si>
    <t>Total Adult Care (18+) Admissions included in Account 8069</t>
  </si>
  <si>
    <t>Total Pediatric and Adolescent Admissions (including neonatal) included in Account 8069</t>
  </si>
  <si>
    <t>Total Adult Care Patient Days included in Account 8072</t>
  </si>
  <si>
    <t>Total Pediatric and Adolescent Patient Days (including neonatal) included in Account 8072</t>
  </si>
  <si>
    <t>Marie</t>
  </si>
  <si>
    <t>marie.davis@hcmed.org</t>
  </si>
  <si>
    <t>Bill</t>
  </si>
  <si>
    <t>bnelson@mlhealth.org</t>
  </si>
  <si>
    <t>John Unzen</t>
  </si>
  <si>
    <t>Unzen</t>
  </si>
  <si>
    <t>junzen@mlhealth.org</t>
  </si>
  <si>
    <t>Box A</t>
  </si>
  <si>
    <t>Wanda</t>
  </si>
  <si>
    <t>Fjerstad</t>
  </si>
  <si>
    <t>fjerstad.wanda@mayo.edu</t>
  </si>
  <si>
    <t>Ben Haeg, MD</t>
  </si>
  <si>
    <t>Dave</t>
  </si>
  <si>
    <t>Dr. Brian Ness</t>
  </si>
  <si>
    <t>River's Edge Hospital &amp; Clinic</t>
  </si>
  <si>
    <t>Barstad</t>
  </si>
  <si>
    <t>Beiswenger</t>
  </si>
  <si>
    <t>Debbie</t>
  </si>
  <si>
    <t>Sly</t>
  </si>
  <si>
    <t>Dr. Jeffrey Taber</t>
  </si>
  <si>
    <t>Vicki</t>
  </si>
  <si>
    <t>Maleski</t>
  </si>
  <si>
    <t>vickimaleski@catholichealth.net</t>
  </si>
  <si>
    <t>Community Behavioral Health Hospital-Alexandria</t>
  </si>
  <si>
    <t>Community Behavioral Health Hospital - Annandale</t>
  </si>
  <si>
    <t>ANNANDALE</t>
  </si>
  <si>
    <t>Darla</t>
  </si>
  <si>
    <t>Dr. Christopher Whiting</t>
  </si>
  <si>
    <t>Adam</t>
  </si>
  <si>
    <t>Community Behavioral Health Hospital - Baxter</t>
  </si>
  <si>
    <t>BAXTER</t>
  </si>
  <si>
    <t>Sara</t>
  </si>
  <si>
    <t>Fried</t>
  </si>
  <si>
    <t>tfried1@fairview.org</t>
  </si>
  <si>
    <t>Kris</t>
  </si>
  <si>
    <t>Linda</t>
  </si>
  <si>
    <t>Sanford Canby Medical Center</t>
  </si>
  <si>
    <t>Sherri</t>
  </si>
  <si>
    <t>Wisniewski</t>
  </si>
  <si>
    <t>Sanford Health</t>
  </si>
  <si>
    <t>Allison</t>
  </si>
  <si>
    <t>www.cloquethospital.com</t>
  </si>
  <si>
    <t>Reimbursement Manager</t>
  </si>
  <si>
    <t>OTTER TAIL</t>
  </si>
  <si>
    <t>Lake Region Healthcare Corporation</t>
  </si>
  <si>
    <t>Val</t>
  </si>
  <si>
    <t>Fergus Falls</t>
  </si>
  <si>
    <t>www.lrhc.org</t>
  </si>
  <si>
    <t>Capital Expenditure Contact (for Sections 61 and 62)</t>
  </si>
  <si>
    <t>Click here to go to the Capital Expenditure Section.</t>
  </si>
  <si>
    <t>Click here to go the the Capital Expenditure Project Specific Tab</t>
  </si>
  <si>
    <t>This is page is INSTITUTIONAL LEVEL Data.</t>
  </si>
  <si>
    <t>Net Patient Revenue (8062 + 8063)</t>
  </si>
  <si>
    <t>Do you want MHA to report your hospital's service line details (Charges, Days, Admissions) from the UB Data Project?</t>
  </si>
  <si>
    <t>Service Line Data</t>
  </si>
  <si>
    <t>Capital Exenditure Detail</t>
  </si>
  <si>
    <r>
      <t xml:space="preserve">This section is for reporting </t>
    </r>
    <r>
      <rPr>
        <b/>
        <i/>
        <u/>
        <sz val="10"/>
        <color indexed="10"/>
        <rFont val="Arial"/>
        <family val="2"/>
      </rPr>
      <t>Hospital Only</t>
    </r>
    <r>
      <rPr>
        <sz val="10"/>
        <color indexed="10"/>
        <rFont val="Arial"/>
        <family val="2"/>
      </rPr>
      <t xml:space="preserve"> </t>
    </r>
    <r>
      <rPr>
        <b/>
        <sz val="10"/>
        <color indexed="10"/>
        <rFont val="Arial"/>
        <family val="2"/>
      </rPr>
      <t>Community Benefit Expenses and Offsetting Revenues
If you choose to report institution or corporate level Community Benefit information, please use the space provided on page 26 of the formset.</t>
    </r>
  </si>
  <si>
    <t>If your hospital does not report to the UB data project, you must complete this section yourself.</t>
  </si>
  <si>
    <t xml:space="preserve">Balancing Admissions Account </t>
  </si>
  <si>
    <t xml:space="preserve">Balancing Days Account </t>
  </si>
  <si>
    <t>THIS IS A NON-PUBLIC ACCOUNT</t>
  </si>
  <si>
    <r>
      <t>Self Pay Discount Applied (percentage) [</t>
    </r>
    <r>
      <rPr>
        <i/>
        <sz val="10"/>
        <rFont val="Arial"/>
        <family val="2"/>
      </rPr>
      <t>Non-Public Data Element</t>
    </r>
    <r>
      <rPr>
        <sz val="10"/>
        <rFont val="Arial"/>
        <family val="2"/>
      </rPr>
      <t>]</t>
    </r>
  </si>
  <si>
    <t>Section 28:  Hospital Employed Staffing by Employee Classification</t>
  </si>
  <si>
    <t>Duluth</t>
  </si>
  <si>
    <t>Lisa</t>
  </si>
  <si>
    <t>St. Luke's Hospital</t>
  </si>
  <si>
    <t>John</t>
  </si>
  <si>
    <t>www.slhduluth.com</t>
  </si>
  <si>
    <t>What is the average partial discount applied to Uninsured Patients who qualify for a partial charity care discount under your hospital’s Charity Care Policy. Include self pay discounts in this calculation that are included in your hospital’s Charity Care Policy.</t>
  </si>
  <si>
    <t>Community Behavioral Health Hospital - Fergus Falls</t>
  </si>
  <si>
    <t>www.gracevillehealth.com</t>
  </si>
  <si>
    <t>www.granditasca.org</t>
  </si>
  <si>
    <t>Everson</t>
  </si>
  <si>
    <t>CentraCare Health System</t>
  </si>
  <si>
    <t>Carol</t>
  </si>
  <si>
    <t>Deb</t>
  </si>
  <si>
    <t>Jill</t>
  </si>
  <si>
    <t>Pamela</t>
  </si>
  <si>
    <t>dmaylan1@fairview.org</t>
  </si>
  <si>
    <t>Boike</t>
  </si>
  <si>
    <t>Ben</t>
  </si>
  <si>
    <t>benkoppelman@catholichealth.net</t>
  </si>
  <si>
    <t>Kelly</t>
  </si>
  <si>
    <t>Staff Accountant</t>
  </si>
  <si>
    <t>Community Behavioral Health Hospital - Rochester</t>
  </si>
  <si>
    <t>kokeson@lifecaremc.com</t>
  </si>
  <si>
    <t>chuss@lifecaremc.com</t>
  </si>
  <si>
    <t>ksellheim@semedicalcenter.org</t>
  </si>
  <si>
    <t>Park Nicollet Methodist Hospital</t>
  </si>
  <si>
    <t>Harris</t>
  </si>
  <si>
    <t>Analyst, Sr. - Capital</t>
  </si>
  <si>
    <t>patricia.harris@parknicollet.com</t>
  </si>
  <si>
    <t>Jessica</t>
  </si>
  <si>
    <t>Joel</t>
  </si>
  <si>
    <t>Criger</t>
  </si>
  <si>
    <t>Heidi Conrad</t>
  </si>
  <si>
    <t>www.sanfordregionalworthington.org</t>
  </si>
  <si>
    <t>Riley</t>
  </si>
  <si>
    <t>Courtesy Contact 2 Person First Name</t>
  </si>
  <si>
    <t>Courtesy Contact 2 Person Last Name</t>
  </si>
  <si>
    <t>Courtesy Contact 2 Person Title</t>
  </si>
  <si>
    <t>Courtesy Contact 2 Person Phone</t>
  </si>
  <si>
    <t>Courtesy Contact 2 Person Extension</t>
  </si>
  <si>
    <t>Project Location or Facility Name</t>
  </si>
  <si>
    <t>Total value of Projects Reported</t>
  </si>
  <si>
    <t>Projects Reported</t>
  </si>
  <si>
    <t>Retrospective Review Reporting Exceptions</t>
  </si>
  <si>
    <t>New Specialized Service</t>
  </si>
  <si>
    <t>New Specialized Service means a specialized health care procedure or treatment regimen offered by a provider that was not previously offered by the provider.</t>
  </si>
  <si>
    <t>Specialty Care</t>
  </si>
  <si>
    <t>Specialty Care includes but is not limited to cardiac, neurology, orthopedic, obstetrics, mental health, chemical dependency, and emergency services.</t>
  </si>
  <si>
    <t>Return to Project Specific tab</t>
  </si>
  <si>
    <t>Exceptions</t>
  </si>
  <si>
    <r>
      <t xml:space="preserve">Capital Expenditure Retrospective Review reporting requirements </t>
    </r>
    <r>
      <rPr>
        <b/>
        <sz val="10"/>
        <rFont val="Arial"/>
        <family val="2"/>
      </rPr>
      <t>do not apply</t>
    </r>
    <r>
      <rPr>
        <sz val="10"/>
        <rFont val="Arial"/>
        <family val="2"/>
      </rPr>
      <t xml:space="preserve"> to the following capital activities:
  1) a major spending commitment made by a research and teaching institution for purposes of conducting medical education, medical research supported or sponsored by a medical school, or by a federal or foundation grant or clinical trials;
  2) a major spending commitment for building maintenance including heating, water, electricity, and other maintenance-related expenditures; and
  3) a major spending commitment for activities, not directly related to the delivery of patient care services, including food service, laundry, housekeeping, and other service-related activities.
  4) mergers, acquisitions, and other changes in ownership or control that, in the judgment of the commissioner, do not involve a substantial expansion of service capacity or a substantial change in the nature of health care services provided.</t>
    </r>
  </si>
  <si>
    <t>return to formset</t>
  </si>
  <si>
    <t xml:space="preserve">Medical Equipment means fixed and movable equipment that is used by a provider in the provision of a health care service. </t>
  </si>
  <si>
    <t>Total Number of Projects on Capital Expend Project Specifc Tab</t>
  </si>
  <si>
    <t>Larson</t>
  </si>
  <si>
    <t>Hutchinson</t>
  </si>
  <si>
    <t>Nancy</t>
  </si>
  <si>
    <t>INTERNATIONAL FALLS</t>
  </si>
  <si>
    <t>KOOCHICHING</t>
  </si>
  <si>
    <t>Melissa</t>
  </si>
  <si>
    <t>Marcotte</t>
  </si>
  <si>
    <t>International Falls</t>
  </si>
  <si>
    <t>Avera Health</t>
  </si>
  <si>
    <t>JACKSON</t>
  </si>
  <si>
    <t>Mary</t>
  </si>
  <si>
    <t>Other Patient Care Services Charges (7094+7095+7091+7092+7096)</t>
  </si>
  <si>
    <t>Physician Professional Fees</t>
  </si>
  <si>
    <t>Other Billable Professional Fees</t>
  </si>
  <si>
    <t>Reference Lab/Reference Radiology Services Charges</t>
  </si>
  <si>
    <t>DME/Retail Pharmacy Supplies Charges</t>
  </si>
  <si>
    <t>Other (Specify)</t>
  </si>
  <si>
    <t xml:space="preserve">This is service line data (e.g. administrative billing data).  </t>
  </si>
  <si>
    <t xml:space="preserve">Inpatient Charges from 7090 (hosp patient care svcs code) and 7094 and 7095 (prof svcs codes)    </t>
  </si>
  <si>
    <t xml:space="preserve"> Inpatient Charges – Hospital Patient Care Services  </t>
  </si>
  <si>
    <t xml:space="preserve"> Inpatient Charges – Professional Patient Care Services  </t>
  </si>
  <si>
    <t>Outpatient Charges from 7090 (hosp patient care svcs code) and 7094 and 7095 (prof svcs codes)</t>
  </si>
  <si>
    <t xml:space="preserve"> Outpatient Charges – Hospital Patient Care Services  </t>
  </si>
  <si>
    <t xml:space="preserve"> Outpatient Charges – Professional Patient Care Services  </t>
  </si>
  <si>
    <t>Other Patient Charges (7091+7092+7096)</t>
  </si>
  <si>
    <t>Total Patient Charges (ties to 0740).  Calculation:  (0851+0853+7112)</t>
  </si>
  <si>
    <t>Outpatient Registrations Charges</t>
  </si>
  <si>
    <t>Audit Check</t>
  </si>
  <si>
    <t>Emergency Room Registrations Charges</t>
  </si>
  <si>
    <t>Outpatient Surgery Registration Charges</t>
  </si>
  <si>
    <t>All Other Ancillary Outpatient Charges</t>
  </si>
  <si>
    <t>Total Hospital Outpatient Charges (ties to 0853)</t>
  </si>
  <si>
    <t>Project 5</t>
  </si>
  <si>
    <t>Project 6</t>
  </si>
  <si>
    <t>Project 7</t>
  </si>
  <si>
    <t>Project 8</t>
  </si>
  <si>
    <t>Project 9</t>
  </si>
  <si>
    <t>Project 10</t>
  </si>
  <si>
    <t>Hospital Ownership Type</t>
  </si>
  <si>
    <t>For each offsite location, are the services billed under the hospital's Medicare and Medicaid provider number?</t>
  </si>
  <si>
    <t>Offsite Name</t>
  </si>
  <si>
    <t>Street Address</t>
  </si>
  <si>
    <t>Multiple Unit</t>
  </si>
  <si>
    <t>*Services Provided</t>
  </si>
  <si>
    <t>If there there are offsite locations operating under the hospital's license, please click here and provide more information on the sites</t>
  </si>
  <si>
    <t xml:space="preserve">The total dollar amount that would have been charged by a facility for rendering health care services for which the facility did not expect payment. Charity care results from a provider’s policy to provide health care services to individuals who meet the providers established criteria of inability to pay.
Self Pay discounts should be reported under (#0762) Charity Care Adjustments if the discount is specifically included in your hospital’s Charity Care policy. If a self pay discount is included in (#0762) Charity Care, do not report the amount in (#7410) Self Pay Discounts. 
</t>
  </si>
  <si>
    <t>The cost of operating professional education and training programs and providing financial assistance to physicians, medical students, nurses, nursing students, and other health professionals.  Only include Medicare Indirect Medical Education (IME) payments if the Medicare IME reimbursements are included as offsets.  Do not include costs associated with providing continuing medical education (CME), financial assistance or tuition reimbursements that are offered as employee benefits, or the as cost of required education or employee orientation programs.</t>
  </si>
  <si>
    <t xml:space="preserve">The total cost of activities to improve community health in the following areas:
1) Providing community health education, including classes, support groups and self-help programs.
2) Offering community-based clinic services and mobile units that are outside of the primary business activities of the facility.
3) Providing health care support services in the form of enrollment assistance, information and referral.
 Do not include the cost of activities whose primary purpose is marketing or directly associated with hospital patient care or discharge planning. </t>
  </si>
  <si>
    <t>The total of value of cash and in-kind contributions made by the facility to health care organization and community groups to improve the health of the community.  In-kind contributions include goods and services donated or provided for an activity without compensation.  Do not count volunteer contributions by employees or emergency funds provided to employees.  Also, do not include the cost of promotional and marketing activities.</t>
  </si>
  <si>
    <t>The value of programs and activities that, while not directly related to health care, are designed to address root causes of health problems in the community.  Programs and activities may include physical improvements to the neighborhood and housing stock, investments in economic development, support of the operational structure of communities and community networks, environmental improvements, and advocacy for health improvements.  Do not include the value of activities that are undertaken primarily for marketing purposes.  Also, do not include investments in facility construction and improvement and the cost of routine financial investments.</t>
  </si>
  <si>
    <t>The overhead cost associated with operating a community benefit program.  This may include the cost associated with maintaining dedicated community benefit staff, conducting community benefit and community asset assessments, and designing a community benefit strategy.  Do not count the cost of staff to coordinate in-house volunteer programs, including outpatient volunteer programs.  Do not count the cost of conducting market share and marketing analyses.</t>
  </si>
  <si>
    <t>Purchased Charity Care Services consist of medical services from physicians, home health agencies, pharmacies, nursing homes, etc. purchased by a hospital to help charity care patients avoid additional, more expensive inpatient hospital services related to chronic disease management for diagnosis such as chronic heart failure, diabetes, chronic obstructive pulmonary disease, etc. Purchased charity care is also used for completion of episodic treatment such as orthopedic implant patient follow on care involving nursing home stays for therapy or home health agency services for home therapy needed for complete care.</t>
  </si>
  <si>
    <t xml:space="preserve">Reclassification Worksheet </t>
  </si>
  <si>
    <t>Total Institution Reclassifications (Page 3)</t>
  </si>
  <si>
    <t>Reclasses</t>
  </si>
  <si>
    <t>Essentia Community Hospitals and Clinics (ECHC)</t>
  </si>
  <si>
    <t>P.O. Box 43, Mail Route 10809</t>
  </si>
  <si>
    <t>Olmsted Medical Center</t>
  </si>
  <si>
    <t>Weir</t>
  </si>
  <si>
    <t>Kevin Higgins</t>
  </si>
  <si>
    <t>www.olmstedmedicalcenter.org</t>
  </si>
  <si>
    <t>Dr. Jay Myers</t>
  </si>
  <si>
    <t>LifeCare Medical Center</t>
  </si>
  <si>
    <t>jkramer@semedicalcenter.org</t>
  </si>
  <si>
    <t>North Valley Health Center</t>
  </si>
  <si>
    <t>WARREN</t>
  </si>
  <si>
    <t>Mitch Kotrba</t>
  </si>
  <si>
    <t>Erickson</t>
  </si>
  <si>
    <t>Fargo</t>
  </si>
  <si>
    <t>Mitch</t>
  </si>
  <si>
    <t>Kotrba</t>
  </si>
  <si>
    <t>Warren</t>
  </si>
  <si>
    <t>Daniel</t>
  </si>
  <si>
    <r>
      <t xml:space="preserve">Many </t>
    </r>
    <r>
      <rPr>
        <u/>
        <sz val="10"/>
        <color indexed="12"/>
        <rFont val="Arial"/>
        <family val="2"/>
      </rPr>
      <t>hyperlinks</t>
    </r>
    <r>
      <rPr>
        <sz val="10"/>
        <rFont val="Arial"/>
        <family val="2"/>
      </rPr>
      <t xml:space="preserve"> also appear throughout the formset for ease of navigation.</t>
    </r>
  </si>
  <si>
    <r>
      <t xml:space="preserve">Minnesota Rules, chapter 4650.0115, require that you report all charity care provided.  Charity care </t>
    </r>
    <r>
      <rPr>
        <b/>
        <i/>
        <sz val="10"/>
        <rFont val="Arial"/>
        <family val="2"/>
      </rPr>
      <t>contacts</t>
    </r>
    <r>
      <rPr>
        <sz val="10"/>
        <rFont val="Arial"/>
        <family val="2"/>
      </rPr>
      <t xml:space="preserve"> should be counted as 1 contact per Outpatient visit and 1 contact per Inpatient stay.</t>
    </r>
  </si>
  <si>
    <t xml:space="preserve">The Name Box feature in Excel (a drop-down list in the lower left corner of the Tool Bar) has been utilized to provide easy access to key accounts and pages in the formset.  This should eliminate time-consuming searching within the formset for specific accounts.  </t>
  </si>
  <si>
    <t>an explanation in the explanation column or elsewhere on this sheet.</t>
  </si>
  <si>
    <t>code</t>
  </si>
  <si>
    <t>label</t>
  </si>
  <si>
    <t>definition</t>
  </si>
  <si>
    <t>7573
7574</t>
  </si>
  <si>
    <t>The sum of the following expenses:</t>
  </si>
  <si>
    <t>·        Accounting and financial reporting:  All costs related to fiscal services, such as general accounting, budgeting, cost accounting, payroll accounting, accounts payable, and plant, equipment, and inventory accounting.</t>
  </si>
  <si>
    <t>·        Malpractice:  All costs of malpractice including malpractice insurance, self-insurance expenses including program administration, and malpractice losses not covered by insurance, including deductibles and malpractice attorney fees.</t>
  </si>
  <si>
    <t>Total Plant, Equipment and Occupancy Expenses</t>
  </si>
  <si>
    <t xml:space="preserve">Other Payers: </t>
  </si>
  <si>
    <t>Other Payers: Adjustments and Uncollectibles</t>
  </si>
  <si>
    <t>Other Payers: Patient Charges</t>
  </si>
  <si>
    <t>Other Payers: Patient Days</t>
  </si>
  <si>
    <t>Other Payers: Admissions</t>
  </si>
  <si>
    <t>National Provider Identifier</t>
  </si>
  <si>
    <t>Self Pay Discount Percentage Applied</t>
  </si>
  <si>
    <t>This is a non-public item. The percentage applied to self pay patient charges based on AG agreement to apply discount of most favored payer.</t>
  </si>
  <si>
    <t>Average Partial Charity Care Discount Applied</t>
  </si>
  <si>
    <t>Community Care</t>
  </si>
  <si>
    <t>Underpayment for Services Provided under State Health Care Programs</t>
  </si>
  <si>
    <t>The cost of conducting research that is intended for the public domain and falls in one of the following three areas: clinical research, community health research, and research on innovative health care delivery.</t>
  </si>
  <si>
    <t>Major Capital Expenditure Commitments</t>
  </si>
  <si>
    <t>The number of acute care beds that are immediately available for use or could be brought online within a short period of time.  Available beds should not include:  labor rooms, bassinets, post-anesthesia beds, post-operative beds, or other non-routine beds.</t>
  </si>
  <si>
    <t>Cost of Operating Subsidized Services: The cost associated with providing hospital patient services that are operated at a significant financial loss.  Only include such services that meet all of the following criteria: a) exhibit negative margins even after the effects of charity or community care (7310) and Medicaid shortfalls (7577) have been removed; b) represent an actual community benefit; c) if discontinued at the facility, would be unavailable in the area or fall to the responsibility of other providers or government agencies.  Do not include potential payment shortfalls associated with care for Medicare patients.</t>
  </si>
  <si>
    <t>Average salaries per FTE classification</t>
  </si>
  <si>
    <t>Hospital</t>
  </si>
  <si>
    <t>% Change</t>
  </si>
  <si>
    <t>Total Operating Expense</t>
  </si>
  <si>
    <t>Average Charge per Outpatient Registration</t>
  </si>
  <si>
    <t>·        Other administrative expenses:  All costs for the overall operation of the facility associated with management, administration, and legal staff functions, including the costs of governing boards, executive wages and benefits, auxiliary and other volunteer groups, purchasing, telecommunications, printing and duplicating, receiving and storing, and personnel management.  Other administrative expenses includes all wages and benefits, donations and support, direct and in-kind, for the purpose of lobbying and influencing policy makers and legislators, including membership dues, and all expenses associated with public policy development, such as response to rulemaking and interaction with government agency personnel including attorney fees for reviewing and analyzing governmental policies.  Other administrative expenses does not include the costs of public relations included in promotion and marketing expenses, the costs of legal staff already allocated to other functions, or the costs of medical records, social services, and nursing administration.</t>
  </si>
  <si>
    <r>
      <t xml:space="preserve">All costs of the facility associated with, or directly incurred in the preparation and submission of financial, statistical, or other utilization, satisfaction, or quality reports, or summary plan descriptions that are required by federal, state, and local agencies.  This would include Federal Ambulatory Surgery Association (FASA) and Accreditation Association for Ambulatory Health Care, Inc. (AAAHC). The portion of Account 0637 that is administrative expenses is to be reported in Account 0630 </t>
    </r>
    <r>
      <rPr>
        <b/>
        <i/>
        <sz val="10"/>
        <rFont val="Arial"/>
        <family val="2"/>
      </rPr>
      <t>and</t>
    </r>
    <r>
      <rPr>
        <sz val="10"/>
        <rFont val="Arial"/>
        <family val="2"/>
      </rPr>
      <t xml:space="preserve"> included in the total of Account 0637.</t>
    </r>
  </si>
  <si>
    <r>
      <t xml:space="preserve">All costs related to maintaining and operating the data processing system of the facility, including such functions as admissions, medical records, patient charges, decision support systems, and fiscal services.  The portion of Account 0650 that is administrative expenses is to be reported in Account 0630 </t>
    </r>
    <r>
      <rPr>
        <b/>
        <i/>
        <sz val="10"/>
        <rFont val="Arial"/>
        <family val="2"/>
      </rPr>
      <t>and</t>
    </r>
    <r>
      <rPr>
        <sz val="10"/>
        <rFont val="Arial"/>
        <family val="2"/>
      </rPr>
      <t xml:space="preserve"> included in the total of Account 0650.</t>
    </r>
  </si>
  <si>
    <t>THIEF RIVER FALLS</t>
  </si>
  <si>
    <t>PENNINGTON</t>
  </si>
  <si>
    <t>TRACY</t>
  </si>
  <si>
    <t>TWO HARBORS</t>
  </si>
  <si>
    <t>LAKE</t>
  </si>
  <si>
    <t>www.lvmhospital.com</t>
  </si>
  <si>
    <t>St. Luke's Hospital, Duluth</t>
  </si>
  <si>
    <t>TYLER</t>
  </si>
  <si>
    <t>Dale</t>
  </si>
  <si>
    <t>Kruger</t>
  </si>
  <si>
    <t>VIRGINIA</t>
  </si>
  <si>
    <t>John Baga, MD</t>
  </si>
  <si>
    <t>Saint Elizabeth's Medical Center</t>
  </si>
  <si>
    <t>WABASHA</t>
  </si>
  <si>
    <t>Crowley</t>
  </si>
  <si>
    <t>John Wolfe</t>
  </si>
  <si>
    <t>Wolfe</t>
  </si>
  <si>
    <t>Wabasha</t>
  </si>
  <si>
    <t>Ridgeview Medical Center</t>
  </si>
  <si>
    <t>WACONIA</t>
  </si>
  <si>
    <t>CARVER</t>
  </si>
  <si>
    <t>Andrew</t>
  </si>
  <si>
    <t>Waconia</t>
  </si>
  <si>
    <t>www.ridgeviewmedical.org</t>
  </si>
  <si>
    <t>Tri-County Hospital</t>
  </si>
  <si>
    <t>Smith</t>
  </si>
  <si>
    <t>WASECA</t>
  </si>
  <si>
    <t>www.sanfordhealth.org</t>
  </si>
  <si>
    <t>Carrie</t>
  </si>
  <si>
    <t>Michalski</t>
  </si>
  <si>
    <t>Deanna</t>
  </si>
  <si>
    <t>Kolanczyk</t>
  </si>
  <si>
    <t>Kyle Chase</t>
  </si>
  <si>
    <t>Chase</t>
  </si>
  <si>
    <t>Rainy Lake Medical Center</t>
  </si>
  <si>
    <t>www.rainylakemedical.com</t>
  </si>
  <si>
    <t>Sanford Jackson Medical Center</t>
  </si>
  <si>
    <t>swensond@centracare.com</t>
  </si>
  <si>
    <t>Borgerson</t>
  </si>
  <si>
    <t>Dr. David Hirschman And Dr. Robert Sicoli</t>
  </si>
  <si>
    <t>Financial Services Manager</t>
  </si>
  <si>
    <t>cmeyer@olmmed.org</t>
  </si>
  <si>
    <t>Matt</t>
  </si>
  <si>
    <t>Controller and Director of Finance</t>
  </si>
  <si>
    <t>mpeterson@olmmed.org</t>
  </si>
  <si>
    <t>www.sanfordtracy.org</t>
  </si>
  <si>
    <t>Tracy</t>
  </si>
  <si>
    <t>john.wolfe@ministryhealth.org</t>
  </si>
  <si>
    <t>Director of Accounting and Finance</t>
  </si>
  <si>
    <t>Winona Health Services</t>
  </si>
  <si>
    <t>Jonelle</t>
  </si>
  <si>
    <t>Duellman</t>
  </si>
  <si>
    <t>joduellman@winonahealth.org</t>
  </si>
  <si>
    <t>Dr. Anthony Nardi</t>
  </si>
  <si>
    <t>Section 17: Bad Debt Write Offs</t>
  </si>
  <si>
    <t>Section 18:  Administrative Expenses (Hospital Only)</t>
  </si>
  <si>
    <t>Section 19:  Cost of Regulatory and Compliance Reporting</t>
  </si>
  <si>
    <t>Section 20:  MIS and Occupancy Expenses</t>
  </si>
  <si>
    <t>Section 21: Community Benefit Summary</t>
  </si>
  <si>
    <t>Section 22: Charity Care Summary</t>
  </si>
  <si>
    <t>Section 23:  Physician Services Schedule</t>
  </si>
  <si>
    <t>Section 24:  Other Billable Professional Services Schedule</t>
  </si>
  <si>
    <t>Section 25:  Reference Lab/Reference Radiology Services Schedule</t>
  </si>
  <si>
    <t>Section 26: DME/Retail Pharmacy Supplies Services Schedule</t>
  </si>
  <si>
    <t>Hospital Sections 23 - 26 should be filled out as applicable to each specific hospital.</t>
  </si>
  <si>
    <t>Section 26: If Account 0740: "Total Hospital Charges from Patient Care" includes revenues received by the hospital for DME/Retail Pharmacy supplies services provided by the hospital for patients that are neither admitted inpatients or registered outpatients of the hospital, you may itemize the amounts on this schedule.  See the instructions or call MHA staff for further information.</t>
  </si>
  <si>
    <t>Section 25:  If Account 0740: "Total Hospital Charges from Patient Care" includes revenues received by the hospital for reference lab/reference radiology services provided by the hospital's lab for patients that are neither admitted inpatients or registered outpatients of the hospital, you may itemize the amounts on this schedule.  See the instructions or call MHA staff for further information.</t>
  </si>
  <si>
    <t>Section 24:  If Account 0740: "Total Hospital Charges From Patient Care" includes revenues received by the hospital for professional services provided by other billable professionals employed by the hospital, you may itemize the amounts on this schedule.  See the instructions or call MHA staff for further information.</t>
  </si>
  <si>
    <t>Section 23:  If Account 0740:  "Total Hospital Charges From Patient Care" includes revenues received by the hospital for professional services provided by physicians employed by the hospital and billed on the HCFA 1500 or billed under the option 2 billing on the UB, you may itemize the amounts on this schedule.  The information provided on this schedule may be used by the Department of Human Services in calculating the Medical Care Surcharge.  See the instructions or call MHA staff for further information.</t>
  </si>
  <si>
    <t>Section 27:  Hospital Employed Staffing by Employee Classification</t>
  </si>
  <si>
    <t>Section 29:  Consultant/Contract Staffing by Employee Classification</t>
  </si>
  <si>
    <t>Section 30:  Physicians with Admitting Privileges</t>
  </si>
  <si>
    <t>Section 31: Teaching Hospital Medical Education Expenses</t>
  </si>
  <si>
    <t>Section 32:  Research Hospital Research Expenses</t>
  </si>
  <si>
    <t>This section is for hospital employed staff only.  Consultants or contracting employees are to be reported in Section 29.</t>
  </si>
  <si>
    <t>Section 33:  Emergency Services/Department</t>
  </si>
  <si>
    <t>Section 34:  Summary of Outpatient Registrations</t>
  </si>
  <si>
    <t>Section 35:  Total Admissions by Hospital Service</t>
  </si>
  <si>
    <t>Section 36:  Top Ten Hospital DRGs by Total Discharges</t>
  </si>
  <si>
    <t>Section 37: Patient Days by Hospital Service</t>
  </si>
  <si>
    <t>Section 38:  Acute Admissions by Primary Payer</t>
  </si>
  <si>
    <t>Section 39:  Calculations based on Acute Care Admissions</t>
  </si>
  <si>
    <t>Section 40:  Acute Patient Days by Primary Payer</t>
  </si>
  <si>
    <t>Section 41:  Calculations Based on Acute Patient Days</t>
  </si>
  <si>
    <t>Section 42:  Daily Census</t>
  </si>
  <si>
    <t>Section 43:  Number of Swing Beds</t>
  </si>
  <si>
    <t>Section 44:  Swing Bed Patient Days</t>
  </si>
  <si>
    <t>Section 45:  Swing Bed Admissions by Origin</t>
  </si>
  <si>
    <t>Section 46:  Swing Bed Discharges by Destination</t>
  </si>
  <si>
    <t>Section 47: Total Subacute/Transitional Care Patient Days-(Exclude care provided in an approved swing bed.)</t>
  </si>
  <si>
    <t>Section 48:  Subacute/Transitional Care Beds</t>
  </si>
  <si>
    <t>Section 49:  Subacute/Transitional Care Admissions by Origin</t>
  </si>
  <si>
    <t>Section 50:  Subacute/Transitional Care Discharges by Destination</t>
  </si>
  <si>
    <t>Section 51: Licensed Beds and Bassinets</t>
  </si>
  <si>
    <t>Section 52: Change in Licensed Beds or Bassinets</t>
  </si>
  <si>
    <t>Section 53: Available Beds in Dedicated Specialty Units</t>
  </si>
  <si>
    <t>Section 54: Available Bassinets</t>
  </si>
  <si>
    <t>Section 55:  Facilities and Services Within the Hospital</t>
  </si>
  <si>
    <t>Section 56: Capital Expenditure Commitment Summary</t>
  </si>
  <si>
    <t>Section 57: Capital Expenditure Commitment Detail</t>
  </si>
  <si>
    <t>Section 58:  Charges by Hospital Service</t>
  </si>
  <si>
    <t>Section 59: Admissions by Hospital Service</t>
  </si>
  <si>
    <t>Section 60:  Admissions by Age</t>
  </si>
  <si>
    <t>Section 61:  Total Patient Days by Hospital Service</t>
  </si>
  <si>
    <t>Section 62: Patient Days by Age</t>
  </si>
  <si>
    <t>Section 63:  Top Ten Hospital DRGs by Total Discharges</t>
  </si>
  <si>
    <t>MA/MinnesotaCare Adjustments (Non-Managed Care)</t>
  </si>
  <si>
    <t>PMAP/MinnesotaCare Managed Care Adjustments</t>
  </si>
  <si>
    <t>Full Charity Care Discount Applied (Uninsured)</t>
  </si>
  <si>
    <t>Partial Charity Care Discount Applied (Uninsured)</t>
  </si>
  <si>
    <t>Portions of sections 19 and 20 should be allocated in section 18.</t>
  </si>
  <si>
    <t>This is the portion of Physician and/or Other Billable Professional services classified as inpatient from Sections 23 &amp; 24.</t>
  </si>
  <si>
    <t>This is the portion of Physician and/or Other Billable Professional services classified as outpatient from Sections 23 &amp; 24.</t>
  </si>
  <si>
    <t>Underpayments for Services Provided under State Health Care Programs:  Estimates of payment shortfalls for services provided under the following State Health Care Programs, where state government directly sets payment rates: Medicaid, PMAP, and MinnesotaCare.  
For the purposes of reporting under section 21, “underpayments for services provided under State Health Care Programs” are calculated by subtracting payments for State Health Care Programs (the sum of patient charges and contractual adjustments) from the product of patient charges for State Health Care Programs and the cost-to-charge ratio.  This field is a calculated field, no user input is necessary.</t>
  </si>
  <si>
    <t>The cost for medical care that a hospital has determined is charity care as defined under Minnesota Rules, part 4650.0115, or for which the hospital determines after billing for the services that there is a demonstrated inability to pay. Any costs forgiven under a hospital's community care or charity care plan or under Minnesota Statutes, section 62J.83 may be counted in the hospital's calculation of “community care.”  “Community care” does not include bad debt expenses and discounted charges available to the uninsured.  
For the purposes of reporting under section 21, “community care” will be charity care (0762) adjusted by a cost to charge ratio.  This field is a calculated field, no user input is necessary.</t>
  </si>
  <si>
    <t>return to section 57</t>
  </si>
  <si>
    <t>MA/MinnesotaCare Admissions (Non-Managed Care)</t>
  </si>
  <si>
    <t>PMAP/MinnesotaCare Managed Care Admissions</t>
  </si>
  <si>
    <t>MA/MinnesotaCare Patient Days (Non-Managed Care)</t>
  </si>
  <si>
    <t>PMAP/MinnesotaCare Managed Care Patient Days</t>
  </si>
  <si>
    <t>Section 64: Offsite Location List</t>
  </si>
  <si>
    <t>Limited Liability Company (nongovernmental, FOR PROFIT)</t>
  </si>
  <si>
    <t>Contractual Adjustments</t>
  </si>
  <si>
    <t>Provision for Bad Debts (Ties to 0739)</t>
  </si>
  <si>
    <t>Provision for Bad Debts (ties to 8100)</t>
  </si>
  <si>
    <t>Total Adjustments and Uncollectibles (ties to 0760)</t>
  </si>
  <si>
    <t>The figures in accounts 5502, 5506, 5503, 5504, 5507, 7121, and 5512 are calculated based on Hospital percentages.  The formulas used are shown in each cell.  These cells are not locked and you are able to overwrite them if you have more accurate data.</t>
  </si>
  <si>
    <t>The figures in accounts 7062, 7063, 7064, 7065, 7066, and 7123 are calculated based on Hospital percentages.  The formulas used are shown in each cell.  These cells are not locked and you are able to overwrite them if you have more accurate data.</t>
  </si>
  <si>
    <t>DME/Retail Pharmacy Supplies Bad Debts included in Account 8100</t>
  </si>
  <si>
    <t>Reference Lab/Reference Radiology Bad Debts included in Account 8100</t>
  </si>
  <si>
    <t>Charity care is a required field in the HAR and cannot be reported in 8100 Bad Debt Expense.</t>
  </si>
  <si>
    <t>The amount of actual write offs for bad debt. Please break out actual bad debt write offs from insured (7568) and uninsured (7569) patients. Amounts in these categories will be used to estimate the insured and uninsured portions of (#8100) Provision for Bad Debts.</t>
  </si>
  <si>
    <r>
      <t xml:space="preserve">All Net Revenues, Expenses, Other Operating and Non-Operating Revenues, and Revenue in Excess of Expense listed on page 3 should tie to the hospital’s Audited Financial Statement. </t>
    </r>
    <r>
      <rPr>
        <b/>
        <sz val="10"/>
        <rFont val="Arial"/>
        <family val="2"/>
      </rPr>
      <t xml:space="preserve"> </t>
    </r>
    <r>
      <rPr>
        <b/>
        <u/>
        <sz val="10"/>
        <rFont val="Arial"/>
        <family val="2"/>
      </rPr>
      <t>Nursing Home, Free-Standing Clinic, Home Health, Hospice, and Ambulance revenues and expenses must then be excluded from the remaining portion of the report.</t>
    </r>
    <r>
      <rPr>
        <sz val="10"/>
        <rFont val="Arial"/>
        <family val="2"/>
      </rPr>
      <t xml:space="preserve">  Patient care services that are not considered to be hospital-related for reporting purposes are listed on page 3.  This includes patient charges, discounts, direct and indirect expenses, other operating revenues, salaries, FTEs, bad debts, charity care, etc.  </t>
    </r>
  </si>
  <si>
    <t>www.essentiahealth.org</t>
  </si>
  <si>
    <t>www.sibleymedical.org</t>
  </si>
  <si>
    <t>Zhang</t>
  </si>
  <si>
    <t>sherri.wisniewski@sanfordhealth.org</t>
  </si>
  <si>
    <t>allison.nelson@sanfordhealth.org</t>
  </si>
  <si>
    <t>Sanford Bagley Medical Center</t>
  </si>
  <si>
    <t>Andre Spence, MD</t>
  </si>
  <si>
    <t>Accounting Analyst</t>
  </si>
  <si>
    <t>Tammy</t>
  </si>
  <si>
    <t>Loosbrock</t>
  </si>
  <si>
    <t>tammy.loosbrock@sanfordhealth.org</t>
  </si>
  <si>
    <t>www.sanfordluverne.org</t>
  </si>
  <si>
    <t>Dianne Kennedy, MD</t>
  </si>
  <si>
    <t>www.riversedgehealth.org</t>
  </si>
  <si>
    <t>Dr Arden Virnig MD</t>
  </si>
  <si>
    <t>Kimber</t>
  </si>
  <si>
    <t>Wraalstad</t>
  </si>
  <si>
    <t>Carl P.</t>
  </si>
  <si>
    <t>cvaagenes@dchospital.com</t>
  </si>
  <si>
    <t>David J. Odland M.D.</t>
  </si>
  <si>
    <t>Sanford Westbrook Medical Center</t>
  </si>
  <si>
    <t>Andrew Kopperud, MD</t>
  </si>
  <si>
    <t>www.ebch.org</t>
  </si>
  <si>
    <t>Mayo Clinic Health System - Fairmont</t>
  </si>
  <si>
    <t>Site Administrator</t>
  </si>
  <si>
    <t>www.mayoclinichealthsystem.org</t>
  </si>
  <si>
    <t>Mankato</t>
  </si>
  <si>
    <t>Deborah</t>
  </si>
  <si>
    <t>Sr. Government Reimbursement Analyst</t>
  </si>
  <si>
    <t>Melissa Marcotte</t>
  </si>
  <si>
    <t>kyle.chase@glacialridge.org</t>
  </si>
  <si>
    <t>Associate</t>
  </si>
  <si>
    <t>www.prairiehealth.org</t>
  </si>
  <si>
    <t>Gish</t>
  </si>
  <si>
    <t>Kevin.Gish@essentiahealth.org</t>
  </si>
  <si>
    <t>Jay Schmidt, MD</t>
  </si>
  <si>
    <t>www,hutchhealth.com</t>
  </si>
  <si>
    <t>cnelson@hutchhealth.com</t>
  </si>
  <si>
    <t>Beau</t>
  </si>
  <si>
    <t>Hultquist</t>
  </si>
  <si>
    <t>hultquist.beau@mayo.edu</t>
  </si>
  <si>
    <t>Grand Itasca Clinic and Hospital</t>
  </si>
  <si>
    <t>Youso</t>
  </si>
  <si>
    <t>www.sanfordjackson.org</t>
  </si>
  <si>
    <t>jmhsdawson.com</t>
  </si>
  <si>
    <t>Darryn</t>
  </si>
  <si>
    <t>McGarvey</t>
  </si>
  <si>
    <t>Hallock</t>
  </si>
  <si>
    <t>CentraCare Health System - Long Prairie</t>
  </si>
  <si>
    <t>Carol Borgerson</t>
  </si>
  <si>
    <t>cborgerson@mlhmn.org</t>
  </si>
  <si>
    <t>www.mlhmn.org</t>
  </si>
  <si>
    <t>Mahnomen</t>
  </si>
  <si>
    <t>paulsona@centracare.com</t>
  </si>
  <si>
    <t>SVP President</t>
  </si>
  <si>
    <t>sara.criger@allina.com</t>
  </si>
  <si>
    <t>Manager, Regulatory Analysis</t>
  </si>
  <si>
    <t>Bryan</t>
  </si>
  <si>
    <t>Sanford Bemidji Medical Center</t>
  </si>
  <si>
    <t>sanfordhealth.org</t>
  </si>
  <si>
    <t>http://www.northmemorial.com</t>
  </si>
  <si>
    <t>Northfield Hospital &amp; Clinics</t>
  </si>
  <si>
    <t>http://www.sanfordhealth.org/</t>
  </si>
  <si>
    <t>Jawad Khan, MD</t>
  </si>
  <si>
    <t>Higgins</t>
  </si>
  <si>
    <t>khiggins@olmmed.org</t>
  </si>
  <si>
    <t>Lawrence Strate</t>
  </si>
  <si>
    <t>Holtz</t>
  </si>
  <si>
    <t>Perham Health</t>
  </si>
  <si>
    <t>www.perhamhealth.org</t>
  </si>
  <si>
    <t>Pipestone</t>
  </si>
  <si>
    <t>mayoclinichealthsystem.org</t>
  </si>
  <si>
    <t>Dr. Mark Ahlquist</t>
  </si>
  <si>
    <t>CMichalski@riverviewhealth.org</t>
  </si>
  <si>
    <t>Betty Arvidson</t>
  </si>
  <si>
    <t>Eric</t>
  </si>
  <si>
    <t>Dr. Fashoro</t>
  </si>
  <si>
    <t>Betty</t>
  </si>
  <si>
    <t>Arvidson</t>
  </si>
  <si>
    <t>barvidson@riverviewhealth.org</t>
  </si>
  <si>
    <t>www.lifecaremedicalcenter.org</t>
  </si>
  <si>
    <t>Erika Miles, MD</t>
  </si>
  <si>
    <t>Dr. Brian Clarkowski</t>
  </si>
  <si>
    <t>stgabriels.com</t>
  </si>
  <si>
    <t>wwww.mayoclinichealthsystem.org</t>
  </si>
  <si>
    <t>Jay</t>
  </si>
  <si>
    <t>Ross</t>
  </si>
  <si>
    <t>jayross@catholichealth.net</t>
  </si>
  <si>
    <t>Eric Lohn</t>
  </si>
  <si>
    <t>http://www.mayoclinic.org/saintmaryshospital/</t>
  </si>
  <si>
    <t>christiansond@centracare.com</t>
  </si>
  <si>
    <t>Reimbursement Director</t>
  </si>
  <si>
    <t>Sanford Tracy Medical Center</t>
  </si>
  <si>
    <t>Abdul Khan, MD</t>
  </si>
  <si>
    <t>Stephen E. Davis, M.D.</t>
  </si>
  <si>
    <t>www.sanfordwheaton.org</t>
  </si>
  <si>
    <t>Anthony</t>
  </si>
  <si>
    <t>Hoffarth</t>
  </si>
  <si>
    <t>Sanford Worthington Medical Center</t>
  </si>
  <si>
    <t>Martin Jackson</t>
  </si>
  <si>
    <t>www.selectmedical.com</t>
  </si>
  <si>
    <t>Select Medical Corporation</t>
  </si>
  <si>
    <t>No ER Department</t>
  </si>
  <si>
    <t>Golden Valley</t>
  </si>
  <si>
    <t>Maple Grove Hospital</t>
  </si>
  <si>
    <t>MAPLE GROVE</t>
  </si>
  <si>
    <t>www.maplegrovehospital.com</t>
  </si>
  <si>
    <t>Jeffrey Elder, MD</t>
  </si>
  <si>
    <t>PrairieCare</t>
  </si>
  <si>
    <t>Physician Bad Debts included in Account 8100. 
Calculation: (8100/0760)*5503</t>
  </si>
  <si>
    <t>Other Billable Professional Bad Debts included in Account 8100. Calculation: (8100/0760)*7064</t>
  </si>
  <si>
    <t>915 East 1st Street</t>
  </si>
  <si>
    <t>Total Medicare Patient Charges</t>
  </si>
  <si>
    <t>Medicare</t>
  </si>
  <si>
    <t>Total MA/PMAP Patient Charges</t>
  </si>
  <si>
    <t>MA
PMAP</t>
  </si>
  <si>
    <t>MNCare</t>
  </si>
  <si>
    <t>Total MinnesotaCare Patient Charges</t>
  </si>
  <si>
    <t>Total Commerical Insurers, Nonprofit Health Plans, and Private (Non-Public Programs) Patient Charges</t>
  </si>
  <si>
    <t>Total Medicare Adjustments</t>
  </si>
  <si>
    <t>Total MA/PMAP Adjustments</t>
  </si>
  <si>
    <t>Total MinnesotaCare Adjustments</t>
  </si>
  <si>
    <t>Total Commerical Insurers, Nonprofit Health Plans, and Private (Non-Public Programs) Patient Adjustments</t>
  </si>
  <si>
    <t>Total Medicare Admissions</t>
  </si>
  <si>
    <t>Total MA/PMAP Admissions</t>
  </si>
  <si>
    <t>Total MinnesotaCare Admissions</t>
  </si>
  <si>
    <t>Commercial Insurers, Nonprofit Health Plans, Private (Non-Public Prog) Admissions</t>
  </si>
  <si>
    <t>Total Medicare Patient Days</t>
  </si>
  <si>
    <t>Commercial Insurers, Nonprofit Health Plans, Private (Non-Public Prog) Days</t>
  </si>
  <si>
    <t>Total MA/PMAP Days</t>
  </si>
  <si>
    <t>Total MinnesotaCare Days</t>
  </si>
  <si>
    <t>Imaging Technician</t>
  </si>
  <si>
    <t>PMAP/MinnesotaCare Managed Care Patient Charges</t>
  </si>
  <si>
    <t>This information is required by Minnesota Statutes, section 62J.17, subdivision 5a in order for the Minnesota Department of Health (MDH) to complete a retrospective review of commitments made for each project totaling over $1 million. If you have questions about completing this information, please contact health.hccis@state.mn.us.</t>
  </si>
  <si>
    <t>CER</t>
  </si>
  <si>
    <t>For MDH Staff</t>
  </si>
  <si>
    <t xml:space="preserve"> Project Address</t>
  </si>
  <si>
    <t>Project City</t>
  </si>
  <si>
    <t>Actual Commitment Date</t>
  </si>
  <si>
    <t>Definition of Spending Commitment Date</t>
  </si>
  <si>
    <t>Project Cost</t>
  </si>
  <si>
    <t>Distance to the location of the nearest equivalent service or technology</t>
  </si>
  <si>
    <t>Miles</t>
  </si>
  <si>
    <t>Title and General Description of the Project</t>
  </si>
  <si>
    <r>
      <t>Retrospective Review Exceptions
(please indicate if this project falls</t>
    </r>
    <r>
      <rPr>
        <b/>
        <i/>
        <sz val="10"/>
        <color indexed="16"/>
        <rFont val="Arial"/>
        <family val="2"/>
      </rPr>
      <t xml:space="preserve">
</t>
    </r>
    <r>
      <rPr>
        <b/>
        <sz val="10"/>
        <color indexed="16"/>
        <rFont val="Arial"/>
        <family val="2"/>
      </rPr>
      <t>in any of the following categories)</t>
    </r>
  </si>
  <si>
    <t>Exceptions Definitions</t>
  </si>
  <si>
    <t>Medical Education</t>
  </si>
  <si>
    <t>What is the General Purpose of the Project?</t>
  </si>
  <si>
    <t>Building Maintenance</t>
  </si>
  <si>
    <t>Non-Patient Care Services</t>
  </si>
  <si>
    <t>Change in Ownership Resulting in
Non-Expansion in Service Capacity</t>
  </si>
  <si>
    <t>Please select elements of your project from as many drop down menus as apply.</t>
  </si>
  <si>
    <t>Project Type</t>
  </si>
  <si>
    <t>Project Subtype 1</t>
  </si>
  <si>
    <t>Project Subtype 2</t>
  </si>
  <si>
    <t>Project Subtype 3</t>
  </si>
  <si>
    <t>Please provide details regarding improved access to care.</t>
  </si>
  <si>
    <t>Are equivalent services available within 30 miles for your patient population?</t>
  </si>
  <si>
    <t>Does the project involve new or increased capacity?</t>
  </si>
  <si>
    <t>What was the capacity level prior to expansion or added equipment?</t>
  </si>
  <si>
    <t>Please provide any additional information regarding how this project improves access to care.</t>
  </si>
  <si>
    <t>Please list the closest providers (name and town/city) of equivalent services or technology currently available within 10 miles.</t>
  </si>
  <si>
    <t>Please provide details regarding improved patient quality and/or clinical effectiveness of care.</t>
  </si>
  <si>
    <t>Does the project result in improved patient quality and/or more effective clinical care than prior to the expenditure?</t>
  </si>
  <si>
    <t>Are any improvements in quality or clinical effectiveness supported by evidence?</t>
  </si>
  <si>
    <t>Please provide any additional information describing how the project improves patient quality or clinical effectiveness of care.</t>
  </si>
  <si>
    <t>Please list the source(s) of evidence for improved quality and/or clinical effectiveness.</t>
  </si>
  <si>
    <t>Please provide a description of alternatives considered and why more or less cost effective options were discarded.</t>
  </si>
  <si>
    <t>Please describe any lawful collaborative arrangements, including the type of collaboration, the partnership name, the names of the partners, a description of their involvement and any other information that will facilitate a complete review of this project.</t>
  </si>
  <si>
    <r>
      <rPr>
        <sz val="10"/>
        <color indexed="10"/>
        <rFont val="Arial"/>
        <family val="2"/>
      </rPr>
      <t>Valid Repsonses and VLOOKUP Valid Values for</t>
    </r>
    <r>
      <rPr>
        <b/>
        <sz val="10"/>
        <color indexed="10"/>
        <rFont val="Arial"/>
        <family val="2"/>
      </rPr>
      <t xml:space="preserve"> </t>
    </r>
  </si>
  <si>
    <t>HCCIS.HOSPITAL_CAP_EXP_RR_TYPE_TBL.PROJECT_TYPE_ID</t>
  </si>
  <si>
    <t>ProjType</t>
  </si>
  <si>
    <t>Subtype1</t>
  </si>
  <si>
    <t>Subtype3</t>
  </si>
  <si>
    <t>Diagnostic Imaging Center</t>
  </si>
  <si>
    <t>Anesthesia</t>
  </si>
  <si>
    <t>Inpatient Hospital</t>
  </si>
  <si>
    <t>Angiography or Arteriography</t>
  </si>
  <si>
    <t>Building and Space &amp; Medical Equipment</t>
  </si>
  <si>
    <t>Outpatient Hospital or Hospital-Based Clinic(s)</t>
  </si>
  <si>
    <t>Clinical Practice Space</t>
  </si>
  <si>
    <t>Health Information Technology</t>
  </si>
  <si>
    <t>Inpatient &amp; Outpatient Hosptial</t>
  </si>
  <si>
    <t>Computed Tomography (CT) - Additional</t>
  </si>
  <si>
    <t>Non-Patient Care</t>
  </si>
  <si>
    <t>Outpatient Surgery Center</t>
  </si>
  <si>
    <t>Computed Tomography (CT) - Replacement</t>
  </si>
  <si>
    <t>Remote Access</t>
  </si>
  <si>
    <t>Physician Clinic(s)</t>
  </si>
  <si>
    <t>Computer, Phone, or Monitoring</t>
  </si>
  <si>
    <t>Yes, services are available within 30 miles</t>
  </si>
  <si>
    <t>Dialysis</t>
  </si>
  <si>
    <t>No, services are not available within 30 miles</t>
  </si>
  <si>
    <t>Infusion</t>
  </si>
  <si>
    <t>Capacity</t>
  </si>
  <si>
    <t>Subtype2</t>
  </si>
  <si>
    <t>Inpatient Bed Expansion (double occupancy)</t>
  </si>
  <si>
    <t>Yes, Capacity will be Increased</t>
  </si>
  <si>
    <t>Ambulatory Care</t>
  </si>
  <si>
    <t>Inpatient Bed Expansion (single occupancy)</t>
  </si>
  <si>
    <t>No Increase in Capacity</t>
  </si>
  <si>
    <t>Magnetic Resonance Imaging (MRI) - Additional</t>
  </si>
  <si>
    <t>Chemical Dependency/Detoxification</t>
  </si>
  <si>
    <t>Magnetic Resonance Imaging (MRI) - Replacement</t>
  </si>
  <si>
    <t>Prior Capacity (PriorCap)</t>
  </si>
  <si>
    <t>Critical Care (ICU or NICU)</t>
  </si>
  <si>
    <t>Operating Room</t>
  </si>
  <si>
    <t>0-20% occupied or used</t>
  </si>
  <si>
    <t>Emergency Services</t>
  </si>
  <si>
    <t>Other Health Information Technology</t>
  </si>
  <si>
    <t>20-50% occupied or used</t>
  </si>
  <si>
    <t>Geriatrics</t>
  </si>
  <si>
    <t>50-80% occupied or used</t>
  </si>
  <si>
    <t>Indirect Patient Care</t>
  </si>
  <si>
    <t>Other Surgical Equipment</t>
  </si>
  <si>
    <t>Over 80% occupied or used</t>
  </si>
  <si>
    <t>Laboratory</t>
  </si>
  <si>
    <t>PET/CT - New</t>
  </si>
  <si>
    <t>PET/CT - Replacement</t>
  </si>
  <si>
    <t>Multiple Specialty Areas</t>
  </si>
  <si>
    <t>Positron Emission Tomography (PET) - Additional</t>
  </si>
  <si>
    <t>Positron Emission Tomography (PET) - Replacement</t>
  </si>
  <si>
    <t>Impact</t>
  </si>
  <si>
    <t>Yes, project will improve patient quality and/or clinical effectiveness</t>
  </si>
  <si>
    <t>Robotic Surgery</t>
  </si>
  <si>
    <t>No, project will not improve patient quality and/or clinical effectiveness</t>
  </si>
  <si>
    <t>Oncology</t>
  </si>
  <si>
    <t>Single-Photon Emission CT (SPECT) - Additional</t>
  </si>
  <si>
    <t>Single-Photon Emission CT (SPECT) - Replacement</t>
  </si>
  <si>
    <t>Evidence</t>
  </si>
  <si>
    <t>Other Medical/Surgical Care</t>
  </si>
  <si>
    <t>SPECT/CT - Additional</t>
  </si>
  <si>
    <t>Yes, quality and/or effectiveness is supported by evidence</t>
  </si>
  <si>
    <t>Other Patient Care</t>
  </si>
  <si>
    <t>SPECT/CT - Replacement</t>
  </si>
  <si>
    <t>No, quality and/or effectiveness is not supported by evidence</t>
  </si>
  <si>
    <t>Other Specialty Care</t>
  </si>
  <si>
    <t>Other Women's &amp; Children's Patient Care</t>
  </si>
  <si>
    <t>Pediatrics</t>
  </si>
  <si>
    <t>Peri-Operative Care</t>
  </si>
  <si>
    <t>Pharmacy</t>
  </si>
  <si>
    <t>Primary Care/Family Medicine</t>
  </si>
  <si>
    <t>Radiology</t>
  </si>
  <si>
    <t>Urgent Care</t>
  </si>
  <si>
    <t>www.riverwoodhealthcare.org</t>
  </si>
  <si>
    <t>Executive Director</t>
  </si>
  <si>
    <t>Kevin Boren</t>
  </si>
  <si>
    <t>Anthony.Hoffarth@essentiahealth.org</t>
  </si>
  <si>
    <t>Jay Ross</t>
  </si>
  <si>
    <t>Larsen</t>
  </si>
  <si>
    <t>Principal</t>
  </si>
  <si>
    <t>dan.larsen@claconnect.com</t>
  </si>
  <si>
    <t>Dr. Justin Quo</t>
  </si>
  <si>
    <t>Brainerd</t>
  </si>
  <si>
    <t>Division Accountant</t>
  </si>
  <si>
    <t>Taha</t>
  </si>
  <si>
    <t>Valibhai</t>
  </si>
  <si>
    <t>taha.valibhai@allina.com</t>
  </si>
  <si>
    <t>Sisk</t>
  </si>
  <si>
    <t>Lori.Sisk@sanfordhealth.org</t>
  </si>
  <si>
    <t>10 5th St SE</t>
  </si>
  <si>
    <t>Roger</t>
  </si>
  <si>
    <t>Newcome</t>
  </si>
  <si>
    <t>Manager of Reimbursement</t>
  </si>
  <si>
    <t>Roger.Newcome@allina.com</t>
  </si>
  <si>
    <t>Crystal M Bothun</t>
  </si>
  <si>
    <t>Crystal M</t>
  </si>
  <si>
    <t>Bothun</t>
  </si>
  <si>
    <t>cmbothun@jmhsmn.org</t>
  </si>
  <si>
    <t>Dr. Bud Belk</t>
  </si>
  <si>
    <t>Nathan J.</t>
  </si>
  <si>
    <t>Cavallin</t>
  </si>
  <si>
    <t>nathan.cavallin@slhduluth.com</t>
  </si>
  <si>
    <t>Chris</t>
  </si>
  <si>
    <t>Debra</t>
  </si>
  <si>
    <t>800 Medical Center Drive</t>
  </si>
  <si>
    <t>Kim.Bodensteiner@essentiahealth.org</t>
  </si>
  <si>
    <t>Angela</t>
  </si>
  <si>
    <t>angela.erickson@grhsonline.org</t>
  </si>
  <si>
    <t>Mechanicsburg</t>
  </si>
  <si>
    <t>PA</t>
  </si>
  <si>
    <t>darryn.mcgarvey@CLAconnect.com</t>
  </si>
  <si>
    <t>jeff.gollaher@hendricksosp.org</t>
  </si>
  <si>
    <t>Hutchinson Health</t>
  </si>
  <si>
    <t>Dr. Brant Hacker</t>
  </si>
  <si>
    <t>Jane.Zhang@allina.com</t>
  </si>
  <si>
    <t>Rosendahl</t>
  </si>
  <si>
    <t>andrew.rosendahl@childrensmn.org</t>
  </si>
  <si>
    <t>Sr Government Reimbursement Analyst</t>
  </si>
  <si>
    <t>Patrick</t>
  </si>
  <si>
    <t>www.fl-hs.org</t>
  </si>
  <si>
    <t>Toby</t>
  </si>
  <si>
    <t>Freier</t>
  </si>
  <si>
    <t>Toby.Freier@allina.com</t>
  </si>
  <si>
    <t>Underdahl</t>
  </si>
  <si>
    <t>President / CEO</t>
  </si>
  <si>
    <t>underdahls@northfieldhospital.org</t>
  </si>
  <si>
    <t>Nathan</t>
  </si>
  <si>
    <t>Blad</t>
  </si>
  <si>
    <t>jennifer.holtz@centracare.com</t>
  </si>
  <si>
    <t>chuck.hofius@perhamhealth.org</t>
  </si>
  <si>
    <t>Timothy Studer, D.O.</t>
  </si>
  <si>
    <t>tweir@olmmed.org</t>
  </si>
  <si>
    <t>Essentia Health - Sandstone</t>
  </si>
  <si>
    <t>Robyn Van</t>
  </si>
  <si>
    <t>Heuvelen</t>
  </si>
  <si>
    <t>Cindy</t>
  </si>
  <si>
    <t>Forté</t>
  </si>
  <si>
    <t>Gov't Regulatory Analyst</t>
  </si>
  <si>
    <t>cindy.forte@parknicollet.com</t>
  </si>
  <si>
    <t>6500 Excelsior Blvd</t>
  </si>
  <si>
    <t>Director, Revenue Rptg &amp; Reg. Analysis</t>
  </si>
  <si>
    <t>craig.larson@parknicollet.com</t>
  </si>
  <si>
    <t>Joers</t>
  </si>
  <si>
    <t>bjoers@gillettechildrens.com</t>
  </si>
  <si>
    <t>joel.beiswenger@tchc.org</t>
  </si>
  <si>
    <t>Kim Aagard</t>
  </si>
  <si>
    <t>debbie.sly@tchc.org</t>
  </si>
  <si>
    <t>www.tchc.org</t>
  </si>
  <si>
    <t>Dawn</t>
  </si>
  <si>
    <t>mitchell.kotrba@northvalleyhealth.org</t>
  </si>
  <si>
    <t>Jan Brosnahan</t>
  </si>
  <si>
    <t>RN Salary 2021</t>
  </si>
  <si>
    <t>RN FTE 2031</t>
  </si>
  <si>
    <t>LPN Salary 2022</t>
  </si>
  <si>
    <t>LPN FTE 2032</t>
  </si>
  <si>
    <t>Nurse Anest Salary 2121</t>
  </si>
  <si>
    <t>Nruse Anest FTE 2131</t>
  </si>
  <si>
    <t>NP Salary 2026</t>
  </si>
  <si>
    <t>NP FTE 2036</t>
  </si>
  <si>
    <t>NA Salary 2023</t>
  </si>
  <si>
    <t>NA FTE 2033</t>
  </si>
  <si>
    <t>Pharmacist Salary 2027</t>
  </si>
  <si>
    <t>Pharmacist FTE 2037</t>
  </si>
  <si>
    <t>Physician Salary 2024</t>
  </si>
  <si>
    <t>Physician FTE 2034</t>
  </si>
  <si>
    <t>Phys Assist Salary 2028</t>
  </si>
  <si>
    <t>Phys Assist FTE 2038</t>
  </si>
  <si>
    <t>Occup Therapist Salary 2122</t>
  </si>
  <si>
    <t>Occup Therapist FTE 2132</t>
  </si>
  <si>
    <t>Phys Therapist Salary 2123</t>
  </si>
  <si>
    <t>Phys Therapist FTE 2133</t>
  </si>
  <si>
    <t>Lab Tech Salary 2125</t>
  </si>
  <si>
    <t>Lab Tech FTE 2135</t>
  </si>
  <si>
    <t>Other Salary 2128</t>
  </si>
  <si>
    <t>Other FTE 2138</t>
  </si>
  <si>
    <t>Total Salary 2030</t>
  </si>
  <si>
    <t>Total FTE 2040</t>
  </si>
  <si>
    <t>Licensed Beds 4504</t>
  </si>
  <si>
    <t>Previous Project MDH Reference ID</t>
  </si>
  <si>
    <t>Report Year</t>
  </si>
  <si>
    <t>Project Location</t>
  </si>
  <si>
    <t>Commitment Date</t>
  </si>
  <si>
    <t>Commitment Dollars</t>
  </si>
  <si>
    <t>Brief Description</t>
  </si>
  <si>
    <t>Reference MDH System Name</t>
  </si>
  <si>
    <t>Reference MDH System ID</t>
  </si>
  <si>
    <t>Reference MDH Project ID</t>
  </si>
  <si>
    <t>Reporting Entity</t>
  </si>
  <si>
    <t>Reporting Entity City</t>
  </si>
  <si>
    <t>Original Reporting Form</t>
  </si>
  <si>
    <t>Original Project Number</t>
  </si>
  <si>
    <t>Reported Commitment Date</t>
  </si>
  <si>
    <t>Reported Commitment Dollars</t>
  </si>
  <si>
    <t>Project Location Name</t>
  </si>
  <si>
    <t>Project Location Address</t>
  </si>
  <si>
    <t>Project Location City</t>
  </si>
  <si>
    <t>Project Description</t>
  </si>
  <si>
    <t>Allina Health System</t>
  </si>
  <si>
    <t>800 E. 28th Street</t>
  </si>
  <si>
    <t>4050 Coon Rapids Blvd</t>
  </si>
  <si>
    <t>333 North Smith Avenue</t>
  </si>
  <si>
    <t>1406 6th Ave N</t>
  </si>
  <si>
    <t>1027 Washington Avenue</t>
  </si>
  <si>
    <t>6401 France Avenue South</t>
  </si>
  <si>
    <t>2450 Riverside Avenue</t>
  </si>
  <si>
    <t>Gillette Children's Hospital</t>
  </si>
  <si>
    <t>HealthPartners</t>
  </si>
  <si>
    <t>715 Delmore Drive</t>
  </si>
  <si>
    <t>201 West Center Street</t>
  </si>
  <si>
    <t>1216 Second Street SW</t>
  </si>
  <si>
    <t>ST. PETER</t>
  </si>
  <si>
    <t>200 Bunker Hill Drive</t>
  </si>
  <si>
    <t>1300 Anne Street NW</t>
  </si>
  <si>
    <t>Project Number</t>
  </si>
  <si>
    <t>Unique ID</t>
  </si>
  <si>
    <t>Project</t>
  </si>
  <si>
    <t>Please check here to ensure this project has not be reported in a previous year.</t>
  </si>
  <si>
    <t>Return to Capital Expend Project Specific tab</t>
  </si>
  <si>
    <t>Hospital Specific Reclassifications (Pages 4-7)</t>
  </si>
  <si>
    <r>
      <t>Underpayment for Services Provided under State Health Care Programs.</t>
    </r>
    <r>
      <rPr>
        <sz val="10"/>
        <color indexed="8"/>
        <rFont val="Arial"/>
        <family val="2"/>
      </rPr>
      <t xml:space="preserve">  Calculation: (((7253+7256)*(600/(740+770))-(7253+7256+7263+7266))</t>
    </r>
  </si>
  <si>
    <t>MA/MinnesotaCare Patient Charges (Non-Managed Care)</t>
  </si>
  <si>
    <t>320 East Main Street</t>
  </si>
  <si>
    <t>10 4th Ave SE</t>
  </si>
  <si>
    <t>Essentia Health - Duluth</t>
  </si>
  <si>
    <t>502 East Second Street</t>
  </si>
  <si>
    <t>CentraCare Health - Monticello</t>
  </si>
  <si>
    <t>1013 Hart Blvd</t>
  </si>
  <si>
    <t>Regina Hospital</t>
  </si>
  <si>
    <t>Mayo Clinic Hospital - Rochester</t>
  </si>
  <si>
    <t>Jon</t>
  </si>
  <si>
    <t>Kuhnau</t>
  </si>
  <si>
    <t xml:space="preserve">  </t>
  </si>
  <si>
    <t>Ridgeview Sibley Medical Center</t>
  </si>
  <si>
    <t>Dr. Matthew Herold</t>
  </si>
  <si>
    <t>Sigelman</t>
  </si>
  <si>
    <t>jill.sigelman@claconnect.com</t>
  </si>
  <si>
    <t>Helean</t>
  </si>
  <si>
    <t>Robertson</t>
  </si>
  <si>
    <t>Kurt</t>
  </si>
  <si>
    <t>Waldbillig</t>
  </si>
  <si>
    <t>Aaron</t>
  </si>
  <si>
    <t>Saude</t>
  </si>
  <si>
    <t>ASaude@bigforkvalley.org</t>
  </si>
  <si>
    <t>Director of Government Reimbursement</t>
  </si>
  <si>
    <t>http://www.allinahealth.org/Cambridge-Medical-Center/</t>
  </si>
  <si>
    <t>Teresa</t>
  </si>
  <si>
    <t>Debevec</t>
  </si>
  <si>
    <t>www.allinahealth.org/Mercy-Hospital/</t>
  </si>
  <si>
    <t>Gunderson</t>
  </si>
  <si>
    <t>Deb.Gunderson@EssentiaHealth.org</t>
  </si>
  <si>
    <t>Nicholas Van Deelen</t>
  </si>
  <si>
    <t>chris.johnson@slhduluth.com</t>
  </si>
  <si>
    <t>Ely-Bloomenson Community Hospital</t>
  </si>
  <si>
    <t>Dr. Darren Swanson</t>
  </si>
  <si>
    <t>Sybil</t>
  </si>
  <si>
    <t>Ona</t>
  </si>
  <si>
    <t>sybil.ona@allina.com</t>
  </si>
  <si>
    <t>Mitchell N. Palmer, M.D.</t>
  </si>
  <si>
    <t>Glenwood</t>
  </si>
  <si>
    <t>http://www.allinahealth.org/Regina-Hospital/</t>
  </si>
  <si>
    <t>Tabb McCluskey, DO</t>
  </si>
  <si>
    <t>Dr. Kevin</t>
  </si>
  <si>
    <t>Croston</t>
  </si>
  <si>
    <t>kevin.croston@northmemorial.com</t>
  </si>
  <si>
    <t>James Miner, MD</t>
  </si>
  <si>
    <t>www.allinahealth.org/New-Ulm-Medical-Center/</t>
  </si>
  <si>
    <t>Scott Edin</t>
  </si>
  <si>
    <t>www.mlhealth.org</t>
  </si>
  <si>
    <t>Dr. Allan Ross, MD</t>
  </si>
  <si>
    <t>Mark Gillen</t>
  </si>
  <si>
    <t>http://www.allinahealth.org/Owatonna-Hospital/</t>
  </si>
  <si>
    <t>ryan.hill@pcmchealth.org</t>
  </si>
  <si>
    <t>916 Fourth Ave SW</t>
  </si>
  <si>
    <t>Don</t>
  </si>
  <si>
    <t>Pavelka</t>
  </si>
  <si>
    <t>dpavelka@olmmed.org</t>
  </si>
  <si>
    <t>Kenneth</t>
  </si>
  <si>
    <t>Ackerman</t>
  </si>
  <si>
    <t>Assoc - Administrator Hospital</t>
  </si>
  <si>
    <t>ackerman.kenneth@mayo.edu</t>
  </si>
  <si>
    <t>COO</t>
  </si>
  <si>
    <t>Michael.Hedrix@essentiahealth.org</t>
  </si>
  <si>
    <t>http://www.stfrancis-shakopee.com/</t>
  </si>
  <si>
    <t>Dr. Peter Charvat</t>
  </si>
  <si>
    <t>Connelly</t>
  </si>
  <si>
    <t>CMO</t>
  </si>
  <si>
    <t>steven.connelly@parknicollet.com</t>
  </si>
  <si>
    <t>PO BOx 650</t>
  </si>
  <si>
    <t>Megan</t>
  </si>
  <si>
    <t>Remark</t>
  </si>
  <si>
    <t>megan.m.remark@healthpartners.com</t>
  </si>
  <si>
    <t>Kurt Isenberger, MD</t>
  </si>
  <si>
    <t>www.allinahealth.org/United-Hospital/</t>
  </si>
  <si>
    <t>Theodore</t>
  </si>
  <si>
    <t>Wegleitner</t>
  </si>
  <si>
    <t>www.lakeviewhealth.org</t>
  </si>
  <si>
    <t>Michelle</t>
  </si>
  <si>
    <t>Kraft</t>
  </si>
  <si>
    <t>michelle.a.kraft@lakeview.org</t>
  </si>
  <si>
    <t>brian.carlson@sanfordhealth.org</t>
  </si>
  <si>
    <t>stacy.barstad@sanfordhealth.org</t>
  </si>
  <si>
    <t>Greg</t>
  </si>
  <si>
    <t>Ruberg</t>
  </si>
  <si>
    <t>Greg.Ruberg@slhduluth.com</t>
  </si>
  <si>
    <t>Brent</t>
  </si>
  <si>
    <t>Wordelman</t>
  </si>
  <si>
    <t>brent.wordelman@ridgeviewmedical.org</t>
  </si>
  <si>
    <t>Dr. David Larson</t>
  </si>
  <si>
    <t>Kenneth Flowe, MD</t>
  </si>
  <si>
    <t>Community Adolescent Behavioral Health Services</t>
  </si>
  <si>
    <t>Korey</t>
  </si>
  <si>
    <t>Boelter</t>
  </si>
  <si>
    <t>korey.boelter@claconnect.com</t>
  </si>
  <si>
    <t>Imaging Tech Salary 2178</t>
  </si>
  <si>
    <t>Imaging Tech FTE 2188</t>
  </si>
  <si>
    <t>All Other Patient Specialists</t>
  </si>
  <si>
    <t>BROOKLYN PARK</t>
  </si>
  <si>
    <t>Riverwood Healthcare Center</t>
  </si>
  <si>
    <t>North Shore Health</t>
  </si>
  <si>
    <t>Servers and Storage Additions</t>
  </si>
  <si>
    <t>1025 Marsh St</t>
  </si>
  <si>
    <t>Methodist Hospital Heart and Vascular Center</t>
  </si>
  <si>
    <t>Mayo Clinic Health System - Albert Lea and Austin</t>
  </si>
  <si>
    <t>3300 Oakdale Avenue North</t>
  </si>
  <si>
    <t>1175 Nininger Road</t>
  </si>
  <si>
    <t>100 Healthy Way</t>
  </si>
  <si>
    <t>NULL</t>
  </si>
  <si>
    <t>Essentia Health</t>
  </si>
  <si>
    <t>Ryan.hill@essentiahealth.org</t>
  </si>
  <si>
    <t>1027 Washington Ave</t>
  </si>
  <si>
    <t>Detroit Lakes</t>
  </si>
  <si>
    <t>1900 N Sunrise Dr</t>
  </si>
  <si>
    <t>shirley.jacobson@state.mn.us</t>
  </si>
  <si>
    <t>Accounting Analyst II</t>
  </si>
  <si>
    <t>helean.robertson@sanfordhealth.org</t>
  </si>
  <si>
    <t>Joseph Corser, MD</t>
  </si>
  <si>
    <t>Enderson</t>
  </si>
  <si>
    <t>denderson@scbh.org</t>
  </si>
  <si>
    <t>rickash@uhd.org</t>
  </si>
  <si>
    <t>Patrick Justin</t>
  </si>
  <si>
    <t>Justin</t>
  </si>
  <si>
    <t>pjustin@uhd.org</t>
  </si>
  <si>
    <t>Randy Drager</t>
  </si>
  <si>
    <t>Drager</t>
  </si>
  <si>
    <t>rdrager@prairie-care.com</t>
  </si>
  <si>
    <t>9400 Zane Ave</t>
  </si>
  <si>
    <t>www.prairie-care.com</t>
  </si>
  <si>
    <t>www.allinahealth.org/buffalo-hospital</t>
  </si>
  <si>
    <t>MR 10809 P.O.Box 43</t>
  </si>
  <si>
    <t>Mathew Holmes, MD</t>
  </si>
  <si>
    <t>323 S Minnesota Street</t>
  </si>
  <si>
    <t>Stacey</t>
  </si>
  <si>
    <t>slee@jmhsmn.org</t>
  </si>
  <si>
    <t>Jacob</t>
  </si>
  <si>
    <t>Redepenning</t>
  </si>
  <si>
    <t>Adamich</t>
  </si>
  <si>
    <t>Steven Pitschka, MD</t>
  </si>
  <si>
    <t>Deanna.Kolanczyk@essentiahealth.org</t>
  </si>
  <si>
    <t>Lake Region Healthcare - Fergus Falls</t>
  </si>
  <si>
    <t>Rice, Sam P MD</t>
  </si>
  <si>
    <t>kirk.stensrud@glacialridge.org</t>
  </si>
  <si>
    <t>Rosenberg</t>
  </si>
  <si>
    <t>julie.rosenberg@essentiahealth.org</t>
  </si>
  <si>
    <t>kimber.wraalstad@northshorehealthgm.org</t>
  </si>
  <si>
    <t>Dr. Paul Palecek, M.D.</t>
  </si>
  <si>
    <t>Kooiman</t>
  </si>
  <si>
    <t>Erik</t>
  </si>
  <si>
    <t>Bjerke</t>
  </si>
  <si>
    <t>ebjerke@mlhmn.org</t>
  </si>
  <si>
    <t>Lori Guenther</t>
  </si>
  <si>
    <t>Dale.Kruger@sanfordhealth.org</t>
  </si>
  <si>
    <t>Guenther</t>
  </si>
  <si>
    <t>Lori.Guenther@mahnomenhealthcenter.com</t>
  </si>
  <si>
    <t>Aaron Bloomquist</t>
  </si>
  <si>
    <t>300 South Bruce Street</t>
  </si>
  <si>
    <t>CentraCare Health - Melrose</t>
  </si>
  <si>
    <t>Kari van der</t>
  </si>
  <si>
    <t>Hagen</t>
  </si>
  <si>
    <t>Government Reimbursement Accountant</t>
  </si>
  <si>
    <t>kari.vanderhagen@centracare.com</t>
  </si>
  <si>
    <t>Edina</t>
  </si>
  <si>
    <t>Mgr, Reimbursement/Enrollment</t>
  </si>
  <si>
    <t>Dir, Finance Planning/Analysis</t>
  </si>
  <si>
    <t>Nancy Anderson</t>
  </si>
  <si>
    <t>Rogers</t>
  </si>
  <si>
    <t>David.Rogers@oahs.us</t>
  </si>
  <si>
    <t>Barnhardt</t>
  </si>
  <si>
    <t>Paynesville</t>
  </si>
  <si>
    <t>Justine</t>
  </si>
  <si>
    <t>Velleux</t>
  </si>
  <si>
    <t>Dr. Scott Donner</t>
  </si>
  <si>
    <t>Lisa Bjerga</t>
  </si>
  <si>
    <t>CFO - Interim</t>
  </si>
  <si>
    <t>lisabjerga@lakewoodhealthsystem.com</t>
  </si>
  <si>
    <t>theodore.t.wegleitner@healthpartners.com</t>
  </si>
  <si>
    <t>Dr. Bjorn Peterson</t>
  </si>
  <si>
    <t>Shelby</t>
  </si>
  <si>
    <t>Medina</t>
  </si>
  <si>
    <t>shelby.medina@sanfordhealth.org</t>
  </si>
  <si>
    <t>Mgr of Financial Operations</t>
  </si>
  <si>
    <t>Other Operating Revenue</t>
  </si>
  <si>
    <t>Other Non-Operating Revenue</t>
  </si>
  <si>
    <t>Other Non-Operating Expense</t>
  </si>
  <si>
    <t>Erin</t>
  </si>
  <si>
    <t>Stoltman</t>
  </si>
  <si>
    <t>erin.stoltman@essentiahealth.org</t>
  </si>
  <si>
    <t/>
  </si>
  <si>
    <t>SE MN Region Administrator</t>
  </si>
  <si>
    <t>Regulaotry &amp; Reimbursement Process Manager</t>
  </si>
  <si>
    <t>111 E. 17th Avenue</t>
  </si>
  <si>
    <t>Nate</t>
  </si>
  <si>
    <t>Marshall E.</t>
  </si>
  <si>
    <t>marshall.e.smith@state.mn.us</t>
  </si>
  <si>
    <t>St Paul</t>
  </si>
  <si>
    <t>30 S Behl St.</t>
  </si>
  <si>
    <t>601 West Chandler Street</t>
  </si>
  <si>
    <t>Laura.Ackman@EssentiaHealth.org</t>
  </si>
  <si>
    <t>532 E. First Street</t>
  </si>
  <si>
    <t>EssentiaHealth.org</t>
  </si>
  <si>
    <t>Ruth</t>
  </si>
  <si>
    <t>Martin</t>
  </si>
  <si>
    <t>ruth.martin@essentiahealth.org</t>
  </si>
  <si>
    <t>Senior Business Analyst</t>
  </si>
  <si>
    <t>220 S. 6th Street, Suite 300</t>
  </si>
  <si>
    <t>2689 Commerce Drive Northwest, Suite 201</t>
  </si>
  <si>
    <t>Park Rapids</t>
  </si>
  <si>
    <t>1815 Wisconsin Avenue</t>
  </si>
  <si>
    <t>Dan Enderson</t>
  </si>
  <si>
    <t>1815 Wisconsin Ave.</t>
  </si>
  <si>
    <t>Josie Syverson, MD</t>
  </si>
  <si>
    <t>Doscher</t>
  </si>
  <si>
    <t>jdoscher@scbh.org</t>
  </si>
  <si>
    <t>220 South 6th Street Ste 300</t>
  </si>
  <si>
    <t>515 S Moore Street, P.O. Box 160</t>
  </si>
  <si>
    <t>523 N Third St</t>
  </si>
  <si>
    <t>Joshua Senger</t>
  </si>
  <si>
    <t>Sandie Matrella</t>
  </si>
  <si>
    <t>PO Box 43, Mail Route 10809</t>
  </si>
  <si>
    <t>eric.velleux@allina.com</t>
  </si>
  <si>
    <t>Sr Business Consultant</t>
  </si>
  <si>
    <t>Jared</t>
  </si>
  <si>
    <t>Paquin</t>
  </si>
  <si>
    <t>112 SAINT OLAF AVE S</t>
  </si>
  <si>
    <t>512 SKYLINE BLVD</t>
  </si>
  <si>
    <t>khoard@cookhospital.org</t>
  </si>
  <si>
    <t>MR 10809, P.O. Box 43</t>
  </si>
  <si>
    <t>kyle.bauer@cuyunamed.org</t>
  </si>
  <si>
    <t>Katie</t>
  </si>
  <si>
    <t>Berg</t>
  </si>
  <si>
    <t>katie.berg@cuyunamed.org</t>
  </si>
  <si>
    <t>1282 Walnut Street</t>
  </si>
  <si>
    <t>timothy.adamich@essentiahealth.org</t>
  </si>
  <si>
    <t>532 E 1st St</t>
  </si>
  <si>
    <t>915 E 1ST ST</t>
  </si>
  <si>
    <t>Jim</t>
  </si>
  <si>
    <t>Dr. Dustin Sperr</t>
  </si>
  <si>
    <t>328 West Conan Street</t>
  </si>
  <si>
    <t>Long</t>
  </si>
  <si>
    <t>long.Amy1@mayo.edu</t>
  </si>
  <si>
    <t>Director</t>
  </si>
  <si>
    <t>https://www.allinahealth.org/District-One-Hospital/</t>
  </si>
  <si>
    <t>900 Hilligoss Blvd SE</t>
  </si>
  <si>
    <t>1805 Hennepin Ave. N.</t>
  </si>
  <si>
    <t>Robert Montenegro, MD</t>
  </si>
  <si>
    <t>Bennett</t>
  </si>
  <si>
    <t>Accounting Supervisor</t>
  </si>
  <si>
    <t>jelbennett@selectmedical.com</t>
  </si>
  <si>
    <t>4714 Gettysburg Road</t>
  </si>
  <si>
    <t>1601 Golf Course Road</t>
  </si>
  <si>
    <t>Engebretson</t>
  </si>
  <si>
    <t>ryan.engebretson@CLAconnect.com</t>
  </si>
  <si>
    <t>www.kmhc.net</t>
  </si>
  <si>
    <t>1010 S Birch Ave</t>
  </si>
  <si>
    <t>Julie Hogie</t>
  </si>
  <si>
    <t>750 East 34th Street</t>
  </si>
  <si>
    <t>1095 Highway 15 South</t>
  </si>
  <si>
    <t>Dr. Davis Sand</t>
  </si>
  <si>
    <t>1400 HWY 71</t>
  </si>
  <si>
    <t>Schnell</t>
  </si>
  <si>
    <t>dawn.schnell@sanfordhealth.org</t>
  </si>
  <si>
    <t>patricia.schlegel@ridgeviewmedical.org</t>
  </si>
  <si>
    <t>621 South Fourth Street</t>
  </si>
  <si>
    <t>Assen Chekerdjiev, MD</t>
  </si>
  <si>
    <t>612 South Sibley Avenue</t>
  </si>
  <si>
    <t>815 2nd Street SE</t>
  </si>
  <si>
    <t>20 Ninth Street Southeast</t>
  </si>
  <si>
    <t>Rochelle</t>
  </si>
  <si>
    <t>Hickerson</t>
  </si>
  <si>
    <t>1406 Sixth Ave N</t>
  </si>
  <si>
    <t>Monique</t>
  </si>
  <si>
    <t>Hoffman-Urban</t>
  </si>
  <si>
    <t>MoniqueHof@mchospital.org</t>
  </si>
  <si>
    <t>900 2ND AVE</t>
  </si>
  <si>
    <t>dale.kruger@sanfordhealth.org</t>
  </si>
  <si>
    <t>220 South Sixth Street, Suite 300</t>
  </si>
  <si>
    <t>414 W Jefferson Ave</t>
  </si>
  <si>
    <t>Terry</t>
  </si>
  <si>
    <t>Brandt</t>
  </si>
  <si>
    <t>Regional Chair</t>
  </si>
  <si>
    <t>tbrandt@mayo.edu</t>
  </si>
  <si>
    <t>9875 Hospital Drive</t>
  </si>
  <si>
    <t>11 North 5th Avenue West</t>
  </si>
  <si>
    <t>Derrick Hollings</t>
  </si>
  <si>
    <t>Abera</t>
  </si>
  <si>
    <t>Maru</t>
  </si>
  <si>
    <t>abera.maru@hcmed.org</t>
  </si>
  <si>
    <t>Janet.Mccarthy@childrensmn.org</t>
  </si>
  <si>
    <t>5901 Lincoln Drive</t>
  </si>
  <si>
    <t>Dr. Eric Christianson &amp; Dr. Greg Loppnow</t>
  </si>
  <si>
    <t>1013 Hart Boulevard</t>
  </si>
  <si>
    <t>Weaver</t>
  </si>
  <si>
    <t>jason.weaver@centracare.com</t>
  </si>
  <si>
    <t>Joshua</t>
  </si>
  <si>
    <t>Asp</t>
  </si>
  <si>
    <t>jasp@fl-hs.org</t>
  </si>
  <si>
    <t>Robert Weeks, MD</t>
  </si>
  <si>
    <t>Josh</t>
  </si>
  <si>
    <t>400 East First Street</t>
  </si>
  <si>
    <t>2000 North Avenue</t>
  </si>
  <si>
    <t>2000 North Ave.</t>
  </si>
  <si>
    <t>200 West 1st Street</t>
  </si>
  <si>
    <t>justine.anderson@sanfordhealth.org</t>
  </si>
  <si>
    <t>916 Fourth Ave. SW</t>
  </si>
  <si>
    <t>100 Fallwood Road</t>
  </si>
  <si>
    <t>210 9TH ST SE</t>
  </si>
  <si>
    <t>200 1st St SW</t>
  </si>
  <si>
    <t>ChristiansonD@centracare.com</t>
  </si>
  <si>
    <t>425 North Elm Street</t>
  </si>
  <si>
    <t>2042 Juniper Avenue</t>
  </si>
  <si>
    <t>Baquero</t>
  </si>
  <si>
    <t>kristin.baquero@claconnect.com</t>
  </si>
  <si>
    <t>vanheuvelenr@murraycountymed.org</t>
  </si>
  <si>
    <t>2042 JUNIPER AVE</t>
  </si>
  <si>
    <t>Eidem</t>
  </si>
  <si>
    <t>640 JACKSON ST</t>
  </si>
  <si>
    <t>Lisa Bjerga,</t>
  </si>
  <si>
    <t>CPA</t>
  </si>
  <si>
    <t>Joe</t>
  </si>
  <si>
    <t>Reycraft</t>
  </si>
  <si>
    <t>joereycraft@lakewoodhealthsystem.com</t>
  </si>
  <si>
    <t>Nick</t>
  </si>
  <si>
    <t>Roeder</t>
  </si>
  <si>
    <t>nicholasroeder@lakewoodhealthsystem.com</t>
  </si>
  <si>
    <t>Saint Paul</t>
  </si>
  <si>
    <t>927 Churchill St W</t>
  </si>
  <si>
    <t>251 5th St. E</t>
  </si>
  <si>
    <t>325 11th Avenue</t>
  </si>
  <si>
    <t>Director-Finance</t>
  </si>
  <si>
    <t>Avera Tyler</t>
  </si>
  <si>
    <t>WWW.Avera.Org</t>
  </si>
  <si>
    <t>Samuel</t>
  </si>
  <si>
    <t>Stone</t>
  </si>
  <si>
    <t>samuel.stone@essentiahealth.org</t>
  </si>
  <si>
    <t>1200 Fifth Grant Boulevard West</t>
  </si>
  <si>
    <t>500 South Maple Street</t>
  </si>
  <si>
    <t>300 West Good Samaritan Drive</t>
  </si>
  <si>
    <t>Darcie</t>
  </si>
  <si>
    <t>Engelby</t>
  </si>
  <si>
    <t>dengelby@eidebailly.com</t>
  </si>
  <si>
    <t>4310 17th Ave S</t>
  </si>
  <si>
    <t>301 Becker Avenue Southwest</t>
  </si>
  <si>
    <t>PO Box 5600</t>
  </si>
  <si>
    <t>Christopher Watras, DO</t>
  </si>
  <si>
    <t>Marilee</t>
  </si>
  <si>
    <t>Vogel</t>
  </si>
  <si>
    <t>mvogel@winonahealth.org</t>
  </si>
  <si>
    <t>Alomere Health</t>
  </si>
  <si>
    <t>927 W Churchill St</t>
  </si>
  <si>
    <t>525 Main Street West</t>
  </si>
  <si>
    <t>Methodist Hospital</t>
  </si>
  <si>
    <t>1300 Anne St. NW</t>
  </si>
  <si>
    <t>St Francis Regional Medical Center</t>
  </si>
  <si>
    <t>1455 St Francis Avenue</t>
  </si>
  <si>
    <t>640 N Jackson Street</t>
  </si>
  <si>
    <t>401 Phalen Blvd</t>
  </si>
  <si>
    <t>Sibley Medical Center</t>
  </si>
  <si>
    <t>200 University Avenue East</t>
  </si>
  <si>
    <t>Coon Rapids</t>
  </si>
  <si>
    <t>St Louis Park</t>
  </si>
  <si>
    <t>Monticello MN</t>
  </si>
  <si>
    <t>North Memorial Health</t>
  </si>
  <si>
    <t>3300 Oakdale Avenue N</t>
  </si>
  <si>
    <t>Saint Cloud</t>
  </si>
  <si>
    <t>600 Pleasant Avenue</t>
  </si>
  <si>
    <t>St. Luke's Hospital LakeView Bldg</t>
  </si>
  <si>
    <t>1001 East Superior Street</t>
  </si>
  <si>
    <t>Maple Grove</t>
  </si>
  <si>
    <t>Jill.Nelson@rsmus.com</t>
  </si>
  <si>
    <t>Hospital ownership type</t>
  </si>
  <si>
    <t>FTEs Included</t>
  </si>
  <si>
    <t>Total Hospital Employed</t>
  </si>
  <si>
    <t xml:space="preserve">Imaging Technician </t>
  </si>
  <si>
    <t>Lab Technologist</t>
  </si>
  <si>
    <t>Sections 27 &amp; 28</t>
  </si>
  <si>
    <t>Ratio Checks</t>
  </si>
  <si>
    <t>Medicare Managed Care</t>
  </si>
  <si>
    <t>MNCare Managed Care</t>
  </si>
  <si>
    <t xml:space="preserve">Commercial </t>
  </si>
  <si>
    <t>MNCare (Non-Managed)</t>
  </si>
  <si>
    <t>Medicare (Non-Managed)</t>
  </si>
  <si>
    <t>Charges</t>
  </si>
  <si>
    <t>Adjustments</t>
  </si>
  <si>
    <t>MA (Non-Managed)</t>
  </si>
  <si>
    <t>PMAP Managed Care</t>
  </si>
  <si>
    <t>Sections 13 &amp; 14</t>
  </si>
  <si>
    <t>Total Medicare</t>
  </si>
  <si>
    <t>Total MA/PMAP</t>
  </si>
  <si>
    <t>Total MNCare</t>
  </si>
  <si>
    <t>Sections 16 &amp; 18</t>
  </si>
  <si>
    <t>Account</t>
  </si>
  <si>
    <t>Value</t>
  </si>
  <si>
    <t>% of Total Op Exp</t>
  </si>
  <si>
    <t>Sections 11 &amp; 34</t>
  </si>
  <si>
    <t>Registrations</t>
  </si>
  <si>
    <t>Emergency Room</t>
  </si>
  <si>
    <t>Outpatient Surgery</t>
  </si>
  <si>
    <t>Total Outpatient</t>
  </si>
  <si>
    <t>Outpatient Registrations plus Other Ancillary Charges</t>
  </si>
  <si>
    <t>871 &amp; 876</t>
  </si>
  <si>
    <t>Misc Questions and Checks</t>
  </si>
  <si>
    <t>Total Value of Projects on Capital Expend Project Specifc Tab</t>
  </si>
  <si>
    <t>Total Major Capital Expenditure Commitment Expense (section 57)</t>
  </si>
  <si>
    <t>Total Major Capital Expenditure Commitments (section 56)</t>
  </si>
  <si>
    <t>Total Number of Capital Expenditure Projects (section 56)</t>
  </si>
  <si>
    <t>201 - Hospital Charges</t>
  </si>
  <si>
    <t>204 - Nursing Home Charges</t>
  </si>
  <si>
    <t>207 - Clinic Charges</t>
  </si>
  <si>
    <t>202 - Home Health Charges</t>
  </si>
  <si>
    <t>203 - Hospice Charges</t>
  </si>
  <si>
    <t>7113 - Ambulance Service Charges</t>
  </si>
  <si>
    <t>208 - Other Institution Charges</t>
  </si>
  <si>
    <t>Acct</t>
  </si>
  <si>
    <t>Section</t>
  </si>
  <si>
    <t>Please specify which, if any, services were available, but not utilized during the fiscal year:</t>
  </si>
  <si>
    <t>Please specify which, if any, calculated accounts were overridden:</t>
  </si>
  <si>
    <t>How are these revenues reported in section 1?</t>
  </si>
  <si>
    <t>[Answer box]</t>
  </si>
  <si>
    <t>Total Charges from Patient Care Check</t>
  </si>
  <si>
    <t>Please verify highlighted boxes</t>
  </si>
  <si>
    <t>Please explain any significant* changes in highlighed boxes below</t>
  </si>
  <si>
    <t>Please explain any significant* changes in highlighted boxes below</t>
  </si>
  <si>
    <t xml:space="preserve">Feedback: Notice any bugs while completing the HAR? Suggestions to make completing the HAR more user friendly? Any checks you would like to see added to this tab? Etc. </t>
  </si>
  <si>
    <t>Capital Expenditure Checks</t>
  </si>
  <si>
    <t>If MNCare is not reported please explain why below (I.E. the hospital does not separately track MNCare stats, there is no MNCare to report, etc.):</t>
  </si>
  <si>
    <t>Neighborhood West Freestanding Emergency Department</t>
  </si>
  <si>
    <t>Replacement of electrophysiology (EP) lab</t>
  </si>
  <si>
    <t>Surgical robot upgrade</t>
  </si>
  <si>
    <t>Purchase of Mazor X Robot for spine surgery</t>
  </si>
  <si>
    <t>Pain and Radiology Procedure Consolidation and Expansion</t>
  </si>
  <si>
    <t>Replacement PET / CT Scanner</t>
  </si>
  <si>
    <t>Replacement Radiology Fluoroscopy room</t>
  </si>
  <si>
    <t>DaVinci Surgical Robotic System</t>
  </si>
  <si>
    <t>Medical Oncology Practice Expansion and Relocation</t>
  </si>
  <si>
    <t>Fairmont</t>
  </si>
  <si>
    <t>Project will relocate and expand the medical oncology practice in Fairmont to a newly remodeled space in the existing campus.</t>
  </si>
  <si>
    <t>Fairview Northland Medical Center</t>
  </si>
  <si>
    <t>911 Northland Dr.</t>
  </si>
  <si>
    <t>Princeton, MN</t>
  </si>
  <si>
    <t>Nurse Call and Nurse Communication Replacement Project is the replacement of the nurse call hardware and software, middleware software, and endpoint devices with new equipment.  Nurse call is the mechanism for patients to communicate with the care team from their room.  The care team can also communicate into the patient room and communicate between staff using this technology.</t>
  </si>
  <si>
    <t>6401 France Ave S.</t>
  </si>
  <si>
    <t>Edina, MN</t>
  </si>
  <si>
    <t>Replacement of current OR interventional suite with a Hybrid Operating Room Southdale: The Hybrid vascular suite is a replacement and upgrade of the existing radiology suite (OR 51) at Fairview, Southdale Hospital (FSH). The equipment replace is being requested to provide safe and effective patient care, retain quality vascular and cardiac surgeons as well as for the future growth of these and other service lines.</t>
  </si>
  <si>
    <t>Da Vinci Xi Robot Fairview Southdale Hospital: The robotics program at Southdale has been extremely successful, we currently have two Intuitive Robots (an Si model purchased in 2012 and an Xi model purchased in 2015) and in 2017 we performed 700 robotic cases. Our robotics program continues to expand at Southdale and the vast majority of the growth and demands are for the Xi model robot.</t>
  </si>
  <si>
    <t>Nurse Call and Nurse Communication Replacement Project is the replacement of the nurse call hardware and software, middleware software, and endpoint devices with new equipment. Nurse call is the mechanism for patients to communicate with the care team from their room. The care team can also communicate into the patient room and communicate betweeen staff using this technology.</t>
  </si>
  <si>
    <t>6401 France Ave South Edina MN 55435</t>
  </si>
  <si>
    <t>Edina, Minnesota</t>
  </si>
  <si>
    <t>Replace and Upgrade Cardiovascular Service Line Cath Lab. This project will replace fluorscopy systems which include invasive imaging equipment, surgical lights, support equipment like displays and electrical/medical gas boom as well as construction.</t>
  </si>
  <si>
    <t>Pharmacy and Chemotherapy remodel project</t>
  </si>
  <si>
    <t>1.6 million is our new clinic in Starbuck MN and the other 800,000 is the remodel of the only patient care wing.</t>
  </si>
  <si>
    <t>701 Park Ave S</t>
  </si>
  <si>
    <t>Network Infrastructure</t>
  </si>
  <si>
    <t>Medical equipment</t>
  </si>
  <si>
    <t>St. Anthony Village Clinic expansion</t>
  </si>
  <si>
    <t>Consolidate Brooklyn Center and Brooklyn Park Clinics</t>
  </si>
  <si>
    <t>Phones and phone system upgrades.</t>
  </si>
  <si>
    <t>New Inpatient Unit. The construction will add approximately 17,600 square feet to the hospital building.  There will be 18 completed patient rooms available for medical, surgical, intensive care, and observation patients, as well as staff support space.  Four additional patient rooms will be shelled in for future expansion.  Additionally, infrastructure of the existing hospital building must be upgraded to enhance services in the existing building and the new space.  Insfrastructure improvements will be made to the mechanical, electrical, water, and heating and cooling systems.</t>
  </si>
  <si>
    <t>Urgent Care Buildout.  The base scope of work is a complete renovation of the existing Cancer Center, and former Retail Pharmacy and Coffee Shop to create a new comprehensive Urgent Care Clinic.  The total renovated area is estimated at 3,925 SF and will include all new floor, wall and ceiling finishes, as well as new mechanical distribution, electrical distribution and plumbing fixtures.  Additionally, the existing kitchen equipment and exhaust hood will be removed (and salvaged if desired).  The HVAC requirements for this space will be served from the existing air handling unit on the adjacent Radiology roof and the plumbing would be served from the exisiting service locations inside the space.  The existing electrical panels in that area will be used to serve the Urgent Care.  All finishes and equipment will be designed and constructed to meet Hutchinson Health's standards.</t>
  </si>
  <si>
    <t>Mayo Clinic Health System - Southwest Minnesota Region</t>
  </si>
  <si>
    <t>ICU/PCU Expansion and Modernization</t>
  </si>
  <si>
    <t>The ICU/PCU expansion and modernization will expand the ICU from ten to fifteen beds and expand the PCU from ten to thirteen beds.  The existing ICU beds will be remodeled and updated as part of the project.  The PCU will be flexible for either PCU or medical/surgical patients.</t>
  </si>
  <si>
    <t xml:space="preserve">Lake Region Hospital and Nursing Home </t>
  </si>
  <si>
    <t>Lake Region Healthcare</t>
  </si>
  <si>
    <t>712 South Cascade</t>
  </si>
  <si>
    <t>Great Plains Dynamics Software</t>
  </si>
  <si>
    <t>Endoscopy Renovation</t>
  </si>
  <si>
    <t>CV Lab 4 in the Heart Center</t>
  </si>
  <si>
    <t>NSHD Land Purchase</t>
  </si>
  <si>
    <t>Helipad Replacement</t>
  </si>
  <si>
    <t>Fairview Range Mountain Iron Clinic</t>
  </si>
  <si>
    <t>8496 Enterprise Dr, S.</t>
  </si>
  <si>
    <t>Mountain Iron</t>
  </si>
  <si>
    <t>Fairview Mountain Iron Clinic Expansion is to expand the building by 3,120 square feet to provide space for three phyisicians including exam rooms, nurse's station and offices.</t>
  </si>
  <si>
    <t>Methodist Hospital Cafeteria Remodel.  This will include the modernization of the Methodist Café with new equipment, servery, seating, lighting and vending areas. This includes construction, equipment and furniture.</t>
  </si>
  <si>
    <t>Methodist Hospital  Pharmacy USP 800.  The United States Pharmacopeial  (USP 800 ) is a new standard to provide practice and quality standards for the handling hazardous drugs in health care settings, while promoting worker safety and environmental protection. The new standard will be enforceable in 2019.</t>
  </si>
  <si>
    <t>To replace the PET CT scanner</t>
  </si>
  <si>
    <t>Vision Northland</t>
  </si>
  <si>
    <t>Renovate 115,000 sq ft in existing facility, also build 815,000 sq ft of new space.</t>
  </si>
  <si>
    <t>Lobby and Entrance Canopy Renovation</t>
  </si>
  <si>
    <t>Remodel the main hospital lobby as a result of the new Monticello Surgery Center/ASC addition. Additionally, remodel canopy entranceand site work as part of the project.</t>
  </si>
  <si>
    <t>Albert Lea CT Scanner</t>
  </si>
  <si>
    <t>404 W Fountain St</t>
  </si>
  <si>
    <t>Albert Lea</t>
  </si>
  <si>
    <t>Replacement of the Albert Lea CT Scanner at a cost of $1,288,825</t>
  </si>
  <si>
    <t>Austin - Med/Surg/Peds Modernization</t>
  </si>
  <si>
    <t>1000 First Avenue NW</t>
  </si>
  <si>
    <t>Austin</t>
  </si>
  <si>
    <t>$4,075,000 of capital to remodel / modernize the existing Austin Hospital Medical/Surgical/ Pediatric (MSP) Inpatient Unit</t>
  </si>
  <si>
    <t>Austin PSU Repurpose</t>
  </si>
  <si>
    <t>1000 First Drive NW</t>
  </si>
  <si>
    <t>$2,395,000 of capital costs to repurpose the current Austin Psychiatric Service Unit (PSU) to support Medical / Surgical / Pediatric inpatient nursing care</t>
  </si>
  <si>
    <t>Austin ICU Expansion</t>
  </si>
  <si>
    <t>$2,120,000 of capital costs to expand the Austin Intensive Care Unit from 9 to 12 patient beds.</t>
  </si>
  <si>
    <t>Austin Family Birth Center</t>
  </si>
  <si>
    <t>$11.2 million of capital costs for the renovation of the Austin Family Birth Center and for the construction of a connecting link between the second and third floors of the clinic and hospital buildings.  The renovation will provide capacity for the current combined delivery volumes of MCHS – Albert Lea &amp; Austin while modernizing the hospital space to current standards</t>
  </si>
  <si>
    <t>1233 34th Street NW</t>
  </si>
  <si>
    <t>Cancer Center Construction including equipment - the new cancer center prings all cancer related services to one location including 20 infusion suites, 15 exam rooms, an on-site infusion pharmacy and lab services.</t>
  </si>
  <si>
    <t>Construction of C-Section Suite which includes construction and equipment for space in the labor and delivery unit.</t>
  </si>
  <si>
    <t>Complete the Ortho 2nd Floor Buildout to allow expanstion of services</t>
  </si>
  <si>
    <t>Birth Center Expansion</t>
  </si>
  <si>
    <t>Birth Center expansion and remodel.  This project will add a LDR, triage room, dedicated c-section, and post-partum rooms while expanding the nursery.</t>
  </si>
  <si>
    <t>Clinic Expansion</t>
  </si>
  <si>
    <t>Clinic Expansion and Remodel:  Add 12 exam rooms, relocate the lab to the front of the clinic, remodel support staff area to promote team-based care.</t>
  </si>
  <si>
    <t>Olmsted Medical Center - Support Services Building</t>
  </si>
  <si>
    <t>10 9 1/2 St. SE, Rochester, MN 55904</t>
  </si>
  <si>
    <t>OMC Support Services Building. This is a purchase of a structure that was previously utilized by the Rochester Public School System. It is an administrative building that will be fitted out to house various OMC Administrative functions.</t>
  </si>
  <si>
    <t>1324 5th North Street</t>
  </si>
  <si>
    <t>New Ulm Medical Center MRI Replacement</t>
  </si>
  <si>
    <t>St Cloud Hospital</t>
  </si>
  <si>
    <t>30-260 - Surgery - Holder Laparoscope Robot - Intuitive da Vinci Xi Robot #1 (Team 1)</t>
  </si>
  <si>
    <t>30-421 - Electro Physiology - Lab EP X-Ray - EP Biplane X-Ray System CL5</t>
  </si>
  <si>
    <t>30-518 - Building Grounds - Construction General - Exterior Building Envelope Replacement</t>
  </si>
  <si>
    <t>30-159 - Cardiovascular Thoracic Unit - Expansion-Addition of Critical Care Beds</t>
  </si>
  <si>
    <t>30-395 - Radiation Oncology - Radiation Accelerator Linear - Tomo Accelerator Replacement</t>
  </si>
  <si>
    <t>30-395 - Plaza - Radiation Oncology - Radiation Accelerator Linear - Elekta Linear Accelerator Replacement</t>
  </si>
  <si>
    <t>30-629 - Education &amp; Training - Construction General - Simulation Space (SCH, Level-B)</t>
  </si>
  <si>
    <t>30-139 - Oncology Unit - Renovation General - Renovate SCH Oncology Nursing Unit</t>
  </si>
  <si>
    <t>Little Falls</t>
  </si>
  <si>
    <t>811 2nd Street SE</t>
  </si>
  <si>
    <t>Family Medical Center Renovation and Expansion Project</t>
  </si>
  <si>
    <t>Fairview St Joseph Hospital</t>
  </si>
  <si>
    <t>45 W 10th St</t>
  </si>
  <si>
    <t>St. Paul, MN</t>
  </si>
  <si>
    <t>Anesthesia Machine Replacement. This is to replace the anesthesia machine used on primarily all of the cases in the operating room and our critical cases require machines that can expand down to neonate weights and all levels of surgical complexity.</t>
  </si>
  <si>
    <t>Ligature Risk Management project is a patient safety project that completed a ligature risk assessment and identified hardware components that will be replaced in Behavioral Units and the ED that house Behavorial patients.</t>
  </si>
  <si>
    <t>523 N 3rd St</t>
  </si>
  <si>
    <t>Behavorial Hold Rooms -Allocate and redesign rooms in ED department for behavioral holds to be compliant with code requirements.</t>
  </si>
  <si>
    <t>Endoscopy Relocate - endoscopy unit was relocated from basement of hospital to second floor of hospital with addition of one procedure room, two intake &amp; recovery rooms, dedicated soiled utility space, and optimized scope processing &amp; storage.</t>
  </si>
  <si>
    <t>LakeView Linear Accelerator Vault and remodel for vault. MDH reference #36-18</t>
  </si>
  <si>
    <t>Workstation lab auotmation- Line core chamistry replacement</t>
  </si>
  <si>
    <t>Charlton North Builiding</t>
  </si>
  <si>
    <t>10 Third Avenue NW</t>
  </si>
  <si>
    <t>R2047569 - GE Healthcare SIGNA Premier XT 3.OT MRI</t>
  </si>
  <si>
    <t>Gonda Building</t>
  </si>
  <si>
    <t>100 3rd Avenue SW</t>
  </si>
  <si>
    <t>R2046713 - Siemens Somatom Definition Edge Plus CT Scanner</t>
  </si>
  <si>
    <t>Charlton Building</t>
  </si>
  <si>
    <t>R2036200 - GE Discovery MI 25 CM PET/CT</t>
  </si>
  <si>
    <t>St Marys Hospital</t>
  </si>
  <si>
    <t>1216 Second Street NW</t>
  </si>
  <si>
    <t>7R170900 - SMC OR 604, 608 and 600 Decontamination Room Remodel, MB1</t>
  </si>
  <si>
    <t>407 East 3rd Street</t>
  </si>
  <si>
    <t>Replacing the flooring on the 8th floor of the hospital</t>
  </si>
  <si>
    <t>Ultrasound system update</t>
  </si>
  <si>
    <t>640 Jackson Street</t>
  </si>
  <si>
    <t>St. Paul, MN 55101</t>
  </si>
  <si>
    <t>PIIC IX Phillips Monitor upgrade</t>
  </si>
  <si>
    <t>DaVinci Xi Surgical Robot purchase</t>
  </si>
  <si>
    <t>West 3 ICU remodel</t>
  </si>
  <si>
    <t>C53 12-Bed Major RemodelComplete renovation and remodel of old inpatient unit with semi-private rooms to 12 inpatient private rooms</t>
  </si>
  <si>
    <t>Birth Center Building Project</t>
  </si>
  <si>
    <t>ED and Clinic Remodel</t>
  </si>
  <si>
    <t>515 South Moore St</t>
  </si>
  <si>
    <t>ED and Clinic remodel</t>
  </si>
  <si>
    <t>United Pain Center expansion that includes the addition of a 4th procedure room as well as additional exam rooms to support growth with our Pain Center and United General Surgery Clinic partner Midwest Spine and Brain Institute.</t>
  </si>
  <si>
    <t>United ED CT scanner replacement.</t>
  </si>
  <si>
    <t>Acquisition of a new Xi da Vinci Robot and the replacement of 2 Si Robots with X Robots.</t>
  </si>
  <si>
    <t>Bentsen #4 CV Lab repurposing into a Hybrid OR.</t>
  </si>
  <si>
    <t>Vascular clinic 5th floor remodel</t>
  </si>
  <si>
    <t>Waconia Hospital Emergency Department Expansion.  The expansion is a 23,000 square feet will increase treatment and support space, add 8 observation rooms, 4 dedicated behavioral health rooms, and a cardiac/pulmonary rehab buildout.</t>
  </si>
  <si>
    <t>500 S. Maple Street</t>
  </si>
  <si>
    <t>Waconia, MN 55387</t>
  </si>
  <si>
    <t>EPIC Electronic Medical Record Conversion.  Ridgeview is converting all electronic medical records to EPIC electronic health record.</t>
  </si>
  <si>
    <t>Avera Marshall Emergency Department</t>
  </si>
  <si>
    <t>300 S Bruce St</t>
  </si>
  <si>
    <t>Emergency Department (ED) Project. The current Emergency Department consists of four emergency room bays and one trauma room. The ED project will consist of six acute care rooms, one treatment room, two trauma bays and one behavioral health bay. The project also includes improved waiting areas, a room dedicated for family consults, an ambulance garage with indoor access and a decontamination bay.</t>
  </si>
  <si>
    <t>Fairview St John's Hospital</t>
  </si>
  <si>
    <t>1575 Beam Avenue</t>
  </si>
  <si>
    <t>Maplewood, MN 55109</t>
  </si>
  <si>
    <t>The Davinic Robot Project is the purchase of the Intuitive DaVinci Xi model robot and it includes the Xi System, table, software, endscopes with camera, and a Trumpf table.</t>
  </si>
  <si>
    <t>University of Minnesota Medical Center</t>
  </si>
  <si>
    <t>2450 Riverside Ave</t>
  </si>
  <si>
    <t>Minneapolis, MN</t>
  </si>
  <si>
    <t>UMMC MASTER FACILITY PLAN: Existing capacity at UMMC is inadequate to support current and future adult volumes or to enable implementation of future strategic initiatives. The capacity issues on the East Bank exist in the emergency department, observation unit, inpatient beds and in the operating rooms (both in the number of rooms available and in the size of the current rooms).  Also, additional operating rooms are needed on the West Bank to address capacity issues and to allow for programmatic growth.</t>
  </si>
  <si>
    <t>Replace and Upgrade CV Lab 3 at UMMC East Bank : This project will replace the current fluoroscopy system in one of the three Cardiac Catheterization Laboratory rooms in the Fairview UMMC Hospital East Bank at a total cost of $2,400,000</t>
  </si>
  <si>
    <t>Replacement of East Bank Bi-Plane with Angiography-CT Hybrid Suite: The replacement of a 13 year-old Bi-Plane in the Interventional Radiology department at M Health East Bank. This project includes the purchase of an Angiography-CT hybrid suite and the construction costs associated with the replacement.</t>
  </si>
  <si>
    <t>Replacement and relocation of 1.5T MRI at M Health west bank: The proposed capital request, is for the replacement of a 21-year old 1.5T Siemens Symphony MRI with a 1.5T Siemens Magnetom Aera MRI. This requested amount includes the purchase of the equipment, the associated construction, and staff training. This scanner has failed its recent physics testing, which is a minimum community standard for the industry.</t>
  </si>
  <si>
    <t>500 SE Harvard St</t>
  </si>
  <si>
    <t>Gamma Kinife Icon Stereostactic Radiosurgery Equipment Project. This project is to purchase a Gamma Knife Icon stereostactic radiosurgery system to treat primary and metastic brain and central nervous system cancer.</t>
  </si>
  <si>
    <t>Ligature Risk Management project is a patient safety project that completed a ligature risk assessment and identified hardware components that will be replaced in the Behavioral Units and the ED that house Behavorial patients.</t>
  </si>
  <si>
    <t>Allen</t>
  </si>
  <si>
    <t>Allen.Anderson@avera.org</t>
  </si>
  <si>
    <t>Christy Coudron</t>
  </si>
  <si>
    <t>Victoria</t>
  </si>
  <si>
    <t>Schueller</t>
  </si>
  <si>
    <t>Decision Support Analyst</t>
  </si>
  <si>
    <t>victoria.schueller@avera.org</t>
  </si>
  <si>
    <t>Dr. Daniel Florey</t>
  </si>
  <si>
    <t>Christy</t>
  </si>
  <si>
    <t>Coudron</t>
  </si>
  <si>
    <t>Christy.Coudron@avera.org</t>
  </si>
  <si>
    <t>800 East 28th Street</t>
  </si>
  <si>
    <t>Ann Madden</t>
  </si>
  <si>
    <t>Ann.madden.rice@allina.com</t>
  </si>
  <si>
    <t>https://www.allinahealth.org/Abbott-Northwestern-Hospital</t>
  </si>
  <si>
    <t>Christopher Kapsner</t>
  </si>
  <si>
    <t>jturner@rwhealth.org</t>
  </si>
  <si>
    <t>Andeas</t>
  </si>
  <si>
    <t>Jacob Redepenning</t>
  </si>
  <si>
    <t>http://www.appletonareahealth.com/</t>
  </si>
  <si>
    <t>Nielsen</t>
  </si>
  <si>
    <t>ben.nielsen@ridgeviewmedical.org</t>
  </si>
  <si>
    <t>M Health Fairview Bethesda Hospital</t>
  </si>
  <si>
    <t>559 Capitol Blvd.</t>
  </si>
  <si>
    <t>Hayes Batson</t>
  </si>
  <si>
    <t>Joseph</t>
  </si>
  <si>
    <t>Drummond</t>
  </si>
  <si>
    <t>jdrummo1@fairview.org</t>
  </si>
  <si>
    <t>Government Reimbursement Manager</t>
  </si>
  <si>
    <t>Spratt</t>
  </si>
  <si>
    <t>kelly.spratt@allina.com</t>
  </si>
  <si>
    <t>701 Dellwood Street South</t>
  </si>
  <si>
    <t>Luke Dandelet, EPPA</t>
  </si>
  <si>
    <t>Mayo Clinic Health System in Cannon Falls</t>
  </si>
  <si>
    <t>32021 County 24 Boulevard</t>
  </si>
  <si>
    <t>https://mayoclinichealthsystem.org/</t>
  </si>
  <si>
    <t>CCM Health</t>
  </si>
  <si>
    <t>Lovdahl</t>
  </si>
  <si>
    <t>Sanford Luverne Medical Center</t>
  </si>
  <si>
    <t>Allison Nelson, Director of Finance</t>
  </si>
  <si>
    <t>Community Memorial Hospital</t>
  </si>
  <si>
    <t>Cook Hospital &amp; Care Center</t>
  </si>
  <si>
    <t>tdebevec@cookhospital.org</t>
  </si>
  <si>
    <t>Milan Schmidt</t>
  </si>
  <si>
    <t>Paul</t>
  </si>
  <si>
    <t>Goettl</t>
  </si>
  <si>
    <t>Katie Berg</t>
  </si>
  <si>
    <t>Christopher Kaczmarczyk</t>
  </si>
  <si>
    <t>nmeyer@alomerehealth.com</t>
  </si>
  <si>
    <t>111 17th Ave</t>
  </si>
  <si>
    <t>jlkuhnau@alomerehealth.com</t>
  </si>
  <si>
    <t>Mayo Clinic Health System in Fairmont</t>
  </si>
  <si>
    <t>M Health Fairview Northland Medical Center</t>
  </si>
  <si>
    <t>911 Northland Drive</t>
  </si>
  <si>
    <t>Dr. Brendan Meyer</t>
  </si>
  <si>
    <t>M Health Fairview Ridges Hospital</t>
  </si>
  <si>
    <t>201 East Nicollet Boulevard</t>
  </si>
  <si>
    <t>Will</t>
  </si>
  <si>
    <t>COO, Acute Care Hospitals</t>
  </si>
  <si>
    <t>John Houghland, MD</t>
  </si>
  <si>
    <t>M Health Fairview Southdale Hospital</t>
  </si>
  <si>
    <t>Jeoff</t>
  </si>
  <si>
    <t>Brandon Trigger, M.D.</t>
  </si>
  <si>
    <t>Robert Pastor</t>
  </si>
  <si>
    <t>II</t>
  </si>
  <si>
    <t>rpastor@rainylakemedical.com</t>
  </si>
  <si>
    <t>Sather</t>
  </si>
  <si>
    <t>200 East University Avenue</t>
  </si>
  <si>
    <t>CEO and President</t>
  </si>
  <si>
    <t>Patrick Nolan</t>
  </si>
  <si>
    <t>KyleAEidem@gillettechildrens.com</t>
  </si>
  <si>
    <t>Kne</t>
  </si>
  <si>
    <t>Finance Lead</t>
  </si>
  <si>
    <t>AaronJKne@gillettechildrens.com</t>
  </si>
  <si>
    <t>801 Nicollet Mall, Suite 1100</t>
  </si>
  <si>
    <t>Glencoe Regional Health</t>
  </si>
  <si>
    <t>Angela Erickson</t>
  </si>
  <si>
    <t>Sue Ann</t>
  </si>
  <si>
    <t>Hahn-Gabrelcik</t>
  </si>
  <si>
    <t>sueann.hahn-gabrelcik@grhsonline.org</t>
  </si>
  <si>
    <t>Lickfelt</t>
  </si>
  <si>
    <t>michael.lickfelt@grhsonline.org</t>
  </si>
  <si>
    <t>Prairie Ridge Hospital and Health Services</t>
  </si>
  <si>
    <t>Danielle</t>
  </si>
  <si>
    <t>Lesmeister</t>
  </si>
  <si>
    <t>dlesmeister@prairiehealth.org</t>
  </si>
  <si>
    <t>Krista</t>
  </si>
  <si>
    <t>Gerber</t>
  </si>
  <si>
    <t>kgerber@prairiehealth.org</t>
  </si>
  <si>
    <t>Shawn Brennen, MD</t>
  </si>
  <si>
    <t>Hennepin Healthcare</t>
  </si>
  <si>
    <t>701 Park Avenue</t>
  </si>
  <si>
    <t>www.hennepinhealthcare.org</t>
  </si>
  <si>
    <t>Robin</t>
  </si>
  <si>
    <t>McAnulty</t>
  </si>
  <si>
    <t>robin.mcanulty@hcmed.org</t>
  </si>
  <si>
    <t>James P.</t>
  </si>
  <si>
    <t>Lyons</t>
  </si>
  <si>
    <t>Mayo Clinic Health System in Mankato</t>
  </si>
  <si>
    <t>1025 Marsh Street</t>
  </si>
  <si>
    <t>Senior Director</t>
  </si>
  <si>
    <t>Jim Cleveland, Director of Finance</t>
  </si>
  <si>
    <t>Ronald Kline, MD</t>
  </si>
  <si>
    <t>Cleveland</t>
  </si>
  <si>
    <t>Welia Health</t>
  </si>
  <si>
    <t>Jeni Schwenzfeier</t>
  </si>
  <si>
    <t>Dr. James Surdy</t>
  </si>
  <si>
    <t>Colin</t>
  </si>
  <si>
    <t>Wiesner</t>
  </si>
  <si>
    <t>Senior</t>
  </si>
  <si>
    <t>colin.wiesner@claconnect.com</t>
  </si>
  <si>
    <t>Mayo Clinic Health System in Lake City</t>
  </si>
  <si>
    <t>500 West Grant Street</t>
  </si>
  <si>
    <t>http://mayoclinichealthsystem.org</t>
  </si>
  <si>
    <t>Dr. Mathias Christianson</t>
  </si>
  <si>
    <t>Lakeview Hospital</t>
  </si>
  <si>
    <t>Madelia Community Hospital Inc.</t>
  </si>
  <si>
    <t>Mengenhausen</t>
  </si>
  <si>
    <t>jmengenhausen@mchospital.org</t>
  </si>
  <si>
    <t>Monique Hoffmann-Urban</t>
  </si>
  <si>
    <t>Michael Nelson, D.O.</t>
  </si>
  <si>
    <t>414 West Jefferson</t>
  </si>
  <si>
    <t>Jon Larson, MD</t>
  </si>
  <si>
    <t>kwaldbillig@meekermemorial.org</t>
  </si>
  <si>
    <t>Nicole</t>
  </si>
  <si>
    <t>Siegner</t>
  </si>
  <si>
    <t>nsiegner@meekermemorial.org</t>
  </si>
  <si>
    <t>Dr. Kurt Schwieters</t>
  </si>
  <si>
    <t>Steichen</t>
  </si>
  <si>
    <t>Government Reimbursement Director</t>
  </si>
  <si>
    <t>kevin.steichen@centracare.com</t>
  </si>
  <si>
    <t>Dr. Michael Schwemm &amp; Eric Haug</t>
  </si>
  <si>
    <t xml:space="preserve">Fairview Range </t>
  </si>
  <si>
    <t>Brent Walters, MD</t>
  </si>
  <si>
    <t>Children's Minnesota</t>
  </si>
  <si>
    <t>2525 Chicago Avenue South</t>
  </si>
  <si>
    <t>Marc H</t>
  </si>
  <si>
    <t>Gorelick</t>
  </si>
  <si>
    <t>President and CEO</t>
  </si>
  <si>
    <t>marc.gorelick@childrensmn.org</t>
  </si>
  <si>
    <t>Ridgeview Le Sueur Medical Center</t>
  </si>
  <si>
    <t>Vice President</t>
  </si>
  <si>
    <t>pamela.williams@ridgeviewmedical.org</t>
  </si>
  <si>
    <t>Carris Health - Redwood</t>
  </si>
  <si>
    <t>Maurer</t>
  </si>
  <si>
    <t>Murray County Medical Center</t>
  </si>
  <si>
    <t>Robyn Van Heuvelen</t>
  </si>
  <si>
    <t>404 W. Fountain Street</t>
  </si>
  <si>
    <t>johnson.kris2@mayo.edu</t>
  </si>
  <si>
    <t>North Memorial Health Hospital</t>
  </si>
  <si>
    <t>Richter</t>
  </si>
  <si>
    <t>Regulatory Reimbursement Manager</t>
  </si>
  <si>
    <t>jeff.richter@northmemorial.com</t>
  </si>
  <si>
    <t>3366 Oakdale Avenue N, Suite 500</t>
  </si>
  <si>
    <t>Dr. Christopher Palmer</t>
  </si>
  <si>
    <t>Albright</t>
  </si>
  <si>
    <t>VP Finance</t>
  </si>
  <si>
    <t>dave.albright@northmemorial.com</t>
  </si>
  <si>
    <t>Katy</t>
  </si>
  <si>
    <t>Durst</t>
  </si>
  <si>
    <t>Sr. Accountant</t>
  </si>
  <si>
    <t>katy.durst@northmemorial.com</t>
  </si>
  <si>
    <t>258 Pinetree Drive</t>
  </si>
  <si>
    <t>Guth</t>
  </si>
  <si>
    <t>guthe@northfieldhospital.org</t>
  </si>
  <si>
    <t>Jerry</t>
  </si>
  <si>
    <t>Ehn</t>
  </si>
  <si>
    <t>ehnj@northfieldhospital.org</t>
  </si>
  <si>
    <t>Sanford Thief River Falls Medical Center</t>
  </si>
  <si>
    <t>Tiffany Lawrence, VP of Finance</t>
  </si>
  <si>
    <t>1650 Fourth Street Southeast</t>
  </si>
  <si>
    <t>shane.ayres@oahs.us</t>
  </si>
  <si>
    <t>Brandon</t>
  </si>
  <si>
    <t>Pietsch</t>
  </si>
  <si>
    <t>brandon.pietsch@centracare.com</t>
  </si>
  <si>
    <t>Justine Anderson</t>
  </si>
  <si>
    <t>Mayo Clinic Health System in New Prague</t>
  </si>
  <si>
    <t>301 Second Street Northeast</t>
  </si>
  <si>
    <t>Helen</t>
  </si>
  <si>
    <t>Strike</t>
  </si>
  <si>
    <t>helen.strike@allina.com</t>
  </si>
  <si>
    <t>Dr. Justin Pattee</t>
  </si>
  <si>
    <t>Tom Horejsi</t>
  </si>
  <si>
    <t>Carris Health - Rice Memorial Hospital</t>
  </si>
  <si>
    <t>Michael.Schramm@carrishealth.com</t>
  </si>
  <si>
    <t>RiverView Health</t>
  </si>
  <si>
    <t>Dr. Drew Matthews</t>
  </si>
  <si>
    <t>705 Lundorff Drive</t>
  </si>
  <si>
    <t>1324 Fifth Street N</t>
  </si>
  <si>
    <t>Michael Grand</t>
  </si>
  <si>
    <t>Brittany Brindle, MD</t>
  </si>
  <si>
    <t>Sheila</t>
  </si>
  <si>
    <t>Frank</t>
  </si>
  <si>
    <t>Finance Analyst</t>
  </si>
  <si>
    <t>FrankSh@centracare.com</t>
  </si>
  <si>
    <t>Thomas.crowley@ascension.org</t>
  </si>
  <si>
    <t>John.wolfe@ascension.oro</t>
  </si>
  <si>
    <t>www.ascensionhealth.org</t>
  </si>
  <si>
    <t>Ascension Health</t>
  </si>
  <si>
    <t>CHI St. Francis Health</t>
  </si>
  <si>
    <t>Dr. Andrew Stasko</t>
  </si>
  <si>
    <t>VictoriaMaleski@catholichealth.net</t>
  </si>
  <si>
    <t>815 SE 2nd Street</t>
  </si>
  <si>
    <t>Jerdee</t>
  </si>
  <si>
    <t>Amy.Jerdee@allina.com</t>
  </si>
  <si>
    <t>Dr. David Anderson</t>
  </si>
  <si>
    <t>Mayo Clinic Health System in Red Wing</t>
  </si>
  <si>
    <t>701 Hewitt Boulevard</t>
  </si>
  <si>
    <t>CHI St. Joseph's Health</t>
  </si>
  <si>
    <t>600 Main Ave. South</t>
  </si>
  <si>
    <t>M Health Fairview</t>
  </si>
  <si>
    <t>69 West Exchange Street</t>
  </si>
  <si>
    <t>Manager, Business Partnering</t>
  </si>
  <si>
    <t>Andrew.Knutson@essentiahealth.org</t>
  </si>
  <si>
    <t>Lohn</t>
  </si>
  <si>
    <t>Eric.Lohn@slhduluth.com</t>
  </si>
  <si>
    <t>Reg. &amp; Reimb. Process Manager</t>
  </si>
  <si>
    <t>Thomas R. Hellmich, MD</t>
  </si>
  <si>
    <t>Alan</t>
  </si>
  <si>
    <t>Rose</t>
  </si>
  <si>
    <t>Alan.L.Rose@HealthPartners.Com</t>
  </si>
  <si>
    <t>kmcevilly@scmcinc.org</t>
  </si>
  <si>
    <t>Jason Andrew Hughes, MD</t>
  </si>
  <si>
    <t>Swift County-Benson Health Services</t>
  </si>
  <si>
    <t>COFO</t>
  </si>
  <si>
    <t>Tri-County Health Care</t>
  </si>
  <si>
    <t>Kine</t>
  </si>
  <si>
    <t>Sr Accountant</t>
  </si>
  <si>
    <t>amy.kine@tchc.org</t>
  </si>
  <si>
    <t>CHI LakeWood Health</t>
  </si>
  <si>
    <t>Stampohar</t>
  </si>
  <si>
    <t>JeffryStampohar@catholichealth.net</t>
  </si>
  <si>
    <t>https://lakewoodhealthcenter.org</t>
  </si>
  <si>
    <t>Timothy Bachenberg, M.D.</t>
  </si>
  <si>
    <t>Dr. Brian Junnila</t>
  </si>
  <si>
    <t>Phelps</t>
  </si>
  <si>
    <t>Dr. Frances LeBlanc</t>
  </si>
  <si>
    <t>Mayo Clinic Health System in Waseca</t>
  </si>
  <si>
    <t>501 N State Street</t>
  </si>
  <si>
    <t>Mayo Clinic Health System in St. James</t>
  </si>
  <si>
    <t>1101 Moulton &amp; Parsons Drive</t>
  </si>
  <si>
    <t>www.avera.org</t>
  </si>
  <si>
    <t>Sanford Wheaton Medical Center</t>
  </si>
  <si>
    <t>Windom Area Health</t>
  </si>
  <si>
    <t>Weg</t>
  </si>
  <si>
    <t>Jennifer.Weg@SanfordHealth.org</t>
  </si>
  <si>
    <t>James Cleveland, Director of Finance</t>
  </si>
  <si>
    <t>Dr. Justin Kane</t>
  </si>
  <si>
    <t>James</t>
  </si>
  <si>
    <t>Director of Finanace</t>
  </si>
  <si>
    <t>James.Cleveland@sanfordhealth.org</t>
  </si>
  <si>
    <t>M Health Fairview St. John's Hospital</t>
  </si>
  <si>
    <t>Sean</t>
  </si>
  <si>
    <t>Stricker</t>
  </si>
  <si>
    <t>SStricker@selectmedical.com</t>
  </si>
  <si>
    <t>Sstricker@selectmedical.com</t>
  </si>
  <si>
    <t>M Health Fairview University of Minnesota Medical Center</t>
  </si>
  <si>
    <t>M Health Fairview Lakes Medical Center</t>
  </si>
  <si>
    <t>5200 Fairview Boulevard</t>
  </si>
  <si>
    <t>Hayees Batson</t>
  </si>
  <si>
    <t>1925 Woodwinds Drive</t>
  </si>
  <si>
    <t>Senior Accounting Officer</t>
  </si>
  <si>
    <t>PO Box 64979</t>
  </si>
  <si>
    <t>9400 Zane Ave N</t>
  </si>
  <si>
    <t>Sanford Behavioral Health Center</t>
  </si>
  <si>
    <t>120 Labree Ave South</t>
  </si>
  <si>
    <t>Jill.sigleman@claconnect.com</t>
  </si>
  <si>
    <t>Hospital Annual Report (HAR) 2021</t>
  </si>
  <si>
    <t>A Reclassifications Worksheet has been provided to aid in the completions of the HAR 2021.  Utilizing this worksheet is not required, but may assist in expediting the audit process.</t>
  </si>
  <si>
    <t>To securely transmit the HAR 2021 and other electronic documents, please go to https://portal.mnhospitals.org/ and follow the instructions on the web page.</t>
  </si>
  <si>
    <t>2021 Fiscal Year End Date</t>
  </si>
  <si>
    <t>FY 2021</t>
  </si>
  <si>
    <t>Total Number of Hospital Licensed Beds (as of the last day of FY 2021)</t>
  </si>
  <si>
    <t>Total Number of Hospital Licensed Bassinets (as of the last day of FY 2021)</t>
  </si>
  <si>
    <t>Did your Facility have any Major Capital Expenditure Commitments in FY 2021 that were over $1 million dollars each?</t>
  </si>
  <si>
    <t>Click here to return to the Charge Summary Section in the 2021 HAR.</t>
  </si>
  <si>
    <t>Click here to return to the Admissions Summary Section in the 2021 HAR.</t>
  </si>
  <si>
    <t>Click here to return to the Patient Days Summary Section in the 2021 HAR.</t>
  </si>
  <si>
    <t>Click here to go to the next section in the 2021 HAR.</t>
  </si>
  <si>
    <t>2021 FY Total Discharges</t>
  </si>
  <si>
    <t>2021 FYE Total Charges</t>
  </si>
  <si>
    <t>2021 Report Year</t>
  </si>
  <si>
    <t>Please click here to return to the 2021 HAR tab</t>
  </si>
  <si>
    <t xml:space="preserve">2021 Hospital Avg Salary </t>
  </si>
  <si>
    <t>2021 Hospital Average Charge</t>
  </si>
  <si>
    <t>Based HAR 2021 Reporting Data</t>
  </si>
  <si>
    <t xml:space="preserve">This section pulls the relevant data elements to estimate the Medical Care Surcharge that will be based on the FY 2021 HAR. </t>
  </si>
  <si>
    <t>Capital Expenditure Reports reported prior to Fiscal Year 2021</t>
  </si>
  <si>
    <t>This information is provided for reference only. The following Capital Expenditure Commitments have been previously reported by your facility and do not need to be re-reported on the 2021 HAR unless there has been a significant change to the project in scope and/or budget. If you have questions about this information please contact health.hccis@state.mn.us.</t>
  </si>
  <si>
    <t>If an update to the project listed below is being reported on the 2021 HAR please include the MDH Reference ID in the Title and General Description narrative portion of the 2021 HAR. Report only additional commitment dollars and the explanation for the change to the project.</t>
  </si>
  <si>
    <t>Hospital Annual Report 2021</t>
  </si>
  <si>
    <t>This worksheet has been provided to aid in the completion of the HAR 2021.  Utilizing this worksheet is not required, but may assist in expediting the audit process.</t>
  </si>
  <si>
    <t>Definitions of codes used in the 2021 HAR formset</t>
  </si>
  <si>
    <t xml:space="preserve">The 2021 HAR Formset reflects the changes to accounting for Bad Debt and it is now classified as a Contractual Adjustment, not an Operating Expense. 
The provision for actual or expected doubtful accounts resulting from the extension of credit. This includes the total dollar amount charged for health care services that were provided for which there was an expectation of payment. Do not include charity care or self pay discounts in this category; only include the portion of the charge for which there was an expectation of payment. 
In determining whether to classify charity care as bad debt expense, the facility must consider the following points:
A. The facility must presume that the patient is able and willing to pay until and unless the facility has reason to consider this a charity care case under its charity care policy and the facility classifies this as a charity care case; and
B. The facility may include as bad debt expense unpaid deductibles, co-insurance, co-payments, and charges for non-covered services and any other unpaid patient responsibilities.
</t>
  </si>
  <si>
    <t>2020 Avg Salary based on FY 2020 Data</t>
  </si>
  <si>
    <t>2020 Avg Charge based on FY 2020 Data</t>
  </si>
  <si>
    <t>All Other Patient Specialists Salary 2104</t>
  </si>
  <si>
    <t>All Other Patient Specialists FTE 2114</t>
  </si>
  <si>
    <t>2021 HCCIS Hospital List (based on 2020 reporting)</t>
  </si>
  <si>
    <t>240 Willow Street</t>
  </si>
  <si>
    <t>Colleen Holton</t>
  </si>
  <si>
    <t>Essentia Health Ada</t>
  </si>
  <si>
    <t>201 9th Street West</t>
  </si>
  <si>
    <t>Business Analyst II</t>
  </si>
  <si>
    <t>Kelly.Sather@EssentiaHealth.org</t>
  </si>
  <si>
    <t>Dr Sandra Martsching</t>
  </si>
  <si>
    <t>Kimberly.Bodensteiner@Essentiahealth.org</t>
  </si>
  <si>
    <t>Cindi</t>
  </si>
  <si>
    <t>Baker</t>
  </si>
  <si>
    <t>Interm CEO</t>
  </si>
  <si>
    <t>Cbaker@rwhealth.org</t>
  </si>
  <si>
    <t>Tyler</t>
  </si>
  <si>
    <t>tulseth@rwhealth.org</t>
  </si>
  <si>
    <t>Appleton Area Health</t>
  </si>
  <si>
    <t>30 South Behl Street</t>
  </si>
  <si>
    <t>landreas@aah-mn.org</t>
  </si>
  <si>
    <t>jredepenning@aah-mn.org</t>
  </si>
  <si>
    <t>Dr. Swachetan Bajwa</t>
  </si>
  <si>
    <t>Executive Director of Accounting and Finance</t>
  </si>
  <si>
    <t>Strelow</t>
  </si>
  <si>
    <t>Accountant/Analyst</t>
  </si>
  <si>
    <t>melissa.strelow@ridgeviewmedical.org</t>
  </si>
  <si>
    <t>Jeoff.Will@fairview.org</t>
  </si>
  <si>
    <t>Knowlan</t>
  </si>
  <si>
    <t>David.Knowlan@fairview.org</t>
  </si>
  <si>
    <t xml:space="preserve">1700 University Ave. W </t>
  </si>
  <si>
    <t>1700 Univerity Avenue West</t>
  </si>
  <si>
    <t>MaylandPoyzer</t>
  </si>
  <si>
    <t>Barb</t>
  </si>
  <si>
    <t>Tellers</t>
  </si>
  <si>
    <t>Barbara.Tellers@fairview.org</t>
  </si>
  <si>
    <t>1700 University Ave W</t>
  </si>
  <si>
    <t>303 Catlin Street</t>
  </si>
  <si>
    <t>President, Buffalo Hospital and Cambridge Medical</t>
  </si>
  <si>
    <t>Dr. Laura Contreras</t>
  </si>
  <si>
    <t>112 Saint Olaf Avenue South</t>
  </si>
  <si>
    <t>Beth</t>
  </si>
  <si>
    <t>Flattum</t>
  </si>
  <si>
    <t>Flattum.Bethanie@mayo.edu</t>
  </si>
  <si>
    <t>Praveen Mekala</t>
  </si>
  <si>
    <t>1025 Marsh St, PO Box 8673</t>
  </si>
  <si>
    <t>D. Betzalel Reich</t>
  </si>
  <si>
    <t>Christopherson</t>
  </si>
  <si>
    <t>MGR  FIN &amp; ACCTG SVCS</t>
  </si>
  <si>
    <t>Christopherson.Mark1@mayo.edu</t>
  </si>
  <si>
    <t>824 N. 11th St.</t>
  </si>
  <si>
    <t>brian.lovdahl@ccmhealthmn.com</t>
  </si>
  <si>
    <t>Desi Anspach</t>
  </si>
  <si>
    <t>Desi Anspach &amp; Darlene</t>
  </si>
  <si>
    <t>desi.anspach@ccmhealthmn.com</t>
  </si>
  <si>
    <t>Dr. Chase Osbon</t>
  </si>
  <si>
    <t>Desi</t>
  </si>
  <si>
    <t>Anspach</t>
  </si>
  <si>
    <t>203 Fourth Street NW</t>
  </si>
  <si>
    <t>Jarvis</t>
  </si>
  <si>
    <t>susan.jarvis@sanfordhealth.org</t>
  </si>
  <si>
    <t>Lisa Miller</t>
  </si>
  <si>
    <t>Reimbursement Principal</t>
  </si>
  <si>
    <t>Walllin</t>
  </si>
  <si>
    <t>Lead Reimbursement Analyst</t>
  </si>
  <si>
    <t>justin.wallin@sanfordhealth.org</t>
  </si>
  <si>
    <t>1600 North Kniss Avenue</t>
  </si>
  <si>
    <t>Wallin</t>
  </si>
  <si>
    <t>1900 N. Sunrise Drive</t>
  </si>
  <si>
    <t>Paula</t>
  </si>
  <si>
    <t>Meskan</t>
  </si>
  <si>
    <t>pmeskan@rehc.org</t>
  </si>
  <si>
    <t>Paula Meskan (acting)</t>
  </si>
  <si>
    <t>Samantha</t>
  </si>
  <si>
    <t>Pherson</t>
  </si>
  <si>
    <t>Executive Assistant</t>
  </si>
  <si>
    <t>spherson@rehc.org</t>
  </si>
  <si>
    <t>512 Skyline Boulevard</t>
  </si>
  <si>
    <t>rbreuer@CMHMN.org</t>
  </si>
  <si>
    <t>Khoury</t>
  </si>
  <si>
    <t>skhoury@cmhmn.org</t>
  </si>
  <si>
    <t>Dr. Chad Fey</t>
  </si>
  <si>
    <t>banderson@cmhmn.org</t>
  </si>
  <si>
    <t>Essentia Health - Deer River</t>
  </si>
  <si>
    <t>115 10th Ave NE</t>
  </si>
  <si>
    <t>Fox</t>
  </si>
  <si>
    <t>monique.fox@essentiahealth.org</t>
  </si>
  <si>
    <t>Senior Advisor  Finance</t>
  </si>
  <si>
    <t>Rahja</t>
  </si>
  <si>
    <t>Finance Supervisor</t>
  </si>
  <si>
    <t>Sara.Rahja@essentiahealth.org</t>
  </si>
  <si>
    <t>855 Mankato Ave.</t>
  </si>
  <si>
    <t>200 North Elm Street</t>
  </si>
  <si>
    <t>515 - 5TH AVENUE WEST</t>
  </si>
  <si>
    <t>Paul Goettl</t>
  </si>
  <si>
    <t>Paul.Goettl@northshorehealthgm.org</t>
  </si>
  <si>
    <t>northshorehealthgm.org</t>
  </si>
  <si>
    <t>Crow Wing</t>
  </si>
  <si>
    <t>920 Bell Avenue</t>
  </si>
  <si>
    <t>Wendorff</t>
  </si>
  <si>
    <t>bryan.wendorff@sanfordhealth.org</t>
  </si>
  <si>
    <t>415 3rd Ave N</t>
  </si>
  <si>
    <t>CASS</t>
  </si>
  <si>
    <t>328 W Conan Street</t>
  </si>
  <si>
    <t>Patti</t>
  </si>
  <si>
    <t>Banks</t>
  </si>
  <si>
    <t>pbanks@ebch.org</t>
  </si>
  <si>
    <t>Curtis A Bach</t>
  </si>
  <si>
    <t>Curtis A</t>
  </si>
  <si>
    <t>Bach</t>
  </si>
  <si>
    <t>cbach@ebch.org</t>
  </si>
  <si>
    <t>Dr. Ashley Anderson</t>
  </si>
  <si>
    <t>Varney</t>
  </si>
  <si>
    <t>Kennedy</t>
  </si>
  <si>
    <t>Government Reimbursement Analyst II</t>
  </si>
  <si>
    <t>vkenned1@fairview.org</t>
  </si>
  <si>
    <t>Diane Del</t>
  </si>
  <si>
    <t>Santro</t>
  </si>
  <si>
    <t>ddelsan1@fairview.org</t>
  </si>
  <si>
    <t>COO Acute Care Hospitals</t>
  </si>
  <si>
    <t>Ramsey</t>
  </si>
  <si>
    <t>Tim.Fried@fairview.org</t>
  </si>
  <si>
    <t>1700 University Ave W.</t>
  </si>
  <si>
    <t>Sr. Business Consultant</t>
  </si>
  <si>
    <t>Gary.Lodge@fairview.org</t>
  </si>
  <si>
    <t>1400 Highway 71</t>
  </si>
  <si>
    <t>Kevin Marble, MD</t>
  </si>
  <si>
    <t>Essentia Health - Fosston</t>
  </si>
  <si>
    <t>10 4th Ave. SE</t>
  </si>
  <si>
    <t>Curliss</t>
  </si>
  <si>
    <t>Senior Associate</t>
  </si>
  <si>
    <t>Kevin.Curliss@rsmus.com</t>
  </si>
  <si>
    <t>10 4th Ave. SE, PO Box 160, PO Box 160, PO Box 160, PO Box 160, PO Box 160</t>
  </si>
  <si>
    <t>1805 Hennepin Avenue N</t>
  </si>
  <si>
    <t>Patricia D.</t>
  </si>
  <si>
    <t>Henderson</t>
  </si>
  <si>
    <t>patty.henderson@grhsonline.org</t>
  </si>
  <si>
    <t>www.grhsonline.org</t>
  </si>
  <si>
    <t>Avera Granite Falls</t>
  </si>
  <si>
    <t>345 Tenth Ave</t>
  </si>
  <si>
    <t>Thomas</t>
  </si>
  <si>
    <t>thomas.kooiman@avera.org</t>
  </si>
  <si>
    <t>Arthur Rillo</t>
  </si>
  <si>
    <t>Finance Partner</t>
  </si>
  <si>
    <t>valarie.hoffman@avera.org</t>
  </si>
  <si>
    <t>345 10th Ave</t>
  </si>
  <si>
    <t>1411 HIGHWAY 79 E</t>
  </si>
  <si>
    <t>Camie Patterson - CFO</t>
  </si>
  <si>
    <t>2250 NW 26th Street</t>
  </si>
  <si>
    <t>Johnston</t>
  </si>
  <si>
    <t>michael.e.johnston@allina.com</t>
  </si>
  <si>
    <t>rochelle.hickerson@allina.com</t>
  </si>
  <si>
    <t>503 East Lincoln Street</t>
  </si>
  <si>
    <t>Travis</t>
  </si>
  <si>
    <t>Olsen</t>
  </si>
  <si>
    <t>travis.olsen@hendrickshosp.org</t>
  </si>
  <si>
    <t>DeCubellis</t>
  </si>
  <si>
    <t>Jennifer.DeCubellis@hcmed.org</t>
  </si>
  <si>
    <t>Essentia Health - Graceville</t>
  </si>
  <si>
    <t>115 West 2nd Street</t>
  </si>
  <si>
    <t>JLyons@hutchhealth.com</t>
  </si>
  <si>
    <t>Pamela J Larson</t>
  </si>
  <si>
    <t>Lhoof@hutchhealth.com</t>
  </si>
  <si>
    <t>Dr. Jill Donofrio</t>
  </si>
  <si>
    <t>Pamela J</t>
  </si>
  <si>
    <t>plarson@hutchhealth.com</t>
  </si>
  <si>
    <t>MGR - FIN &amp; ACCTG SVCS</t>
  </si>
  <si>
    <t>Jean</t>
  </si>
  <si>
    <t>MacDonell</t>
  </si>
  <si>
    <t>Jean.MacDonell@fairview.org</t>
  </si>
  <si>
    <t>1430 North Highway</t>
  </si>
  <si>
    <t>Dr. Eric Shelstad</t>
  </si>
  <si>
    <t>Esten</t>
  </si>
  <si>
    <t>Weber</t>
  </si>
  <si>
    <t>eweber@jmhsmn.org</t>
  </si>
  <si>
    <t>301 South Hwy 65</t>
  </si>
  <si>
    <t>1010 South Birch Avenue</t>
  </si>
  <si>
    <t>Gabriel</t>
  </si>
  <si>
    <t>Mooney</t>
  </si>
  <si>
    <t>gabriel.mooney@kmhc.net</t>
  </si>
  <si>
    <t>Jeni</t>
  </si>
  <si>
    <t>Schwenzfeier</t>
  </si>
  <si>
    <t>jenis@kmhc.net</t>
  </si>
  <si>
    <t>Kent</t>
  </si>
  <si>
    <t>Mattson</t>
  </si>
  <si>
    <t>kmattson@lrhc.org</t>
  </si>
  <si>
    <t>Camie Patterson</t>
  </si>
  <si>
    <t>Crummy</t>
  </si>
  <si>
    <t>AKCrummy@lrhc.org</t>
  </si>
  <si>
    <t>712 S Cascade St</t>
  </si>
  <si>
    <t>Camie</t>
  </si>
  <si>
    <t>Patterson</t>
  </si>
  <si>
    <t>cpatterson@lrhc.org</t>
  </si>
  <si>
    <t>Lake View Memorial Hospital</t>
  </si>
  <si>
    <t>Shawn McMahon, MD</t>
  </si>
  <si>
    <t>Chris H.</t>
  </si>
  <si>
    <t>Vice President, Strategy &amp; Finance</t>
  </si>
  <si>
    <t>927 West Churchill Street</t>
  </si>
  <si>
    <t>Mike Blair</t>
  </si>
  <si>
    <t>Sr. Govt Reimbursement Analyst</t>
  </si>
  <si>
    <t>121 Drew Avenue Southeast</t>
  </si>
  <si>
    <t>Olmsted</t>
  </si>
  <si>
    <t>HoffmanUrban</t>
  </si>
  <si>
    <t>Madison Hospital</t>
  </si>
  <si>
    <t>900 Second Avenue</t>
  </si>
  <si>
    <t>Meeker Memorial Hospital</t>
  </si>
  <si>
    <t>Nicole Siegner</t>
  </si>
  <si>
    <t>www.meekermemorial.org</t>
  </si>
  <si>
    <t>Moen</t>
  </si>
  <si>
    <t xml:space="preserve">benjamin.moen@centracare.com </t>
  </si>
  <si>
    <t>4572 County Road 61</t>
  </si>
  <si>
    <t>myouso@mercymooselake.org</t>
  </si>
  <si>
    <t>Angela Gran, Director of Finance</t>
  </si>
  <si>
    <t>Gran</t>
  </si>
  <si>
    <t>angela.gran@essentiahealth.org</t>
  </si>
  <si>
    <t>4572 County Rd. 61</t>
  </si>
  <si>
    <t>Moose Lake</t>
  </si>
  <si>
    <t>4050 Coon Rapids Blvd. NW</t>
  </si>
  <si>
    <t>Jared.Paquin@allina.com</t>
  </si>
  <si>
    <t>President -Grand Itasca/Range</t>
  </si>
  <si>
    <t>Joseph.Drummond@fairview.org</t>
  </si>
  <si>
    <t>Dr. Peter Olsen</t>
  </si>
  <si>
    <t>6500 Excelsior Boulevard</t>
  </si>
  <si>
    <t>Tricia Dege</t>
  </si>
  <si>
    <t>6500 Excelsior Blvd, PO Box 650, PO Box 650, PO Box 650, PO Box 650</t>
  </si>
  <si>
    <t>6500 Excelsior Blvd, PO BOx 650, PO BOx 650, PO BOx 650, PO BOx 650</t>
  </si>
  <si>
    <t>Beard</t>
  </si>
  <si>
    <t>brad.beard@EssentiaHealth.org</t>
  </si>
  <si>
    <t>Brenda McCormick</t>
  </si>
  <si>
    <t>www.ridgeviewlesueur.org</t>
  </si>
  <si>
    <t>Hering</t>
  </si>
  <si>
    <t>john.hering@centracare.com</t>
  </si>
  <si>
    <t>Carnie</t>
  </si>
  <si>
    <t>Allex</t>
  </si>
  <si>
    <t>carnie.allex@carrishealth.com</t>
  </si>
  <si>
    <t>www.carrishealth.com</t>
  </si>
  <si>
    <t>Dr Cynthia Gronau</t>
  </si>
  <si>
    <t>Kimberly</t>
  </si>
  <si>
    <t>kimberly.maurer@centracare.com</t>
  </si>
  <si>
    <t>Luke</t>
  </si>
  <si>
    <t>Schryvers</t>
  </si>
  <si>
    <t>schryversl@murraycountymed.org</t>
  </si>
  <si>
    <t>Dr. Steven Snow</t>
  </si>
  <si>
    <t>Susan.Jarvis@SanfordHealth.org</t>
  </si>
  <si>
    <t>Dan Fromm</t>
  </si>
  <si>
    <t>Darla Anderson</t>
  </si>
  <si>
    <t>Kristin Baquero,</t>
  </si>
  <si>
    <t>Kristin.baquero@claconnect.com</t>
  </si>
  <si>
    <t xml:space="preserve">Minneapolis </t>
  </si>
  <si>
    <t>Edwin Anderson, MD</t>
  </si>
  <si>
    <t>Heinecke</t>
  </si>
  <si>
    <t>Assistant Director of Finance</t>
  </si>
  <si>
    <t>DHeinecke@bigforkvalley.org</t>
  </si>
  <si>
    <t>258 PINETREE DR, PO Box 258, PO Box 258, PO Box 258, PO Box 258, PO Box 258, PO Box 258</t>
  </si>
  <si>
    <t>danderson@bigforkvalley.org</t>
  </si>
  <si>
    <t>Jennifer Fischer, MD</t>
  </si>
  <si>
    <t>3001 Sanford Parkway</t>
  </si>
  <si>
    <t>450 Eastvold Avenue</t>
  </si>
  <si>
    <t>Shane Ayres</t>
  </si>
  <si>
    <t>debra.barnhardt@oahs.us</t>
  </si>
  <si>
    <t>CentraCare Health - Paynesville</t>
  </si>
  <si>
    <t>200 West First Street</t>
  </si>
  <si>
    <t>Stearns</t>
  </si>
  <si>
    <t>1000 Coney Street West</t>
  </si>
  <si>
    <t>Alicia</t>
  </si>
  <si>
    <t>Amundson</t>
  </si>
  <si>
    <t>Senior Manager</t>
  </si>
  <si>
    <t>aamundson@eidebailly.com</t>
  </si>
  <si>
    <t xml:space="preserve">4310 17th Ave S </t>
  </si>
  <si>
    <t>Cass</t>
  </si>
  <si>
    <t>916 Fourth Ave S.W.</t>
  </si>
  <si>
    <t>Sandra Schlechter</t>
  </si>
  <si>
    <t>Dr. Nicholas Harms</t>
  </si>
  <si>
    <t>Sandra</t>
  </si>
  <si>
    <t>Schlechter</t>
  </si>
  <si>
    <t>Sandra.schlechter@pcmchealth.org</t>
  </si>
  <si>
    <t>Mackenzie</t>
  </si>
  <si>
    <t>Miller.Mackenzie@mayo.edu</t>
  </si>
  <si>
    <t>Bruce Craven</t>
  </si>
  <si>
    <t>Olivia Hospital &amp; Clinic</t>
  </si>
  <si>
    <t>Nathan.G.Blad@HealthPartners.com</t>
  </si>
  <si>
    <t>Nancy.A.Anderson@HealthPartners.com</t>
  </si>
  <si>
    <t>www.oliviahospital.com</t>
  </si>
  <si>
    <t>200 State Avenue</t>
  </si>
  <si>
    <t>Michael.E.Johnston@allina.com</t>
  </si>
  <si>
    <t>Andy</t>
  </si>
  <si>
    <t>Rolling</t>
  </si>
  <si>
    <t>Andrew.Rolling@centracare.com</t>
  </si>
  <si>
    <t>301 Becker Ave SW</t>
  </si>
  <si>
    <t>323 South Minnesota Street</t>
  </si>
  <si>
    <t>Scheper</t>
  </si>
  <si>
    <t>randy.scheper@allina.com</t>
  </si>
  <si>
    <t>400 Fourth Avenue Northwest</t>
  </si>
  <si>
    <t>400 Fourth Avenue Northwest, P.O. Box 323, P.O. Box 323, P.O. Box 323, P.O. Box 323, P.O. Box 323, P.O. Box 323</t>
  </si>
  <si>
    <t>Dr. John Pelzel</t>
  </si>
  <si>
    <t>1406 6th Avenue North</t>
  </si>
  <si>
    <t>Joy</t>
  </si>
  <si>
    <t>Plamann</t>
  </si>
  <si>
    <t>Dr. Dennis Spano</t>
  </si>
  <si>
    <t>2400 St. Francis Drive</t>
  </si>
  <si>
    <t>1455 St. Francis Avenue</t>
  </si>
  <si>
    <t>815 2nd Street Southeast</t>
  </si>
  <si>
    <t>StevenSmith3@catholichealth.net</t>
  </si>
  <si>
    <t>600 Pleasant Ave</t>
  </si>
  <si>
    <t>Saint Joseph's Hospital</t>
  </si>
  <si>
    <t>523 North Third Street</t>
  </si>
  <si>
    <t>Dr. Jon</t>
  </si>
  <si>
    <t>Pryor</t>
  </si>
  <si>
    <t>President Essentia Health East Region</t>
  </si>
  <si>
    <t>jon.pryor@essentiahealth.org</t>
  </si>
  <si>
    <t>Jeffrey Porter, MD</t>
  </si>
  <si>
    <t>Co - President &amp; CEO -CFO</t>
  </si>
  <si>
    <t>Whitney</t>
  </si>
  <si>
    <t>Sundquist</t>
  </si>
  <si>
    <t>whitney.sundquist@slhduluth.com</t>
  </si>
  <si>
    <t>Denise</t>
  </si>
  <si>
    <t>Melchior</t>
  </si>
  <si>
    <t>Financial Data Integrity Administrator</t>
  </si>
  <si>
    <t>denise.melchior@slhduluth.com</t>
  </si>
  <si>
    <t>VP of Strategy and Finance</t>
  </si>
  <si>
    <t>1216 Second Street Southwest</t>
  </si>
  <si>
    <t>Adam M. Horst</t>
  </si>
  <si>
    <t>St. Mary's Regional Health Center</t>
  </si>
  <si>
    <t>Interim Vice President</t>
  </si>
  <si>
    <t>Ryan.Hill@Essentiahealth.org</t>
  </si>
  <si>
    <t>Kyle Dorow</t>
  </si>
  <si>
    <t>407 East Third Street</t>
  </si>
  <si>
    <t>Bradley.Beard@EssentiaHealth.org</t>
  </si>
  <si>
    <t xml:space="preserve"> </t>
  </si>
  <si>
    <t>Dr. Adam Riutta</t>
  </si>
  <si>
    <t>CentraCare Health - Sauk Centre</t>
  </si>
  <si>
    <t>Kerrie</t>
  </si>
  <si>
    <t>McEvilly</t>
  </si>
  <si>
    <t>Jeff Lewis</t>
  </si>
  <si>
    <t>Lewis</t>
  </si>
  <si>
    <t>Jlewis@scmcinc.org</t>
  </si>
  <si>
    <t>www.scmcinc.org</t>
  </si>
  <si>
    <t>251 5th Street E.</t>
  </si>
  <si>
    <t>415 N. Jefferson Street</t>
  </si>
  <si>
    <t>49725 County Road 83</t>
  </si>
  <si>
    <t>515 S. Moore St.</t>
  </si>
  <si>
    <t>Jeaneatte</t>
  </si>
  <si>
    <t>Kruckeberg</t>
  </si>
  <si>
    <t>jkruckeberg@uhd.org</t>
  </si>
  <si>
    <t>Essentia Health Virginia</t>
  </si>
  <si>
    <t>901 9th St. N.</t>
  </si>
  <si>
    <t>Feltman</t>
  </si>
  <si>
    <t>Senior Finance Advisor</t>
  </si>
  <si>
    <t>steven.feltman@essentiahealth.org</t>
  </si>
  <si>
    <t>Michael.Phelps@ridgeviewmedical.org</t>
  </si>
  <si>
    <t>Cassie</t>
  </si>
  <si>
    <t>Storms</t>
  </si>
  <si>
    <t>Manager of System Accounting &amp; Financial Reporting</t>
  </si>
  <si>
    <t>cassie.storms@ridgeviewmedical.org</t>
  </si>
  <si>
    <t>Linnell</t>
  </si>
  <si>
    <t>jon.linnell@northvalleyhealth.org</t>
  </si>
  <si>
    <t>www.northvalleyhealth.org</t>
  </si>
  <si>
    <t>Long.Amy1@mayo.edu</t>
  </si>
  <si>
    <t>Streier</t>
  </si>
  <si>
    <t>Regional President &amp; CEO</t>
  </si>
  <si>
    <t>debbie.streier@avera.org</t>
  </si>
  <si>
    <t>averamarshall.org</t>
  </si>
  <si>
    <t>Dr. Mohammed Hussain</t>
  </si>
  <si>
    <t>401 12th Street North</t>
  </si>
  <si>
    <t>Chelsie</t>
  </si>
  <si>
    <t>Falk</t>
  </si>
  <si>
    <t>chelsie.falk@sanfordhealth.org</t>
  </si>
  <si>
    <t>Dr. Patrick Emery</t>
  </si>
  <si>
    <t>Essentia Health Northern Pines</t>
  </si>
  <si>
    <t>5211 Highway 110</t>
  </si>
  <si>
    <t>Hohl</t>
  </si>
  <si>
    <t xml:space="preserve">Senior Business Analyst </t>
  </si>
  <si>
    <t>Jason.hohl@essentiahealth.org</t>
  </si>
  <si>
    <t>2150 Hospital Drive</t>
  </si>
  <si>
    <t>John Peyerl</t>
  </si>
  <si>
    <t>Peyerl</t>
  </si>
  <si>
    <t>john.peyerl@sanfordhealth.org</t>
  </si>
  <si>
    <t>1018 Sixth Avenue</t>
  </si>
  <si>
    <t>1300 Hidden Lakes Parkway</t>
  </si>
  <si>
    <t>Cumberland</t>
  </si>
  <si>
    <t>Site VP / Sr Dir Ops</t>
  </si>
  <si>
    <t>mjohnson11@umphysicians.umn.edu</t>
  </si>
  <si>
    <t>Mike.Riley@fairview.org</t>
  </si>
  <si>
    <t>www.mhealthfairview.org</t>
  </si>
  <si>
    <t>Deborah.MaylandPoyzer@fairview.org</t>
  </si>
  <si>
    <t>David Warren, MD</t>
  </si>
  <si>
    <t>Dr. Scott Nicholls</t>
  </si>
  <si>
    <t>3301 7th Avenue North</t>
  </si>
  <si>
    <t>Mai C</t>
  </si>
  <si>
    <t>Yang</t>
  </si>
  <si>
    <t>mai.c.yang@state.mn.us</t>
  </si>
  <si>
    <t>1701 Technology Drive NE</t>
  </si>
  <si>
    <t>1610 8th Ave. E.</t>
  </si>
  <si>
    <t>400 Annandale Blvd</t>
  </si>
  <si>
    <t>1801 West Aicott Avenue</t>
  </si>
  <si>
    <t>251 Wood Lake Drive SE</t>
  </si>
  <si>
    <t>14241 Grand Oaks Drive</t>
  </si>
  <si>
    <t>800 Bemidji Avenue North, Suite 200</t>
  </si>
  <si>
    <t>Archbold</t>
  </si>
  <si>
    <t>tarchbold@prairie-care.com</t>
  </si>
  <si>
    <t>Build new outpatient clinic for cardiology and internal medicine.</t>
  </si>
  <si>
    <t>Linear Accelerator Replacement</t>
  </si>
  <si>
    <t>Replace Radiology Fluoroscopy equipment and upgrades rooms that house the equipment.</t>
  </si>
  <si>
    <t>Piper Lobby Renovation</t>
  </si>
  <si>
    <t>Electrophysiology (EP) Equipment and Room Replacement</t>
  </si>
  <si>
    <t>CV Lab Equipment and room replacement</t>
  </si>
  <si>
    <t>Interventional Radiology (IR) Room C Refresh</t>
  </si>
  <si>
    <t>CV5 &amp; CV7 Replacement</t>
  </si>
  <si>
    <t>Surgical Navigation</t>
  </si>
  <si>
    <t>Pharmacy Medication Carousels</t>
  </si>
  <si>
    <t>Oncology Strategy</t>
  </si>
  <si>
    <t>New Patient Care building Pre-Design work</t>
  </si>
  <si>
    <t>Operating Room (OR) Recommissioning</t>
  </si>
  <si>
    <t>Heart Hospital 6th floor Radiology Computed Tomography (CT)</t>
  </si>
  <si>
    <t>Retail Pharmacy (Paulbecks')</t>
  </si>
  <si>
    <t>171 Red Oak Dr</t>
  </si>
  <si>
    <t>Retail Pharmacy at Paulbecks' County Market</t>
  </si>
  <si>
    <t>Ridgeview Sibley Meical Center</t>
  </si>
  <si>
    <t>601 West Chandler St</t>
  </si>
  <si>
    <t>Arlington MN</t>
  </si>
  <si>
    <t>Building upgrade for general services</t>
  </si>
  <si>
    <t>559 Capital Blvd</t>
  </si>
  <si>
    <t>United States Pharmacopeial (USP) 797 &amp; 800 Compliance  - This project is to implement the required facility upgrades in the inpatient hospital pharmacy to meet the USP requirements.</t>
  </si>
  <si>
    <t>Chippewa County-Montevideo Hospital</t>
  </si>
  <si>
    <t>Wellness Center</t>
  </si>
  <si>
    <t>1409 MN 7</t>
  </si>
  <si>
    <t>Montevideo</t>
  </si>
  <si>
    <t>Constructed Wellness Center for use by employees and public that also houses Home Health, Conference Rooms, and will be expanded to include Physical Therapy</t>
  </si>
  <si>
    <t>Cloquet Memorial Hospital Association</t>
  </si>
  <si>
    <t>Purchase of Raiter Clinic</t>
  </si>
  <si>
    <t>417 Skyline Blvd</t>
  </si>
  <si>
    <t>Cloquet</t>
  </si>
  <si>
    <t>On January 1, 2020, the hospital purchased Raiter Clinic, LTD, a family medicine practice located across the street from the hospital. The practice had been privately held by a partnership of physicians prior to the purchase.</t>
  </si>
  <si>
    <t>Mille Lacs Health System - Next Chapter Project</t>
  </si>
  <si>
    <t>200 Elm Street North</t>
  </si>
  <si>
    <t>Onamia</t>
  </si>
  <si>
    <t>Hospital Acute Care and ER department expansion</t>
  </si>
  <si>
    <t>Expand clinic and procedure space to have Spine services.</t>
  </si>
  <si>
    <t>BUILDING, ALEXANDRIA EYE CLINIC PURCHASE</t>
  </si>
  <si>
    <t>109 15TH AVE E</t>
  </si>
  <si>
    <t>building</t>
  </si>
  <si>
    <t>201 E. Nicollet Blvd</t>
  </si>
  <si>
    <t>Burnsville, MN</t>
  </si>
  <si>
    <t>Large volume infusion pump replacement. This is a replacement of the current IV pumps as they are at the end of their useful life.</t>
  </si>
  <si>
    <t>Robotic Assited Surgery. This is a purchase of a Da vinci Xi robot used in surgery.</t>
  </si>
  <si>
    <t>Physiologic and Telememtry Monitoring Replacement. This the replacement of the current physiologic and telememtry patient monitoring equipment used throughout the hospital in inpatient care units, Emergency Department, surgery, endoscopy, and ancillary areas. It is important piece of equipment to monitor the heart and other vital signs.</t>
  </si>
  <si>
    <t>Neurology Program - Telestroke Inpatient and Hospital Base Clinic. This Program will focus on providing 24/7 inpatient Neurology coverage and establish an outpatient Neurology clinic for the South Region. The program will include adding residents to start providing additional teaching location for Neurology. The costs for this program includes clinic space, IT technology, and Telestroke carts.</t>
  </si>
  <si>
    <t>Intravenous (IV) Large Volume Pump Replacement - replacement of the infusion pumps used in patient care areas on the East Bank and West Bank of the University of Minnesota Medical Center.</t>
  </si>
  <si>
    <t>Maple Grove Clinic Expansion</t>
  </si>
  <si>
    <t>9550 Upland Lane N, Suite 220, Maple Grove MN 55369</t>
  </si>
  <si>
    <t>Maple Grove, MN</t>
  </si>
  <si>
    <t>Expansion and renovation of the Gillette Children's Maple Grove Clinic facilities</t>
  </si>
  <si>
    <t>Integrated Parking and Office Structure Construction</t>
  </si>
  <si>
    <t>Patient Monitoring / Telemetry-year 2 of 3</t>
  </si>
  <si>
    <t>Network Year II</t>
  </si>
  <si>
    <t>Radiology CT</t>
  </si>
  <si>
    <t>Windows 10 Remediation</t>
  </si>
  <si>
    <t>Family Healing Center for Mother/Baby</t>
  </si>
  <si>
    <t>701 Park Ave. S</t>
  </si>
  <si>
    <t>Patient Monitoring system</t>
  </si>
  <si>
    <t>Medication Management system</t>
  </si>
  <si>
    <t>Single business office</t>
  </si>
  <si>
    <t>Window 10 upgrade</t>
  </si>
  <si>
    <t>PET/CT System</t>
  </si>
  <si>
    <t>Lake View Hospital</t>
  </si>
  <si>
    <t>Two Harbors</t>
  </si>
  <si>
    <t>Facility expansion and renovation project.</t>
  </si>
  <si>
    <t>Lakeview EMS Garage and Quarters - Hudson Campus</t>
  </si>
  <si>
    <t>Meeker Memorial Hospital &amp; Clinics</t>
  </si>
  <si>
    <t>612 S Sibley Avenue</t>
  </si>
  <si>
    <t>Litchfield</t>
  </si>
  <si>
    <t>EPIC Electronic Medical Records Integration</t>
  </si>
  <si>
    <t>Courage Kenny Kids-Coon Rapids Current Lease End/Move to New Space</t>
  </si>
  <si>
    <t>EP Procedure Room Replacement</t>
  </si>
  <si>
    <t>Nursecall system upgrade</t>
  </si>
  <si>
    <t>Mercy Hospital storm water management plan</t>
  </si>
  <si>
    <t>Mercy campus IR suite with biplane capabilities</t>
  </si>
  <si>
    <t>daVinci Xi robot upgrade</t>
  </si>
  <si>
    <t>Minnesota Perinatal Physicians Mercy Clinic Expansion</t>
  </si>
  <si>
    <t>Medical Oncology Start-Up</t>
  </si>
  <si>
    <t>Stealth/ O-Arm equipment from Medtronic, for the Surgery at Methodist Hospital.</t>
  </si>
  <si>
    <t>Replacement of two CT scanners at Methodist Radiology. The project consists of equipment costs of $2,672,014 for two CT scanners and a patient lift, and construction costs of $665,000.  Total project cost is $3,337,014.</t>
  </si>
  <si>
    <t>Heart and Vascular Center Interventional Lab, additional Interventional Radiology Procedure Room.</t>
  </si>
  <si>
    <t>Methodist Hospital Cancer Center</t>
  </si>
  <si>
    <t>3931 Louisiana Ave S</t>
  </si>
  <si>
    <t>A new Linear Accelerator at the Methodist Hospital Cancer Center.</t>
  </si>
  <si>
    <t>Park Nicollet Specialty Center</t>
  </si>
  <si>
    <t>A new PET CT replacement for Radiology at Methodist Hospital.</t>
  </si>
  <si>
    <t>The replacement of the MRI at the Heart Vascular Center at Methodist Hospital.</t>
  </si>
  <si>
    <t>Miller Hill Health Plaza</t>
  </si>
  <si>
    <t>1600 Miller Trunk Hwy Building C</t>
  </si>
  <si>
    <t>Upgrade to Windows 10 Operating System - Virtual Desktop Infrastructure</t>
  </si>
  <si>
    <t>Personal Computer Windows 10 Operating System - Virtual Desktop Upgrade.</t>
  </si>
  <si>
    <t>Move Existing Occupational Medicine to Miller Hill Health Plaza.</t>
  </si>
  <si>
    <t>Miller Dwan Rehab West Unit Remodel</t>
  </si>
  <si>
    <t>Essentia Health Cloquet</t>
  </si>
  <si>
    <t>1405 Highway 33 South</t>
  </si>
  <si>
    <t>Cloquet Clinic</t>
  </si>
  <si>
    <t>1600 Miller Trunk Hwy Building</t>
  </si>
  <si>
    <t>Purchase of MHM South Building</t>
  </si>
  <si>
    <t>420 East 1st Street</t>
  </si>
  <si>
    <t>Replacement of MRI unit</t>
  </si>
  <si>
    <t>Linear Accelerator</t>
  </si>
  <si>
    <t>Emergency Department Remodel</t>
  </si>
  <si>
    <t>Significant remodel of the Monticello Emergency Department, including addition of several mental health treatment rooms, increase in the size of the two trauma rooms, central supply storage improvements with kanban, and incorporation of core staff area with patient/family ability to enter rooms external to the staff area.</t>
  </si>
  <si>
    <t>101 Caring Way</t>
  </si>
  <si>
    <t>Brand new replacement health facility joining Redwood Falls hospital and clinic onto one campus materialized with the change of ownership of City Owned Redwood Area Hospital to CentraCare/Carris on 1/1/19</t>
  </si>
  <si>
    <t>Sanford Health of Northern MN</t>
  </si>
  <si>
    <t>Intuitive Davinci Robot XI</t>
  </si>
  <si>
    <t>SHNM - Cardiology Heart Center</t>
  </si>
  <si>
    <t>Bemidji 3rd Cath Lab</t>
  </si>
  <si>
    <t>COVID 19 Ventilator Replacement</t>
  </si>
  <si>
    <t>Anesthesia Gas Machines</t>
  </si>
  <si>
    <t>PET CT Replacement</t>
  </si>
  <si>
    <t>ED Refresh</t>
  </si>
  <si>
    <t>Medtronic Navigation Equipment</t>
  </si>
  <si>
    <t>OR Room 21 Upgrade</t>
  </si>
  <si>
    <t>Relocation and expansion of the Cancer Center Pharmacy.</t>
  </si>
  <si>
    <t>Bedside Monitor Upgrades</t>
  </si>
  <si>
    <t>Vital Sign Monitor Upgrades</t>
  </si>
  <si>
    <t>Endoscopy Suite Upgrade</t>
  </si>
  <si>
    <t>Northfield Hospital</t>
  </si>
  <si>
    <t>Upgrade EHR system from Meditech client/server to Meditech Expanse.</t>
  </si>
  <si>
    <t>Miracle Mile Clinic</t>
  </si>
  <si>
    <t>132 17th Ave NW</t>
  </si>
  <si>
    <t>The Miracle Mile Clinic is a new OMC clinic format in Rochester in that it offers both scheduled appointments as well as walk in visits from 7AM to 7PM Monday-Friday. Since opeing the clinic has expanded to offering services 7 days a week with hours of 8AM to 3PM on Saturdays and Sundays. The location offers full X-Ray capabilities in addition to lab services.</t>
  </si>
  <si>
    <t>The Shelling in of the remainder of the NW Clinic's first floor</t>
  </si>
  <si>
    <t>5067 55th St. NW</t>
  </si>
  <si>
    <t>Title: NW Clinic 1st Floor Build out (shell). When we originally built our existing NW Clinic location in 2011 we didn't completely build out the first floor. We left approximately 10,600 s.f. of what would have been the first floor as roof deck.</t>
  </si>
  <si>
    <t>Ortonville Health Services</t>
  </si>
  <si>
    <t>ORTONVILLE AREA HEALTH SERVICES</t>
  </si>
  <si>
    <t>450 EASTVOLD AVENUE</t>
  </si>
  <si>
    <t>Onsite Clinic Remodel</t>
  </si>
  <si>
    <t>Rice Memorial Hospital - Boiler plant expansion</t>
  </si>
  <si>
    <t>Riverview Healthcare Association</t>
  </si>
  <si>
    <t>Riverview Healthcare</t>
  </si>
  <si>
    <t>Building a new clinic and inpatient unit for the Crookston community and surrounding area.</t>
  </si>
  <si>
    <t>210 Main Avenue NE</t>
  </si>
  <si>
    <t>Warroad</t>
  </si>
  <si>
    <t>Warroad Rehab Project</t>
  </si>
  <si>
    <t>30-115 - Monitor Defib - SCH Centralized Equip - Defibs and AEDs</t>
  </si>
  <si>
    <t>30-260 - Holder Laparoscope Robot - Intuitive da Vinci Xi Robot</t>
  </si>
  <si>
    <t>30-401 -Omnicell XT Cabinet Upgrade-Replacement</t>
  </si>
  <si>
    <t>30-284 - Construction General - Remodeling-Reno of SCH 1st Floor (previously ETC)</t>
  </si>
  <si>
    <t>30-368 - Outpatient Imaging Freestanding Center</t>
  </si>
  <si>
    <t>30-278 - Scope Flexible - Endoscopy Scopes and Ultrasound Units</t>
  </si>
  <si>
    <t>30-421 - Lab EP - EP Biplane X-ray System CL6</t>
  </si>
  <si>
    <t>30-284 - Construction General - Phase III Remodeling - Imaging</t>
  </si>
  <si>
    <t>30-515 - Construction General - OR Shell Build Out (SCH - Acute Div)</t>
  </si>
  <si>
    <t>30-383 - Scanner PET-CT - PETCT Scanner</t>
  </si>
  <si>
    <t>30-236 - Construction General - Expansion Relocation of KDIP (Inpatient Dialysis Unit)</t>
  </si>
  <si>
    <t>30-260 - System Navigation Surgical - Medtronic Navigation - Stealth S8 Upgrade (Team 4)</t>
  </si>
  <si>
    <t>Wabasha Clinic Acquisition</t>
  </si>
  <si>
    <t>1200 Grant Blvd W</t>
  </si>
  <si>
    <t>Purchase of the Wabasha Clinic.  This building was originally owned by Mayo Health System.  They then opted to leave the community.  As a result, we temporarily leased the space from Mayo Health System, and then we purchased the building from Mayo in December 2018</t>
  </si>
  <si>
    <t>Shakopee MN</t>
  </si>
  <si>
    <t>CT Scan Replacement and upgrade: General Description is replacement of Siemens 64 cardiac scanner and upgrade 2014 scanner from 40 slice to 64 slice.</t>
  </si>
  <si>
    <t>Emergency Department &amp; Oncology Expansion</t>
  </si>
  <si>
    <t>Ambulatory Surgery Center (ASC)</t>
  </si>
  <si>
    <t>Family Medical Center Renovation and Expansion Project - continuation from last years project.   $3,560,781 was approved in FY18 and $1,579,947 approved in FY19.</t>
  </si>
  <si>
    <t>Replacement of Infusion pumps</t>
  </si>
  <si>
    <t>Davinci XI Robotic</t>
  </si>
  <si>
    <t>5 West interiors updates</t>
  </si>
  <si>
    <t>ED Construction</t>
  </si>
  <si>
    <t>ROGE20C0010 - RST Generose 3W and 3E Safety and Renovations</t>
  </si>
  <si>
    <t>ROMB20C0070 - RST Interim NICU Relocation to MB 5 D/E</t>
  </si>
  <si>
    <t>ROMB19C0090 - RST SMC Core 500 West OR Renovation - North &amp; ROMB19C0100 - RST SMC Core 500 West OR Renovation - South</t>
  </si>
  <si>
    <t>Rochester Methodist Hospital</t>
  </si>
  <si>
    <t>7R170980 - Rochester Methodist Hospital Operating Rooms Remodel (Phase 2 of 5)</t>
  </si>
  <si>
    <t>ROEI20C0150 - RST Eisenberg 7-4 Remodel</t>
  </si>
  <si>
    <t>CPC2069301 / ROCH19C0010 - NM-MCR-CH1-265J-I-PET-CT #6  - Incremental PET/CT Scanner</t>
  </si>
  <si>
    <t>St marys Hospital</t>
  </si>
  <si>
    <t>ROJO19C0010 - Joseph Creation of New MED 13 Hospital Service</t>
  </si>
  <si>
    <t>7R180590 - CV Echo/Stress Consolidation with Renovation on Joseph 4</t>
  </si>
  <si>
    <t>ROGE19C0010 - Generose Inpatient Units Safety Updates and Renovation</t>
  </si>
  <si>
    <t>CPC2051836 - Siemens</t>
  </si>
  <si>
    <t>CPC2051134 - GE Healthcare</t>
  </si>
  <si>
    <t>Essentia Health St. Marys</t>
  </si>
  <si>
    <t>OR Remodel</t>
  </si>
  <si>
    <t>In Patient Pharmacy Remodel - USP 800 Standards</t>
  </si>
  <si>
    <t>Pharmacy Omnicell/Aesynt Automation (Automation Dispensing Cabinet) Upgrade</t>
  </si>
  <si>
    <t>By FY20 the current Anesthesia Gas Machines will be at their end of useful life. To ensure they are utilized for their entire useful life while remaining safe for use it will be necessary to replace them during FY20. The total includes 24 Anesthesia Gas Machines (Drager Apollo (22), Drager Fabius (2)).  The new machines will allow for continuity across all our Twin Ports locations. In addition, they include the ability to utilize low-flow anesthesia which could reduce the overall amount of inhalational anesthetic agents used for each patient.</t>
  </si>
  <si>
    <t>Transition EUS scopes from the Pentax platform to Olympus platform due to end of useful life.</t>
  </si>
  <si>
    <t>Replace our Da Vinci Si Robot with a Da Vinci Xi Robot</t>
  </si>
  <si>
    <t>Mako Robotic System</t>
  </si>
  <si>
    <t>Expand oncology space</t>
  </si>
  <si>
    <t>Expand Oncology infusion into W1 and contiguous clinic space</t>
  </si>
  <si>
    <t>Healthpartners Specialty Center - 401</t>
  </si>
  <si>
    <t>Replace the MRI at HealthPartners Specialty Center (HSC 401)</t>
  </si>
  <si>
    <t>Expand Emergency Department</t>
  </si>
  <si>
    <t>• This unit will bring an additional 13 emergency room beds to the community, with a maximum capacity to serve up to 18,500 additional patients a year.</t>
  </si>
  <si>
    <t>640 Jackston Street</t>
  </si>
  <si>
    <t>MRI Zoning Remodel</t>
  </si>
  <si>
    <t>Regions 3T MRI installation</t>
  </si>
  <si>
    <t>MRI 1.5T Replacement</t>
  </si>
  <si>
    <t>CV/IR Regions Room #6 Replacement</t>
  </si>
  <si>
    <t>Oncology Linear Accelerator Replacement</t>
  </si>
  <si>
    <t>Relocation and upgrade IV Pharmacy to USP 800 standards.</t>
  </si>
  <si>
    <t>Nurse Call Upgrade from R4 to R5 System</t>
  </si>
  <si>
    <t>Re-build Dish room and Replace Dish Machine</t>
  </si>
  <si>
    <t>Morris</t>
  </si>
  <si>
    <t>Urgent Care/Respiratory Clinic Move to Separate Part of Clinic</t>
  </si>
  <si>
    <t>New Hospital being built in 2021-2022</t>
  </si>
  <si>
    <t>Wadena</t>
  </si>
  <si>
    <t>New Hospital will be buildt and open in 2023</t>
  </si>
  <si>
    <t>Emergency Room Renovation</t>
  </si>
  <si>
    <t>Update the department to better handle security, safety of the increasing mental health patients presenting for care and updating all areas.  There was additional  space allocated for the two trauma rooms to help facilite the traffic and flow of care in the room in responding with immediate care.</t>
  </si>
  <si>
    <t>333 N Smith Ave</t>
  </si>
  <si>
    <t>United Mental Health Expansion</t>
  </si>
  <si>
    <t>Allina Health Residency Clinic</t>
  </si>
  <si>
    <t>233 Grand Ave</t>
  </si>
  <si>
    <t>United Family Residency Program</t>
  </si>
  <si>
    <t>United IR 18 Replacement</t>
  </si>
  <si>
    <t>United Hospital Radiation Therapy Program</t>
  </si>
  <si>
    <t>333 N Smith Avenue</t>
  </si>
  <si>
    <t>8TH FLOOR REHAB REMODEL (AKA United Hospital CKRI inpatient expansion)</t>
  </si>
  <si>
    <t>Oncology Strategy - United</t>
  </si>
  <si>
    <t>DaVinci Xi Robots</t>
  </si>
  <si>
    <t>Pharmacy Renovation - Code compliance issues.</t>
  </si>
  <si>
    <t>MRI Sola. Replace the MRI in the Waconia hospital.</t>
  </si>
  <si>
    <t>2North TMS Remodel</t>
  </si>
  <si>
    <t>Convert Geriatric Psychiatry inpatient beds to general accute care beds</t>
  </si>
  <si>
    <t>Mayo Clinic Health System - Waseca</t>
  </si>
  <si>
    <t>501 North Street</t>
  </si>
  <si>
    <t>Waseca, MN</t>
  </si>
  <si>
    <t>WA Hospital Cooling Upgrade - Remove 3 old chillers and cooling towers from the hospital 3rd floor mechanical rooms and roof and replace with 2 new package chillers located on the hospital roof.</t>
  </si>
  <si>
    <t>CT Scanner</t>
  </si>
  <si>
    <t>Purchase of replacement CT scanner</t>
  </si>
  <si>
    <t>Bruce St Campus Strategic Moves</t>
  </si>
  <si>
    <t>300 Bruce St</t>
  </si>
  <si>
    <t>Strategic Campus Moves. Bring Carlson St clinics and urgent care to main campus. Reconfigure ground floor clinics, 4th floor (which involves moving lab, inreach clinics, cardiac stress test, and pharmacy), and 3rd floor (creating more behavioral health space). Create respiratory and urgent care space by the ED. Move therapy from 4th floor and mall location to 1104 E College Drive. Move Carlson St CT to Cancer Center.  Add back up generator and additional elevator.</t>
  </si>
  <si>
    <t>Sanford Worthington</t>
  </si>
  <si>
    <t>1018 6th Ave</t>
  </si>
  <si>
    <t>Worthington</t>
  </si>
  <si>
    <t>Replace Linear Accelerator</t>
  </si>
  <si>
    <t>1575 Beam Ave</t>
  </si>
  <si>
    <t>Maplewood, MN</t>
  </si>
  <si>
    <t>The St John's NICU Renovation and Expansion involves renovating and reconfiguring the existing NICU space at St. John’s Hospital, updating to current building code for NICU beds and expanding into an adjoining space that is currently being used for office space to increase NICU capacity from beds from 14 to 19.</t>
  </si>
  <si>
    <t>M Health Fairview St John's Hospital</t>
  </si>
  <si>
    <t>Cardiac Rehab Servcie Expansion. The current space is too small and this project is to expand the space.</t>
  </si>
  <si>
    <t>500 Harvard St SE</t>
  </si>
  <si>
    <t>Video Equpment replacement at the East Bank Operating Rooms. This project include the scopes, cables, OR integrations hubs, camera boxes, screens, monitors, insufflators, light sources, and converters.</t>
  </si>
  <si>
    <t>East Bank Radiotheranostic Room is the creation of a new Theranostics Therapy suite and the replacement of a 7-year-old Biograph MCT64 PET/CT in the Nuclear Medicine Department at M Health East Bank. It will be replaced with a new Biograph Vision 600 Digital PET/CT.</t>
  </si>
  <si>
    <t>The Interventional Psychiatry program is to serve the needs of patients with Treatment Resistant Depression (TRD). See the general purpose section.  Space is being renovated for the ECT and TMS services.</t>
  </si>
  <si>
    <t>The renovation of OR 16 includes adding two Stryker booms to the room, one is a perfusion boom and the other is an equipment boom. This will require construction into the ceiling for structural supports for the booms, as well as running power, and gasses for the booms.</t>
  </si>
  <si>
    <t>Replacement of the Anesthesia Machines on the East Bank and West Bank at UMMC.</t>
  </si>
  <si>
    <t>Patient-controlled analgesia pumps (PCA) replacement at the UMMC East and West Bank.</t>
  </si>
  <si>
    <t>Replacement of various Endoscopic scopes at UMMC East and West Bank.</t>
  </si>
  <si>
    <t>500 Harvard Str SE</t>
  </si>
  <si>
    <t>Tomotherapy Linear Accelerator Replacement</t>
  </si>
  <si>
    <t>The East Building 11th Floor West Wing project is to build out the unfinished space to 1) accommodate East region capture and pediatric cardiovascular growth, and 2) meet the requirements for an intermediate care unit for neonatal and pediatric patients. The proposed space is 4,413 square feet and will be transformed into ten patient rooms and space for work team management and support.</t>
  </si>
  <si>
    <t>500 SE Harvard Street</t>
  </si>
  <si>
    <t>On Call Room Relocation.  Relocate the Physician on call rooms from the Mayo building to the PWB building. This will be a 10 year lease and the capital commitment is the lease net present value.</t>
  </si>
  <si>
    <t>Pediatric Cath Lab Infinix I Biplane. This project is for the replacement of the fluoroscopy equipment in OR 18. This will be funded from the University of Minnesota Foundation UMMCH Fund.</t>
  </si>
  <si>
    <t>UMMC Cath Lab 5 replacement. The Project includes replacement of the invasive imaging equipment, surgical lights, essential support equipment like mapping systems and electrical/medical gas boom, anesthesia requirements, as well as construction.</t>
  </si>
  <si>
    <t>Replacement of the West Bank IR is the replacement of a Siemens Axiom Artis dTA angio suite at West Bank Interventional Radiology with an updated Siemens Artis Q system. This project includes the replacement of the X-Ray system, patient monitoring, patient lift, and injector, as well as the necessary remodel, electrical, and construction costs.</t>
  </si>
  <si>
    <t>10A ICU Renovation and Negative Air Flow.  This is to create a 10 bed ICU on the West Bank and the rooms are to be with negative air flow. Fairview received a Minnesota Department of Health grant of $2,274,907 for the construction cost of the negative air flow. (The 2 miles in line 12 relates to an ICU. It will be difficult to find many ICUs that have many ICU bays that are negative air flow. Some hospitals likley have some level of negative air flow but that is not information to be acquired.)</t>
  </si>
  <si>
    <t>Video Equipment replacement in 5 ORs.</t>
  </si>
  <si>
    <t>M Health Fairview Woodwinds Hospital</t>
  </si>
  <si>
    <t>1925 Woodwinds Dr</t>
  </si>
  <si>
    <t>Woodbury, MN</t>
  </si>
  <si>
    <t>Interventional Radiology (IR) Decanting - with the closing of the St Joseph hospital, IR volumes are shifting to Woodwinds and for Woodwinds to handle this volume shift an additional IR rooms is needed which will include construction and the purchase of refurbish equipment. FYI: an additional $506,629 for construction was approved 3.26.21 and was added to the $1,300,000 approved 12.22.20.</t>
  </si>
  <si>
    <t>Woodwinds Cancer Center</t>
  </si>
  <si>
    <t>Woodwinds Health Campus, 1925 Woodwinds Drive</t>
  </si>
  <si>
    <t>Woodbury</t>
  </si>
  <si>
    <t>Woodwinds Cancer Care Remodel - This project is to renovate space and co-locate medical oncology and infusion to create the full cancer center.</t>
  </si>
  <si>
    <t>MGH Intuitive Xi Robot</t>
  </si>
  <si>
    <t>MGH CT Scanner</t>
  </si>
  <si>
    <t>CR to DR Conversion</t>
  </si>
  <si>
    <t xml:space="preserve">  M Health Fairview  </t>
  </si>
  <si>
    <t xml:space="preserve">  North Memorial Health Care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</si>
</sst>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_);\(&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lt;=9999999]###\-####;\(###\)\ ###\-####"/>
    <numFmt numFmtId="165" formatCode="0000"/>
    <numFmt numFmtId="166" formatCode="_(&quot;$&quot;* #,##0_);_(&quot;$&quot;* \(#,##0\);_(&quot;$&quot;* &quot;-&quot;??_);_(@_)"/>
    <numFmt numFmtId="167" formatCode="_(* #,##0_);_(* \(#,##0\);_(* &quot;-&quot;??_);_(@_)"/>
    <numFmt numFmtId="168" formatCode="_(* #,##0.00_);_(* \(#,##0.00\);_(* &quot;-&quot;_);_(@_)"/>
    <numFmt numFmtId="169" formatCode="mm/dd/yy;@"/>
    <numFmt numFmtId="170" formatCode="&quot;$&quot;#,##0"/>
    <numFmt numFmtId="171" formatCode="m\/d\/yyyy"/>
    <numFmt numFmtId="172" formatCode="0.0%"/>
  </numFmts>
  <fonts count="90" x14ac:knownFonts="1">
    <font>
      <sz val="10"/>
      <name val="Arial"/>
    </font>
    <font>
      <sz val="11"/>
      <color theme="1"/>
      <name val="Calibri"/>
      <family val="2"/>
      <scheme val="minor"/>
    </font>
    <font>
      <sz val="11"/>
      <color theme="1"/>
      <name val="Calibri"/>
      <family val="2"/>
      <scheme val="minor"/>
    </font>
    <font>
      <sz val="10"/>
      <name val="Arial"/>
      <family val="2"/>
    </font>
    <font>
      <b/>
      <sz val="20"/>
      <name val="Arial"/>
      <family val="2"/>
    </font>
    <font>
      <sz val="20"/>
      <name val="Arial"/>
      <family val="2"/>
    </font>
    <font>
      <b/>
      <sz val="20"/>
      <name val="Arial"/>
      <family val="2"/>
    </font>
    <font>
      <b/>
      <sz val="10"/>
      <color indexed="16"/>
      <name val="Arial"/>
      <family val="2"/>
    </font>
    <font>
      <b/>
      <sz val="10"/>
      <color indexed="16"/>
      <name val="Arial"/>
      <family val="2"/>
    </font>
    <font>
      <u/>
      <sz val="10"/>
      <color indexed="12"/>
      <name val="Arial"/>
      <family val="2"/>
    </font>
    <font>
      <b/>
      <sz val="10"/>
      <name val="Arial"/>
      <family val="2"/>
    </font>
    <font>
      <sz val="10"/>
      <color indexed="10"/>
      <name val="Arial"/>
      <family val="2"/>
    </font>
    <font>
      <sz val="10"/>
      <name val="Arial"/>
      <family val="2"/>
    </font>
    <font>
      <b/>
      <sz val="10"/>
      <color indexed="10"/>
      <name val="Arial"/>
      <family val="2"/>
    </font>
    <font>
      <b/>
      <sz val="10"/>
      <color indexed="10"/>
      <name val="Arial"/>
      <family val="2"/>
    </font>
    <font>
      <u/>
      <sz val="10"/>
      <color indexed="12"/>
      <name val="Arial"/>
      <family val="2"/>
    </font>
    <font>
      <sz val="10"/>
      <color indexed="16"/>
      <name val="Arial"/>
      <family val="2"/>
    </font>
    <font>
      <sz val="10"/>
      <color indexed="16"/>
      <name val="Arial"/>
      <family val="2"/>
    </font>
    <font>
      <b/>
      <i/>
      <sz val="10"/>
      <color indexed="16"/>
      <name val="Arial"/>
      <family val="2"/>
    </font>
    <font>
      <b/>
      <sz val="10"/>
      <color indexed="12"/>
      <name val="Arial"/>
      <family val="2"/>
    </font>
    <font>
      <sz val="10"/>
      <color indexed="8"/>
      <name val="Arial"/>
      <family val="2"/>
    </font>
    <font>
      <sz val="8"/>
      <name val="Arial"/>
      <family val="2"/>
    </font>
    <font>
      <b/>
      <sz val="10"/>
      <color indexed="8"/>
      <name val="Arial"/>
      <family val="2"/>
    </font>
    <font>
      <sz val="10"/>
      <color indexed="9"/>
      <name val="Arial"/>
      <family val="2"/>
    </font>
    <font>
      <sz val="14"/>
      <color indexed="12"/>
      <name val="Arial"/>
      <family val="2"/>
    </font>
    <font>
      <b/>
      <u/>
      <sz val="10"/>
      <color indexed="12"/>
      <name val="Arial"/>
      <family val="2"/>
    </font>
    <font>
      <sz val="10"/>
      <color indexed="8"/>
      <name val="Arial"/>
      <family val="2"/>
    </font>
    <font>
      <sz val="10"/>
      <color indexed="10"/>
      <name val="Arial"/>
      <family val="2"/>
    </font>
    <font>
      <u/>
      <sz val="10"/>
      <color indexed="8"/>
      <name val="Arial"/>
      <family val="2"/>
    </font>
    <font>
      <b/>
      <i/>
      <u/>
      <sz val="10"/>
      <color indexed="10"/>
      <name val="Arial"/>
      <family val="2"/>
    </font>
    <font>
      <b/>
      <i/>
      <sz val="10"/>
      <name val="Arial"/>
      <family val="2"/>
    </font>
    <font>
      <b/>
      <sz val="10"/>
      <color indexed="9"/>
      <name val="Arial"/>
      <family val="2"/>
    </font>
    <font>
      <sz val="10"/>
      <color indexed="12"/>
      <name val="Arial"/>
      <family val="2"/>
    </font>
    <font>
      <i/>
      <sz val="10"/>
      <color indexed="16"/>
      <name val="Arial"/>
      <family val="2"/>
    </font>
    <font>
      <b/>
      <sz val="14"/>
      <color indexed="16"/>
      <name val="Arial"/>
      <family val="2"/>
    </font>
    <font>
      <sz val="16"/>
      <color indexed="12"/>
      <name val="Arial"/>
      <family val="2"/>
    </font>
    <font>
      <b/>
      <sz val="10"/>
      <name val="Arial"/>
      <family val="2"/>
    </font>
    <font>
      <sz val="12"/>
      <name val="Times New Roman"/>
      <family val="1"/>
    </font>
    <font>
      <b/>
      <u/>
      <sz val="10"/>
      <name val="Arial"/>
      <family val="2"/>
    </font>
    <font>
      <b/>
      <u/>
      <sz val="14"/>
      <name val="Arial"/>
      <family val="2"/>
    </font>
    <font>
      <u/>
      <sz val="10"/>
      <name val="Arial"/>
      <family val="2"/>
    </font>
    <font>
      <i/>
      <sz val="8"/>
      <color indexed="8"/>
      <name val="Arial"/>
      <family val="2"/>
    </font>
    <font>
      <b/>
      <sz val="12"/>
      <name val="Arial"/>
      <family val="2"/>
    </font>
    <font>
      <i/>
      <u/>
      <sz val="10"/>
      <name val="Arial"/>
      <family val="2"/>
    </font>
    <font>
      <u val="singleAccounting"/>
      <sz val="10"/>
      <name val="Arial"/>
      <family val="2"/>
    </font>
    <font>
      <b/>
      <sz val="16"/>
      <name val="Arial"/>
      <family val="2"/>
    </font>
    <font>
      <sz val="16"/>
      <name val="Arial"/>
      <family val="2"/>
    </font>
    <font>
      <b/>
      <sz val="20"/>
      <color indexed="8"/>
      <name val="Arial"/>
      <family val="2"/>
    </font>
    <font>
      <i/>
      <sz val="10"/>
      <name val="Arial"/>
      <family val="2"/>
    </font>
    <font>
      <sz val="10"/>
      <color indexed="9"/>
      <name val="Arial"/>
      <family val="2"/>
    </font>
    <font>
      <u/>
      <sz val="10"/>
      <color indexed="9"/>
      <name val="Arial"/>
      <family val="2"/>
    </font>
    <font>
      <sz val="8"/>
      <color indexed="81"/>
      <name val="Tahoma"/>
      <family val="2"/>
    </font>
    <font>
      <u/>
      <sz val="12"/>
      <color indexed="12"/>
      <name val="Arial"/>
      <family val="2"/>
    </font>
    <font>
      <u/>
      <sz val="14"/>
      <color indexed="12"/>
      <name val="Arial"/>
      <family val="2"/>
    </font>
    <font>
      <sz val="10"/>
      <color indexed="81"/>
      <name val="Arial"/>
      <family val="2"/>
    </font>
    <font>
      <b/>
      <sz val="16"/>
      <color indexed="12"/>
      <name val="Arial"/>
      <family val="2"/>
    </font>
    <font>
      <b/>
      <sz val="10"/>
      <color indexed="81"/>
      <name val="Arial"/>
      <family val="2"/>
    </font>
    <font>
      <b/>
      <sz val="9"/>
      <color indexed="10"/>
      <name val="Arial"/>
      <family val="2"/>
    </font>
    <font>
      <b/>
      <sz val="9"/>
      <name val="Arial"/>
      <family val="2"/>
    </font>
    <font>
      <b/>
      <u/>
      <sz val="10"/>
      <color indexed="16"/>
      <name val="Arial"/>
      <family val="2"/>
    </font>
    <font>
      <b/>
      <sz val="14"/>
      <name val="Arial"/>
      <family val="2"/>
    </font>
    <font>
      <b/>
      <sz val="8"/>
      <color indexed="10"/>
      <name val="Arial"/>
      <family val="2"/>
    </font>
    <font>
      <b/>
      <sz val="11"/>
      <name val="Arial"/>
      <family val="2"/>
    </font>
    <font>
      <sz val="11"/>
      <name val="Arial"/>
      <family val="2"/>
    </font>
    <font>
      <b/>
      <sz val="11"/>
      <color indexed="16"/>
      <name val="Arial"/>
      <family val="2"/>
    </font>
    <font>
      <b/>
      <sz val="12"/>
      <color indexed="16"/>
      <name val="Arial"/>
      <family val="2"/>
    </font>
    <font>
      <sz val="10"/>
      <color indexed="22"/>
      <name val="Arial"/>
      <family val="2"/>
    </font>
    <font>
      <sz val="10"/>
      <name val="Arial"/>
      <family val="2"/>
    </font>
    <font>
      <sz val="12"/>
      <color indexed="12"/>
      <name val="Arial"/>
      <family val="2"/>
    </font>
    <font>
      <b/>
      <sz val="11"/>
      <color indexed="12"/>
      <name val="Arial"/>
      <family val="2"/>
    </font>
    <font>
      <sz val="10"/>
      <color theme="0"/>
      <name val="Arial"/>
      <family val="2"/>
    </font>
    <font>
      <b/>
      <sz val="10"/>
      <color rgb="FFFF0000"/>
      <name val="Arial"/>
      <family val="2"/>
    </font>
    <font>
      <b/>
      <sz val="10"/>
      <color rgb="FF800000"/>
      <name val="Arial"/>
      <family val="2"/>
    </font>
    <font>
      <sz val="8"/>
      <color rgb="FF800000"/>
      <name val="Arial"/>
      <family val="2"/>
    </font>
    <font>
      <sz val="10"/>
      <color theme="0" tint="-0.14996795556505021"/>
      <name val="Arial"/>
      <family val="2"/>
    </font>
    <font>
      <b/>
      <sz val="10"/>
      <color rgb="FF990000"/>
      <name val="Arial"/>
      <family val="2"/>
    </font>
    <font>
      <sz val="10"/>
      <color rgb="FF990000"/>
      <name val="Arial"/>
      <family val="2"/>
    </font>
    <font>
      <b/>
      <sz val="11"/>
      <color theme="1"/>
      <name val="Calibri"/>
      <family val="2"/>
      <scheme val="minor"/>
    </font>
    <font>
      <b/>
      <sz val="14"/>
      <color rgb="FF990000"/>
      <name val="Calibri"/>
      <family val="2"/>
      <scheme val="minor"/>
    </font>
    <font>
      <b/>
      <sz val="11"/>
      <color rgb="FF990000"/>
      <name val="Calibri"/>
      <family val="2"/>
      <scheme val="minor"/>
    </font>
    <font>
      <b/>
      <sz val="12"/>
      <color rgb="FF990000"/>
      <name val="Calibri"/>
      <family val="2"/>
      <scheme val="minor"/>
    </font>
    <font>
      <b/>
      <sz val="11"/>
      <name val="Calibri"/>
      <family val="2"/>
      <scheme val="minor"/>
    </font>
    <font>
      <sz val="11"/>
      <name val="Calibri"/>
      <family val="2"/>
      <scheme val="minor"/>
    </font>
    <font>
      <b/>
      <sz val="11"/>
      <color rgb="FFFF0000"/>
      <name val="Calibri"/>
      <family val="2"/>
      <scheme val="minor"/>
    </font>
    <font>
      <b/>
      <sz val="9"/>
      <color indexed="81"/>
      <name val="Tahoma"/>
      <family val="2"/>
    </font>
    <font>
      <b/>
      <sz val="18"/>
      <name val="Arial"/>
      <family val="2"/>
    </font>
    <font>
      <sz val="18"/>
      <name val="Arial"/>
      <family val="2"/>
    </font>
    <font>
      <sz val="9"/>
      <color theme="1"/>
      <name val="Calibri"/>
      <family val="2"/>
      <scheme val="minor"/>
    </font>
    <font>
      <sz val="9"/>
      <color indexed="81"/>
      <name val="Tahoma"/>
      <family val="2"/>
    </font>
    <font>
      <b/>
      <sz val="10"/>
      <color rgb="FFFFFF00"/>
      <name val="Arial"/>
      <family val="2"/>
    </font>
  </fonts>
  <fills count="22">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13"/>
        <bgColor indexed="64"/>
      </patternFill>
    </fill>
    <fill>
      <patternFill patternType="gray0625"/>
    </fill>
    <fill>
      <patternFill patternType="gray0625">
        <bgColor indexed="9"/>
      </patternFill>
    </fill>
    <fill>
      <patternFill patternType="solid">
        <fgColor indexed="29"/>
        <bgColor indexed="64"/>
      </patternFill>
    </fill>
    <fill>
      <patternFill patternType="solid">
        <fgColor indexed="49"/>
        <bgColor indexed="64"/>
      </patternFill>
    </fill>
    <fill>
      <patternFill patternType="solid">
        <fgColor indexed="31"/>
        <bgColor indexed="64"/>
      </patternFill>
    </fill>
    <fill>
      <patternFill patternType="solid">
        <fgColor indexed="55"/>
        <bgColor indexed="64"/>
      </patternFill>
    </fill>
    <fill>
      <patternFill patternType="solid">
        <fgColor indexed="22"/>
        <bgColor indexed="0"/>
      </patternFill>
    </fill>
    <fill>
      <patternFill patternType="solid">
        <fgColor indexed="42"/>
        <bgColor indexed="64"/>
      </patternFill>
    </fill>
    <fill>
      <patternFill patternType="solid">
        <fgColor indexed="44"/>
        <bgColor indexed="64"/>
      </patternFill>
    </fill>
    <fill>
      <patternFill patternType="solid">
        <fgColor theme="0"/>
        <bgColor indexed="64"/>
      </patternFill>
    </fill>
    <fill>
      <patternFill patternType="solid">
        <fgColor theme="0" tint="-0.14999847407452621"/>
        <bgColor indexed="64"/>
      </patternFill>
    </fill>
    <fill>
      <patternFill patternType="solid">
        <fgColor rgb="FFEAEAEA"/>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rgb="FFFFFF00"/>
        <bgColor indexed="64"/>
      </patternFill>
    </fill>
    <fill>
      <patternFill patternType="solid">
        <fgColor rgb="FF92D050"/>
        <bgColor indexed="64"/>
      </patternFill>
    </fill>
    <fill>
      <patternFill patternType="solid">
        <fgColor theme="6" tint="0.39997558519241921"/>
        <bgColor indexed="64"/>
      </patternFill>
    </fill>
  </fills>
  <borders count="73">
    <border>
      <left/>
      <right/>
      <top/>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right/>
      <top style="thin">
        <color indexed="64"/>
      </top>
      <bottom style="thin">
        <color indexed="64"/>
      </bottom>
      <diagonal/>
    </border>
    <border>
      <left/>
      <right style="thick">
        <color indexed="64"/>
      </right>
      <top style="thin">
        <color indexed="64"/>
      </top>
      <bottom style="thin">
        <color indexed="64"/>
      </bottom>
      <diagonal/>
    </border>
    <border>
      <left/>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style="thin">
        <color indexed="64"/>
      </top>
      <bottom style="thick">
        <color indexed="64"/>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double">
        <color indexed="64"/>
      </bottom>
      <diagonal/>
    </border>
    <border>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bottom style="thin">
        <color indexed="64"/>
      </bottom>
      <diagonal/>
    </border>
    <border>
      <left/>
      <right/>
      <top style="thick">
        <color indexed="64"/>
      </top>
      <bottom/>
      <diagonal/>
    </border>
    <border>
      <left style="thick">
        <color indexed="64"/>
      </left>
      <right/>
      <top style="thick">
        <color indexed="64"/>
      </top>
      <bottom style="thin">
        <color indexed="64"/>
      </bottom>
      <diagonal/>
    </border>
    <border>
      <left/>
      <right style="thin">
        <color indexed="64"/>
      </right>
      <top style="thick">
        <color indexed="64"/>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style="thick">
        <color indexed="64"/>
      </bottom>
      <diagonal/>
    </border>
    <border>
      <left/>
      <right style="thin">
        <color indexed="64"/>
      </right>
      <top style="thin">
        <color indexed="64"/>
      </top>
      <bottom style="thick">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thin">
        <color indexed="8"/>
      </left>
      <right style="thin">
        <color indexed="8"/>
      </right>
      <top/>
      <bottom/>
      <diagonal/>
    </border>
  </borders>
  <cellStyleXfs count="16">
    <xf numFmtId="0" fontId="0" fillId="0" borderId="0"/>
    <xf numFmtId="43" fontId="3" fillId="0" borderId="0" applyFont="0" applyFill="0" applyBorder="0" applyAlignment="0" applyProtection="0"/>
    <xf numFmtId="44" fontId="3" fillId="0" borderId="0" applyFont="0" applyFill="0" applyBorder="0" applyAlignment="0" applyProtection="0"/>
    <xf numFmtId="0" fontId="9" fillId="0" borderId="0" applyNumberFormat="0" applyFill="0" applyBorder="0" applyAlignment="0" applyProtection="0">
      <alignment vertical="top"/>
      <protection locked="0"/>
    </xf>
    <xf numFmtId="0" fontId="12" fillId="0" borderId="0"/>
    <xf numFmtId="0" fontId="26" fillId="0" borderId="0"/>
    <xf numFmtId="0" fontId="3" fillId="0" borderId="0">
      <alignment horizontal="left"/>
    </xf>
    <xf numFmtId="0" fontId="3" fillId="0" borderId="0"/>
    <xf numFmtId="0" fontId="26" fillId="0" borderId="0"/>
    <xf numFmtId="9" fontId="3" fillId="0" borderId="0" applyFont="0" applyFill="0" applyBorder="0" applyAlignment="0" applyProtection="0"/>
    <xf numFmtId="43" fontId="2" fillId="0" borderId="0" applyFont="0" applyFill="0" applyBorder="0" applyAlignment="0" applyProtection="0"/>
    <xf numFmtId="0" fontId="2" fillId="0" borderId="0"/>
    <xf numFmtId="0" fontId="87" fillId="0" borderId="0"/>
    <xf numFmtId="43" fontId="87" fillId="0" borderId="0" applyFont="0" applyFill="0" applyBorder="0" applyAlignment="0" applyProtection="0"/>
    <xf numFmtId="0" fontId="1" fillId="0" borderId="0"/>
    <xf numFmtId="43" fontId="1" fillId="0" borderId="0" applyFont="0" applyFill="0" applyBorder="0" applyAlignment="0" applyProtection="0"/>
  </cellStyleXfs>
  <cellXfs count="1541">
    <xf numFmtId="0" fontId="0" fillId="0" borderId="0" xfId="0"/>
    <xf numFmtId="0" fontId="0" fillId="2" borderId="0" xfId="0" applyFill="1"/>
    <xf numFmtId="0" fontId="0" fillId="2" borderId="0" xfId="0" applyFill="1" applyBorder="1" applyProtection="1"/>
    <xf numFmtId="0" fontId="8" fillId="3" borderId="0" xfId="0" applyFont="1" applyFill="1" applyBorder="1" applyAlignment="1" applyProtection="1">
      <alignment horizontal="left" vertical="center"/>
    </xf>
    <xf numFmtId="3" fontId="10" fillId="0" borderId="2" xfId="0" applyNumberFormat="1" applyFont="1" applyFill="1" applyBorder="1" applyAlignment="1" applyProtection="1">
      <alignment horizontal="center" vertical="center"/>
      <protection locked="0"/>
    </xf>
    <xf numFmtId="0" fontId="13" fillId="2" borderId="0" xfId="0" applyFont="1" applyFill="1" applyBorder="1" applyAlignment="1" applyProtection="1">
      <alignment horizontal="left" vertical="center" wrapText="1"/>
    </xf>
    <xf numFmtId="49" fontId="8" fillId="3" borderId="3" xfId="0" applyNumberFormat="1" applyFont="1" applyFill="1" applyBorder="1" applyAlignment="1" applyProtection="1">
      <alignment horizontal="center" vertical="center"/>
    </xf>
    <xf numFmtId="0" fontId="10" fillId="2" borderId="3" xfId="0" applyFont="1" applyFill="1" applyBorder="1" applyAlignment="1" applyProtection="1">
      <alignment horizontal="center" vertical="center"/>
      <protection locked="0"/>
    </xf>
    <xf numFmtId="0" fontId="0" fillId="2" borderId="4" xfId="0" applyFill="1" applyBorder="1" applyProtection="1">
      <protection locked="0"/>
    </xf>
    <xf numFmtId="0" fontId="0" fillId="2" borderId="5" xfId="0" applyFill="1" applyBorder="1" applyProtection="1">
      <protection locked="0"/>
    </xf>
    <xf numFmtId="0" fontId="0" fillId="2" borderId="6" xfId="0" applyFill="1" applyBorder="1" applyProtection="1">
      <protection locked="0"/>
    </xf>
    <xf numFmtId="0" fontId="0" fillId="2" borderId="7" xfId="0" applyFill="1" applyBorder="1" applyProtection="1">
      <protection locked="0"/>
    </xf>
    <xf numFmtId="0" fontId="0" fillId="2" borderId="8" xfId="0" applyFill="1" applyBorder="1" applyProtection="1">
      <protection locked="0"/>
    </xf>
    <xf numFmtId="0" fontId="0" fillId="2" borderId="9" xfId="0" applyFill="1" applyBorder="1" applyAlignment="1" applyProtection="1">
      <alignment vertical="center"/>
    </xf>
    <xf numFmtId="0" fontId="0" fillId="2" borderId="10" xfId="0" applyFill="1" applyBorder="1" applyProtection="1">
      <protection locked="0"/>
    </xf>
    <xf numFmtId="0" fontId="10" fillId="2" borderId="0" xfId="0" applyFont="1" applyFill="1" applyBorder="1" applyProtection="1"/>
    <xf numFmtId="0" fontId="0" fillId="2" borderId="0" xfId="0" applyFill="1" applyBorder="1" applyAlignment="1" applyProtection="1">
      <alignment vertical="center"/>
    </xf>
    <xf numFmtId="0" fontId="0" fillId="2" borderId="3" xfId="0" applyFill="1" applyBorder="1" applyAlignment="1" applyProtection="1">
      <alignment horizontal="right" vertical="center" wrapText="1"/>
    </xf>
    <xf numFmtId="49" fontId="8" fillId="4" borderId="0" xfId="0" applyNumberFormat="1" applyFont="1" applyFill="1" applyBorder="1" applyAlignment="1" applyProtection="1">
      <alignment horizontal="left" vertical="center" wrapText="1"/>
    </xf>
    <xf numFmtId="49" fontId="8" fillId="4" borderId="0" xfId="0" applyNumberFormat="1" applyFont="1" applyFill="1" applyAlignment="1" applyProtection="1">
      <alignment horizontal="left" vertical="center" wrapText="1"/>
    </xf>
    <xf numFmtId="165" fontId="0" fillId="2" borderId="3" xfId="0" applyNumberFormat="1" applyFill="1" applyBorder="1" applyAlignment="1" applyProtection="1">
      <alignment horizontal="center" vertical="center"/>
    </xf>
    <xf numFmtId="165" fontId="10" fillId="2" borderId="3" xfId="0" applyNumberFormat="1" applyFont="1" applyFill="1" applyBorder="1" applyAlignment="1" applyProtection="1">
      <alignment horizontal="center" vertical="center"/>
    </xf>
    <xf numFmtId="0" fontId="0" fillId="2" borderId="0" xfId="0" applyFill="1" applyBorder="1" applyAlignment="1" applyProtection="1">
      <alignment horizontal="left" vertical="center" wrapText="1"/>
    </xf>
    <xf numFmtId="0" fontId="22" fillId="2" borderId="11" xfId="0" applyFont="1" applyFill="1" applyBorder="1" applyAlignment="1" applyProtection="1">
      <alignment horizontal="center" vertical="center"/>
    </xf>
    <xf numFmtId="0" fontId="0" fillId="2" borderId="2" xfId="0" applyFill="1" applyBorder="1" applyAlignment="1" applyProtection="1">
      <alignment vertical="center"/>
    </xf>
    <xf numFmtId="165" fontId="12" fillId="5" borderId="12" xfId="0" applyNumberFormat="1" applyFont="1" applyFill="1" applyBorder="1" applyAlignment="1" applyProtection="1">
      <alignment vertical="center"/>
    </xf>
    <xf numFmtId="0" fontId="12" fillId="5" borderId="0" xfId="0" applyFont="1" applyFill="1" applyBorder="1" applyAlignment="1" applyProtection="1">
      <alignment vertical="center"/>
    </xf>
    <xf numFmtId="0" fontId="10" fillId="2" borderId="2" xfId="0" applyFont="1" applyFill="1" applyBorder="1" applyAlignment="1" applyProtection="1">
      <alignment vertical="center"/>
    </xf>
    <xf numFmtId="0" fontId="12" fillId="5" borderId="12" xfId="0" applyFont="1" applyFill="1" applyBorder="1" applyAlignment="1" applyProtection="1">
      <alignment vertical="center"/>
    </xf>
    <xf numFmtId="165" fontId="20" fillId="2" borderId="3" xfId="0" applyNumberFormat="1" applyFont="1" applyFill="1" applyBorder="1" applyAlignment="1" applyProtection="1">
      <alignment horizontal="center" vertical="center"/>
    </xf>
    <xf numFmtId="165" fontId="22" fillId="2" borderId="3" xfId="0" applyNumberFormat="1" applyFont="1" applyFill="1" applyBorder="1" applyAlignment="1" applyProtection="1">
      <alignment horizontal="center" vertical="center"/>
    </xf>
    <xf numFmtId="0" fontId="20" fillId="2" borderId="3" xfId="0" applyFont="1" applyFill="1" applyBorder="1" applyAlignment="1" applyProtection="1">
      <alignment horizontal="center" vertical="center"/>
    </xf>
    <xf numFmtId="0" fontId="7" fillId="3" borderId="0" xfId="0" applyFont="1" applyFill="1" applyBorder="1" applyAlignment="1" applyProtection="1">
      <alignment vertical="center"/>
    </xf>
    <xf numFmtId="0" fontId="7" fillId="3" borderId="3" xfId="0" applyFont="1" applyFill="1" applyBorder="1" applyAlignment="1" applyProtection="1">
      <alignment horizontal="center" vertical="center"/>
    </xf>
    <xf numFmtId="0" fontId="0" fillId="2" borderId="3" xfId="0" applyFill="1" applyBorder="1" applyAlignment="1" applyProtection="1">
      <alignment horizontal="center" vertical="center"/>
      <protection locked="0"/>
    </xf>
    <xf numFmtId="0" fontId="12" fillId="5" borderId="15" xfId="0" applyFont="1" applyFill="1" applyBorder="1" applyAlignment="1" applyProtection="1">
      <alignment vertical="center"/>
    </xf>
    <xf numFmtId="165" fontId="10" fillId="2" borderId="0" xfId="0" applyNumberFormat="1" applyFont="1" applyFill="1" applyBorder="1" applyAlignment="1" applyProtection="1">
      <alignment horizontal="center" vertical="center"/>
    </xf>
    <xf numFmtId="49" fontId="10" fillId="2" borderId="0" xfId="0" applyNumberFormat="1" applyFont="1" applyFill="1" applyBorder="1" applyAlignment="1" applyProtection="1">
      <alignment horizontal="left" vertical="center" wrapText="1"/>
    </xf>
    <xf numFmtId="0" fontId="0" fillId="6" borderId="12" xfId="0" applyFill="1" applyBorder="1" applyProtection="1"/>
    <xf numFmtId="0" fontId="0" fillId="6" borderId="0" xfId="0" applyFill="1" applyBorder="1" applyProtection="1"/>
    <xf numFmtId="0" fontId="0" fillId="2" borderId="0" xfId="0" applyFill="1" applyBorder="1" applyAlignment="1" applyProtection="1">
      <alignment horizontal="left"/>
    </xf>
    <xf numFmtId="49" fontId="25" fillId="2" borderId="0" xfId="3" applyNumberFormat="1" applyFont="1" applyFill="1" applyBorder="1" applyAlignment="1" applyProtection="1">
      <alignment horizontal="left" vertical="center" wrapText="1"/>
    </xf>
    <xf numFmtId="0" fontId="7" fillId="3" borderId="0" xfId="0" applyFont="1" applyFill="1" applyBorder="1" applyAlignment="1" applyProtection="1">
      <alignment horizontal="left" vertical="center"/>
    </xf>
    <xf numFmtId="0" fontId="0" fillId="2" borderId="3" xfId="0" applyFill="1" applyBorder="1" applyAlignment="1" applyProtection="1">
      <alignment horizontal="center" vertical="center"/>
    </xf>
    <xf numFmtId="0" fontId="10" fillId="2" borderId="3" xfId="0" applyFont="1" applyFill="1" applyBorder="1" applyAlignment="1" applyProtection="1">
      <alignment horizontal="center" vertical="center"/>
    </xf>
    <xf numFmtId="165" fontId="12" fillId="2" borderId="3" xfId="0" applyNumberFormat="1" applyFont="1" applyFill="1" applyBorder="1" applyAlignment="1" applyProtection="1">
      <alignment horizontal="center" vertical="center"/>
    </xf>
    <xf numFmtId="165" fontId="0" fillId="2" borderId="0" xfId="0" applyNumberFormat="1" applyFill="1" applyBorder="1" applyAlignment="1" applyProtection="1">
      <alignment horizontal="center" vertical="center"/>
    </xf>
    <xf numFmtId="49" fontId="0" fillId="2" borderId="0" xfId="0" applyNumberFormat="1" applyFill="1" applyBorder="1" applyAlignment="1" applyProtection="1">
      <alignment horizontal="left" vertical="center" wrapText="1"/>
    </xf>
    <xf numFmtId="3" fontId="0" fillId="2" borderId="0" xfId="0" applyNumberFormat="1" applyFill="1" applyBorder="1" applyAlignment="1" applyProtection="1">
      <alignment horizontal="right" vertical="center"/>
    </xf>
    <xf numFmtId="0" fontId="0" fillId="0" borderId="0" xfId="0" applyBorder="1" applyAlignment="1" applyProtection="1">
      <alignment horizontal="right" vertical="center"/>
    </xf>
    <xf numFmtId="0" fontId="0" fillId="3" borderId="0" xfId="0" applyFill="1" applyAlignment="1" applyProtection="1">
      <alignment horizontal="left" vertical="center"/>
    </xf>
    <xf numFmtId="0" fontId="8" fillId="3" borderId="0" xfId="0" applyFont="1" applyFill="1" applyBorder="1" applyAlignment="1" applyProtection="1">
      <alignment horizontal="center"/>
    </xf>
    <xf numFmtId="165" fontId="31" fillId="6" borderId="2" xfId="0" applyNumberFormat="1" applyFont="1" applyFill="1" applyBorder="1" applyAlignment="1" applyProtection="1">
      <alignment horizontal="center" vertical="center"/>
    </xf>
    <xf numFmtId="165" fontId="10" fillId="6" borderId="6" xfId="0" applyNumberFormat="1" applyFont="1" applyFill="1" applyBorder="1" applyAlignment="1" applyProtection="1">
      <alignment horizontal="center" vertical="center"/>
    </xf>
    <xf numFmtId="167" fontId="0" fillId="2" borderId="0" xfId="0" applyNumberFormat="1" applyFill="1" applyBorder="1" applyProtection="1"/>
    <xf numFmtId="0" fontId="23" fillId="5" borderId="16" xfId="0" applyFont="1" applyFill="1" applyBorder="1" applyAlignment="1" applyProtection="1">
      <alignment vertical="center"/>
    </xf>
    <xf numFmtId="0" fontId="23" fillId="5" borderId="0" xfId="0" applyFont="1" applyFill="1" applyBorder="1" applyAlignment="1" applyProtection="1">
      <alignment vertical="center"/>
    </xf>
    <xf numFmtId="0" fontId="12" fillId="5" borderId="16" xfId="0" applyFont="1" applyFill="1" applyBorder="1" applyAlignment="1" applyProtection="1">
      <alignment vertical="center"/>
    </xf>
    <xf numFmtId="0" fontId="12" fillId="5" borderId="17" xfId="0" applyFont="1" applyFill="1" applyBorder="1" applyAlignment="1" applyProtection="1">
      <alignment vertical="center"/>
    </xf>
    <xf numFmtId="49" fontId="0" fillId="2" borderId="0" xfId="0" applyNumberFormat="1" applyFill="1" applyBorder="1" applyAlignment="1" applyProtection="1">
      <alignment horizontal="left"/>
    </xf>
    <xf numFmtId="49" fontId="0" fillId="2" borderId="0" xfId="0" applyNumberFormat="1" applyFill="1" applyBorder="1" applyAlignment="1" applyProtection="1">
      <alignment horizontal="center"/>
    </xf>
    <xf numFmtId="169" fontId="0" fillId="2" borderId="0" xfId="0" applyNumberFormat="1" applyFill="1" applyBorder="1" applyAlignment="1" applyProtection="1">
      <alignment horizontal="right"/>
    </xf>
    <xf numFmtId="0" fontId="12" fillId="5" borderId="11" xfId="0" applyFont="1" applyFill="1" applyBorder="1" applyAlignment="1" applyProtection="1">
      <alignment vertical="center"/>
    </xf>
    <xf numFmtId="0" fontId="20" fillId="0" borderId="18" xfId="0" applyFont="1" applyBorder="1" applyAlignment="1" applyProtection="1">
      <alignment horizontal="center" vertical="center"/>
    </xf>
    <xf numFmtId="0" fontId="22" fillId="0" borderId="18" xfId="0" applyFont="1" applyBorder="1" applyAlignment="1" applyProtection="1">
      <alignment horizontal="center" vertical="center"/>
    </xf>
    <xf numFmtId="0" fontId="0" fillId="2" borderId="0" xfId="0" applyFill="1" applyBorder="1" applyAlignment="1" applyProtection="1">
      <alignment horizontal="center" vertical="center"/>
    </xf>
    <xf numFmtId="0" fontId="0" fillId="2" borderId="0" xfId="0" applyFill="1" applyProtection="1"/>
    <xf numFmtId="0" fontId="7" fillId="3" borderId="0" xfId="0" applyFont="1" applyFill="1" applyAlignment="1" applyProtection="1">
      <alignment horizontal="left" vertical="center" wrapText="1"/>
    </xf>
    <xf numFmtId="0" fontId="0" fillId="2" borderId="6" xfId="0" applyFill="1" applyBorder="1" applyProtection="1"/>
    <xf numFmtId="49" fontId="8" fillId="3" borderId="19" xfId="0" applyNumberFormat="1" applyFont="1" applyFill="1" applyBorder="1" applyAlignment="1" applyProtection="1">
      <alignment horizontal="center" vertical="center"/>
    </xf>
    <xf numFmtId="167" fontId="0" fillId="2" borderId="3" xfId="0" applyNumberFormat="1" applyFill="1" applyBorder="1" applyAlignment="1" applyProtection="1">
      <alignment horizontal="center" vertical="center" wrapText="1"/>
      <protection locked="0"/>
    </xf>
    <xf numFmtId="1" fontId="0" fillId="2" borderId="3" xfId="0" applyNumberFormat="1" applyFill="1" applyBorder="1" applyAlignment="1" applyProtection="1">
      <alignment horizontal="center" vertical="center" wrapText="1"/>
      <protection locked="0"/>
    </xf>
    <xf numFmtId="0" fontId="23" fillId="5" borderId="15" xfId="0" applyFont="1" applyFill="1" applyBorder="1" applyAlignment="1" applyProtection="1">
      <alignment vertical="center"/>
    </xf>
    <xf numFmtId="0" fontId="12" fillId="2" borderId="0" xfId="0" applyFont="1" applyFill="1" applyBorder="1" applyAlignment="1" applyProtection="1">
      <alignment vertical="center" wrapText="1"/>
    </xf>
    <xf numFmtId="0" fontId="35" fillId="2" borderId="0" xfId="0" applyFont="1" applyFill="1" applyBorder="1" applyAlignment="1" applyProtection="1">
      <alignment horizontal="center" vertical="center" textRotation="180"/>
    </xf>
    <xf numFmtId="1" fontId="36" fillId="2" borderId="3" xfId="0" applyNumberFormat="1" applyFont="1" applyFill="1" applyBorder="1" applyAlignment="1" applyProtection="1">
      <alignment horizontal="center" vertical="center"/>
    </xf>
    <xf numFmtId="1" fontId="0" fillId="2" borderId="3" xfId="0" applyNumberFormat="1" applyFill="1" applyBorder="1" applyAlignment="1" applyProtection="1">
      <alignment horizontal="left" vertical="center"/>
      <protection locked="0"/>
    </xf>
    <xf numFmtId="0" fontId="7" fillId="3" borderId="2" xfId="0" applyFont="1" applyFill="1" applyBorder="1" applyAlignment="1" applyProtection="1">
      <alignment horizontal="center" vertical="center"/>
    </xf>
    <xf numFmtId="49" fontId="0" fillId="2" borderId="0" xfId="0" applyNumberFormat="1" applyFont="1" applyFill="1" applyBorder="1" applyAlignment="1" applyProtection="1">
      <alignment horizontal="left" vertical="center" wrapText="1"/>
    </xf>
    <xf numFmtId="0" fontId="20" fillId="2" borderId="0" xfId="0" applyFont="1" applyFill="1" applyBorder="1" applyAlignment="1" applyProtection="1">
      <alignment horizontal="center" vertical="center"/>
    </xf>
    <xf numFmtId="0" fontId="0" fillId="2" borderId="0" xfId="0" applyFill="1" applyBorder="1"/>
    <xf numFmtId="0" fontId="0" fillId="0" borderId="0" xfId="0" applyAlignment="1" applyProtection="1">
      <alignment horizontal="left" vertical="center" wrapText="1"/>
    </xf>
    <xf numFmtId="0" fontId="37" fillId="2" borderId="0" xfId="0" applyFont="1" applyFill="1" applyAlignment="1">
      <alignment horizontal="center" vertical="top"/>
    </xf>
    <xf numFmtId="0" fontId="12" fillId="2" borderId="0" xfId="0" applyFont="1" applyFill="1" applyAlignment="1">
      <alignment horizontal="center" vertical="top"/>
    </xf>
    <xf numFmtId="0" fontId="12" fillId="2" borderId="0" xfId="0" applyFont="1" applyFill="1" applyAlignment="1">
      <alignment horizontal="left" vertical="top" wrapText="1"/>
    </xf>
    <xf numFmtId="0" fontId="12" fillId="2" borderId="0" xfId="0" applyFont="1" applyFill="1" applyAlignment="1">
      <alignment horizontal="center" vertical="top" wrapText="1"/>
    </xf>
    <xf numFmtId="0" fontId="0" fillId="2" borderId="0" xfId="0" applyFill="1" applyAlignment="1">
      <alignment horizontal="center"/>
    </xf>
    <xf numFmtId="0" fontId="12" fillId="2" borderId="0" xfId="0" applyFont="1" applyFill="1"/>
    <xf numFmtId="0" fontId="12" fillId="2" borderId="0" xfId="0" applyFont="1" applyFill="1" applyAlignment="1">
      <alignment horizontal="center" wrapText="1"/>
    </xf>
    <xf numFmtId="0" fontId="30" fillId="2" borderId="0" xfId="0" applyFont="1" applyFill="1" applyAlignment="1">
      <alignment horizontal="left" wrapText="1"/>
    </xf>
    <xf numFmtId="0" fontId="3" fillId="0" borderId="0" xfId="6" applyProtection="1">
      <alignment horizontal="left"/>
    </xf>
    <xf numFmtId="0" fontId="10" fillId="0" borderId="0" xfId="6" applyFont="1" applyProtection="1">
      <alignment horizontal="left"/>
    </xf>
    <xf numFmtId="0" fontId="39" fillId="0" borderId="0" xfId="7" applyFont="1" applyProtection="1"/>
    <xf numFmtId="0" fontId="40" fillId="0" borderId="0" xfId="7" applyFont="1" applyProtection="1"/>
    <xf numFmtId="0" fontId="3" fillId="0" borderId="0" xfId="7" applyProtection="1"/>
    <xf numFmtId="0" fontId="3" fillId="0" borderId="0" xfId="7" applyProtection="1">
      <protection locked="0"/>
    </xf>
    <xf numFmtId="0" fontId="3" fillId="0" borderId="0" xfId="7" applyFont="1" applyProtection="1"/>
    <xf numFmtId="0" fontId="42" fillId="0" borderId="0" xfId="7" applyFont="1" applyAlignment="1" applyProtection="1">
      <alignment horizontal="centerContinuous"/>
    </xf>
    <xf numFmtId="0" fontId="43" fillId="7" borderId="0" xfId="7" applyFont="1" applyFill="1" applyAlignment="1" applyProtection="1">
      <alignment horizontal="centerContinuous"/>
    </xf>
    <xf numFmtId="0" fontId="3" fillId="8" borderId="13" xfId="7" applyFont="1" applyFill="1" applyBorder="1" applyAlignment="1" applyProtection="1">
      <alignment horizontal="center" wrapText="1"/>
    </xf>
    <xf numFmtId="0" fontId="3" fillId="8" borderId="13" xfId="7" applyFill="1" applyBorder="1" applyAlignment="1" applyProtection="1">
      <alignment horizontal="center" wrapText="1"/>
    </xf>
    <xf numFmtId="0" fontId="3" fillId="0" borderId="0" xfId="7" applyBorder="1" applyProtection="1">
      <protection locked="0"/>
    </xf>
    <xf numFmtId="167" fontId="3" fillId="0" borderId="0" xfId="1" applyNumberFormat="1" applyProtection="1">
      <protection locked="0"/>
    </xf>
    <xf numFmtId="167" fontId="3" fillId="0" borderId="0" xfId="1" applyNumberFormat="1" applyBorder="1" applyProtection="1">
      <protection locked="0"/>
    </xf>
    <xf numFmtId="167" fontId="3" fillId="0" borderId="0" xfId="1" applyNumberFormat="1" applyProtection="1"/>
    <xf numFmtId="167" fontId="3" fillId="0" borderId="0" xfId="7" applyNumberFormat="1" applyProtection="1"/>
    <xf numFmtId="0" fontId="3" fillId="0" borderId="0" xfId="7" applyAlignment="1" applyProtection="1">
      <protection locked="0"/>
    </xf>
    <xf numFmtId="0" fontId="44" fillId="0" borderId="0" xfId="7" applyFont="1" applyProtection="1"/>
    <xf numFmtId="167" fontId="44" fillId="0" borderId="0" xfId="1" applyNumberFormat="1" applyFont="1" applyBorder="1" applyProtection="1">
      <protection locked="0"/>
    </xf>
    <xf numFmtId="167" fontId="44" fillId="0" borderId="0" xfId="1" applyNumberFormat="1" applyFont="1" applyBorder="1" applyProtection="1"/>
    <xf numFmtId="167" fontId="3" fillId="0" borderId="0" xfId="7" applyNumberFormat="1" applyProtection="1">
      <protection locked="0"/>
    </xf>
    <xf numFmtId="167" fontId="3" fillId="0" borderId="0" xfId="1" applyNumberFormat="1" applyBorder="1" applyProtection="1"/>
    <xf numFmtId="167" fontId="44" fillId="0" borderId="0" xfId="7" applyNumberFormat="1" applyFont="1" applyProtection="1">
      <protection locked="0"/>
    </xf>
    <xf numFmtId="0" fontId="3" fillId="0" borderId="13" xfId="7" applyBorder="1" applyProtection="1"/>
    <xf numFmtId="167" fontId="3" fillId="0" borderId="13" xfId="7" applyNumberFormat="1" applyBorder="1" applyProtection="1">
      <protection locked="0"/>
    </xf>
    <xf numFmtId="167" fontId="3" fillId="0" borderId="13" xfId="1" applyNumberFormat="1" applyBorder="1" applyProtection="1">
      <protection locked="0"/>
    </xf>
    <xf numFmtId="167" fontId="3" fillId="0" borderId="13" xfId="7" applyNumberFormat="1" applyBorder="1" applyProtection="1"/>
    <xf numFmtId="0" fontId="3" fillId="0" borderId="13" xfId="7" applyBorder="1" applyProtection="1">
      <protection locked="0"/>
    </xf>
    <xf numFmtId="0" fontId="3" fillId="0" borderId="0" xfId="7" applyBorder="1" applyProtection="1"/>
    <xf numFmtId="167" fontId="3" fillId="0" borderId="0" xfId="7" applyNumberFormat="1" applyBorder="1" applyProtection="1">
      <protection locked="0"/>
    </xf>
    <xf numFmtId="167" fontId="3" fillId="0" borderId="0" xfId="7" applyNumberFormat="1" applyBorder="1" applyProtection="1"/>
    <xf numFmtId="0" fontId="3" fillId="0" borderId="0" xfId="7" applyFont="1" applyBorder="1" applyProtection="1"/>
    <xf numFmtId="0" fontId="3" fillId="0" borderId="20" xfId="7" applyBorder="1" applyProtection="1"/>
    <xf numFmtId="167" fontId="3" fillId="0" borderId="20" xfId="7" applyNumberFormat="1" applyBorder="1" applyProtection="1">
      <protection locked="0"/>
    </xf>
    <xf numFmtId="167" fontId="3" fillId="0" borderId="20" xfId="1" applyNumberFormat="1" applyBorder="1" applyProtection="1"/>
    <xf numFmtId="167" fontId="3" fillId="0" borderId="20" xfId="7" applyNumberFormat="1" applyBorder="1" applyProtection="1"/>
    <xf numFmtId="0" fontId="3" fillId="0" borderId="20" xfId="7" applyBorder="1" applyProtection="1">
      <protection locked="0"/>
    </xf>
    <xf numFmtId="38" fontId="3" fillId="0" borderId="0" xfId="7" applyNumberFormat="1" applyProtection="1"/>
    <xf numFmtId="0" fontId="3" fillId="0" borderId="0" xfId="7" applyFill="1" applyBorder="1" applyProtection="1"/>
    <xf numFmtId="0" fontId="3" fillId="0" borderId="0" xfId="7" applyFill="1" applyBorder="1" applyProtection="1">
      <protection locked="0"/>
    </xf>
    <xf numFmtId="38" fontId="3" fillId="0" borderId="0" xfId="7" applyNumberFormat="1" applyBorder="1" applyProtection="1">
      <protection locked="0"/>
    </xf>
    <xf numFmtId="38" fontId="3" fillId="0" borderId="0" xfId="7" applyNumberFormat="1" applyProtection="1">
      <protection locked="0"/>
    </xf>
    <xf numFmtId="0" fontId="3" fillId="3" borderId="13" xfId="7" applyFill="1" applyBorder="1" applyAlignment="1" applyProtection="1">
      <alignment horizontal="center" wrapText="1"/>
    </xf>
    <xf numFmtId="0" fontId="3" fillId="3" borderId="13" xfId="7" applyFill="1" applyBorder="1" applyAlignment="1" applyProtection="1">
      <alignment horizontal="center"/>
    </xf>
    <xf numFmtId="38" fontId="3" fillId="3" borderId="13" xfId="7" applyNumberFormat="1" applyFill="1" applyBorder="1" applyAlignment="1" applyProtection="1">
      <alignment horizontal="center" wrapText="1"/>
    </xf>
    <xf numFmtId="0" fontId="3" fillId="3" borderId="13" xfId="7" applyFont="1" applyFill="1" applyBorder="1" applyAlignment="1" applyProtection="1">
      <alignment horizontal="center" wrapText="1"/>
    </xf>
    <xf numFmtId="0" fontId="44" fillId="0" borderId="0" xfId="7" applyFont="1" applyProtection="1">
      <protection locked="0"/>
    </xf>
    <xf numFmtId="0" fontId="44" fillId="0" borderId="0" xfId="7" applyFont="1" applyAlignment="1" applyProtection="1">
      <protection locked="0"/>
    </xf>
    <xf numFmtId="38" fontId="3" fillId="0" borderId="13" xfId="7" applyNumberFormat="1" applyBorder="1" applyProtection="1">
      <protection locked="0"/>
    </xf>
    <xf numFmtId="167" fontId="3" fillId="0" borderId="0" xfId="1" applyNumberFormat="1" applyFont="1" applyBorder="1" applyProtection="1"/>
    <xf numFmtId="38" fontId="3" fillId="0" borderId="20" xfId="7" applyNumberFormat="1" applyBorder="1" applyProtection="1">
      <protection locked="0"/>
    </xf>
    <xf numFmtId="0" fontId="13" fillId="4" borderId="0" xfId="7" applyFont="1" applyFill="1" applyProtection="1"/>
    <xf numFmtId="38" fontId="13" fillId="4" borderId="0" xfId="7" applyNumberFormat="1" applyFont="1" applyFill="1" applyProtection="1"/>
    <xf numFmtId="0" fontId="36" fillId="9" borderId="0" xfId="7" applyFont="1" applyFill="1" applyProtection="1"/>
    <xf numFmtId="38" fontId="36" fillId="9" borderId="0" xfId="7" applyNumberFormat="1" applyFont="1" applyFill="1" applyProtection="1"/>
    <xf numFmtId="0" fontId="12" fillId="0" borderId="0" xfId="0" applyFont="1"/>
    <xf numFmtId="0" fontId="10" fillId="2" borderId="0" xfId="0" applyFont="1" applyFill="1" applyBorder="1" applyAlignment="1">
      <alignment horizontal="left" wrapText="1"/>
    </xf>
    <xf numFmtId="0" fontId="10" fillId="2" borderId="0" xfId="0" applyFont="1" applyFill="1" applyBorder="1" applyAlignment="1">
      <alignment wrapText="1"/>
    </xf>
    <xf numFmtId="0" fontId="12" fillId="2" borderId="0" xfId="0" applyFont="1" applyFill="1" applyBorder="1" applyAlignment="1">
      <alignment vertical="top" wrapText="1"/>
    </xf>
    <xf numFmtId="0" fontId="10" fillId="2" borderId="0" xfId="0" applyFont="1" applyFill="1" applyBorder="1" applyAlignment="1">
      <alignment vertical="top" wrapText="1"/>
    </xf>
    <xf numFmtId="0" fontId="15" fillId="2" borderId="2" xfId="3" applyFont="1" applyFill="1" applyBorder="1" applyAlignment="1" applyProtection="1">
      <alignment horizontal="left" vertical="top" wrapText="1"/>
    </xf>
    <xf numFmtId="0" fontId="10" fillId="2" borderId="6" xfId="0" applyFont="1" applyFill="1" applyBorder="1" applyAlignment="1">
      <alignment vertical="top" wrapText="1"/>
    </xf>
    <xf numFmtId="0" fontId="12" fillId="2" borderId="18" xfId="0" applyFont="1" applyFill="1" applyBorder="1" applyAlignment="1">
      <alignment vertical="top" wrapText="1"/>
    </xf>
    <xf numFmtId="0" fontId="12" fillId="2" borderId="0" xfId="0" applyFont="1" applyFill="1" applyBorder="1"/>
    <xf numFmtId="165" fontId="15" fillId="2" borderId="16" xfId="3" applyNumberFormat="1" applyFont="1" applyFill="1" applyBorder="1" applyAlignment="1" applyProtection="1">
      <alignment horizontal="left" vertical="top" wrapText="1"/>
      <protection hidden="1"/>
    </xf>
    <xf numFmtId="0" fontId="10" fillId="2" borderId="16" xfId="0" applyFont="1" applyFill="1" applyBorder="1" applyAlignment="1" applyProtection="1">
      <alignment horizontal="left" vertical="top" wrapText="1"/>
      <protection hidden="1"/>
    </xf>
    <xf numFmtId="0" fontId="12" fillId="2" borderId="17" xfId="0" applyFont="1" applyFill="1" applyBorder="1" applyAlignment="1" applyProtection="1">
      <alignment horizontal="left" vertical="top" wrapText="1"/>
      <protection hidden="1"/>
    </xf>
    <xf numFmtId="0" fontId="9" fillId="0" borderId="0" xfId="3" applyBorder="1" applyAlignment="1" applyProtection="1">
      <alignment horizontal="left" vertical="top" wrapText="1"/>
    </xf>
    <xf numFmtId="0" fontId="10" fillId="2" borderId="0" xfId="0" applyFont="1" applyFill="1" applyBorder="1" applyAlignment="1" applyProtection="1">
      <alignment horizontal="left" vertical="top" wrapText="1"/>
      <protection hidden="1"/>
    </xf>
    <xf numFmtId="0" fontId="0" fillId="0" borderId="15" xfId="0" applyBorder="1" applyAlignment="1">
      <alignment horizontal="left" vertical="top" wrapText="1"/>
    </xf>
    <xf numFmtId="0" fontId="0" fillId="0" borderId="13" xfId="0" applyBorder="1" applyAlignment="1">
      <alignment horizontal="left" vertical="top" wrapText="1"/>
    </xf>
    <xf numFmtId="0" fontId="10" fillId="2" borderId="13" xfId="0" applyFont="1" applyFill="1" applyBorder="1" applyAlignment="1" applyProtection="1">
      <alignment horizontal="left" vertical="top" wrapText="1"/>
      <protection hidden="1"/>
    </xf>
    <xf numFmtId="0" fontId="12" fillId="2" borderId="15" xfId="0" applyFont="1" applyFill="1" applyBorder="1" applyAlignment="1">
      <alignment horizontal="left" vertical="top" wrapText="1"/>
    </xf>
    <xf numFmtId="0" fontId="12" fillId="2" borderId="21" xfId="0" applyFont="1" applyFill="1" applyBorder="1" applyAlignment="1">
      <alignment horizontal="left" vertical="top" wrapText="1"/>
    </xf>
    <xf numFmtId="0" fontId="12" fillId="2" borderId="0" xfId="0" applyFont="1" applyFill="1" applyBorder="1" applyAlignment="1">
      <alignment vertical="top"/>
    </xf>
    <xf numFmtId="165" fontId="15" fillId="2" borderId="2" xfId="3" applyNumberFormat="1" applyFont="1" applyFill="1" applyBorder="1" applyAlignment="1" applyProtection="1">
      <alignment horizontal="left" vertical="top"/>
    </xf>
    <xf numFmtId="0" fontId="10" fillId="2" borderId="6" xfId="0" applyFont="1" applyFill="1" applyBorder="1" applyAlignment="1">
      <alignment horizontal="left" vertical="top" wrapText="1"/>
    </xf>
    <xf numFmtId="0" fontId="12" fillId="2" borderId="18" xfId="0" applyFont="1" applyFill="1" applyBorder="1" applyAlignment="1">
      <alignment horizontal="left" vertical="top" wrapText="1"/>
    </xf>
    <xf numFmtId="0" fontId="12" fillId="2" borderId="0" xfId="0" applyFont="1" applyFill="1" applyBorder="1" applyAlignment="1">
      <alignment horizontal="center" vertical="top"/>
    </xf>
    <xf numFmtId="0" fontId="10" fillId="2" borderId="0" xfId="0" applyFont="1" applyFill="1" applyBorder="1" applyAlignment="1">
      <alignment horizontal="center" vertical="top" wrapText="1"/>
    </xf>
    <xf numFmtId="0" fontId="12" fillId="2" borderId="0" xfId="0" applyFont="1" applyFill="1" applyBorder="1" applyAlignment="1">
      <alignment horizontal="center" vertical="top" wrapText="1"/>
    </xf>
    <xf numFmtId="0" fontId="12" fillId="0" borderId="18" xfId="0" applyFont="1" applyFill="1" applyBorder="1" applyAlignment="1">
      <alignment horizontal="left" vertical="top" wrapText="1"/>
    </xf>
    <xf numFmtId="165" fontId="12" fillId="2" borderId="11" xfId="0" applyNumberFormat="1" applyFont="1" applyFill="1" applyBorder="1" applyAlignment="1" applyProtection="1">
      <alignment horizontal="left" wrapText="1"/>
    </xf>
    <xf numFmtId="0" fontId="10" fillId="2" borderId="16" xfId="0" applyFont="1" applyFill="1" applyBorder="1" applyAlignment="1" applyProtection="1">
      <alignment horizontal="left" wrapText="1"/>
      <protection hidden="1"/>
    </xf>
    <xf numFmtId="165" fontId="9" fillId="2" borderId="12" xfId="3" applyNumberFormat="1" applyFill="1" applyBorder="1" applyAlignment="1" applyProtection="1">
      <alignment horizontal="left" vertical="top" wrapText="1"/>
    </xf>
    <xf numFmtId="0" fontId="12" fillId="2" borderId="0" xfId="0" applyFont="1" applyFill="1" applyBorder="1" applyAlignment="1" applyProtection="1">
      <alignment horizontal="left" vertical="top" wrapText="1" indent="3"/>
      <protection hidden="1"/>
    </xf>
    <xf numFmtId="165" fontId="9" fillId="2" borderId="12" xfId="3" applyNumberFormat="1" applyFill="1" applyBorder="1" applyAlignment="1" applyProtection="1">
      <alignment horizontal="left" vertical="top"/>
    </xf>
    <xf numFmtId="165" fontId="9" fillId="2" borderId="14" xfId="3" applyNumberFormat="1" applyFill="1" applyBorder="1" applyAlignment="1" applyProtection="1">
      <alignment horizontal="left" vertical="top"/>
    </xf>
    <xf numFmtId="0" fontId="12" fillId="2" borderId="13" xfId="0" applyFont="1" applyFill="1" applyBorder="1" applyAlignment="1" applyProtection="1">
      <alignment horizontal="left" vertical="top" wrapText="1" indent="3"/>
      <protection hidden="1"/>
    </xf>
    <xf numFmtId="0" fontId="9" fillId="2" borderId="2" xfId="3" applyFill="1" applyBorder="1" applyAlignment="1" applyProtection="1">
      <alignment vertical="top"/>
    </xf>
    <xf numFmtId="0" fontId="36" fillId="2" borderId="6" xfId="0" applyFont="1" applyFill="1" applyBorder="1" applyAlignment="1">
      <alignment vertical="top" wrapText="1"/>
    </xf>
    <xf numFmtId="0" fontId="9" fillId="0" borderId="6" xfId="3" applyBorder="1" applyAlignment="1" applyProtection="1">
      <alignment horizontal="left" vertical="top"/>
    </xf>
    <xf numFmtId="0" fontId="0" fillId="0" borderId="18" xfId="0" applyBorder="1" applyAlignment="1">
      <alignment horizontal="left" vertical="top" wrapText="1"/>
    </xf>
    <xf numFmtId="0" fontId="3" fillId="0" borderId="16" xfId="0" applyFont="1" applyBorder="1" applyAlignment="1">
      <alignment horizontal="left" wrapText="1"/>
    </xf>
    <xf numFmtId="0" fontId="0" fillId="0" borderId="16" xfId="0" applyBorder="1" applyAlignment="1">
      <alignment horizontal="left" wrapText="1"/>
    </xf>
    <xf numFmtId="0" fontId="12" fillId="0" borderId="0" xfId="0" applyFont="1" applyAlignment="1">
      <alignment horizontal="left" wrapText="1"/>
    </xf>
    <xf numFmtId="165" fontId="12" fillId="6" borderId="0" xfId="0" applyNumberFormat="1" applyFont="1" applyFill="1" applyBorder="1" applyAlignment="1" applyProtection="1">
      <alignment vertical="center"/>
    </xf>
    <xf numFmtId="165" fontId="12" fillId="6" borderId="16" xfId="0" applyNumberFormat="1" applyFont="1" applyFill="1" applyBorder="1" applyAlignment="1" applyProtection="1">
      <alignment vertical="center"/>
    </xf>
    <xf numFmtId="0" fontId="12" fillId="6" borderId="0" xfId="0" applyFont="1" applyFill="1" applyBorder="1" applyAlignment="1" applyProtection="1">
      <alignment vertical="center"/>
    </xf>
    <xf numFmtId="0" fontId="12" fillId="6" borderId="15" xfId="0" applyFont="1" applyFill="1" applyBorder="1" applyAlignment="1" applyProtection="1">
      <alignment vertical="center"/>
    </xf>
    <xf numFmtId="0" fontId="13" fillId="2" borderId="12" xfId="0" applyFont="1" applyFill="1" applyBorder="1" applyAlignment="1" applyProtection="1">
      <alignment horizontal="left" vertical="center" wrapText="1"/>
    </xf>
    <xf numFmtId="0" fontId="9" fillId="2" borderId="0" xfId="3" applyFill="1" applyBorder="1" applyAlignment="1" applyProtection="1">
      <alignment horizontal="left" vertical="center" wrapText="1"/>
    </xf>
    <xf numFmtId="0" fontId="9" fillId="0" borderId="16" xfId="3" applyBorder="1" applyAlignment="1" applyProtection="1">
      <alignment horizontal="right" vertical="center" wrapText="1"/>
    </xf>
    <xf numFmtId="0" fontId="9" fillId="2" borderId="16" xfId="3" applyFill="1" applyBorder="1" applyAlignment="1" applyProtection="1">
      <alignment horizontal="left" vertical="center" wrapText="1"/>
    </xf>
    <xf numFmtId="0" fontId="13" fillId="2" borderId="0" xfId="0" applyNumberFormat="1" applyFont="1" applyFill="1" applyBorder="1" applyAlignment="1" applyProtection="1">
      <alignment horizontal="left" vertical="top" wrapText="1"/>
    </xf>
    <xf numFmtId="0" fontId="0" fillId="2" borderId="2" xfId="0" applyFill="1" applyBorder="1" applyAlignment="1" applyProtection="1">
      <alignment horizontal="left" vertical="center"/>
    </xf>
    <xf numFmtId="0" fontId="10" fillId="2" borderId="2" xfId="0" applyFont="1" applyFill="1" applyBorder="1" applyAlignment="1" applyProtection="1">
      <alignment horizontal="left" vertical="center"/>
    </xf>
    <xf numFmtId="0" fontId="8" fillId="3" borderId="13" xfId="0" applyFont="1" applyFill="1" applyBorder="1" applyAlignment="1" applyProtection="1">
      <alignment horizontal="left" vertical="center"/>
    </xf>
    <xf numFmtId="0" fontId="50" fillId="2" borderId="0" xfId="3" applyFont="1" applyFill="1" applyBorder="1" applyAlignment="1" applyProtection="1">
      <alignment horizontal="left" vertical="center" wrapText="1"/>
    </xf>
    <xf numFmtId="0" fontId="0" fillId="2" borderId="0" xfId="0" applyFill="1" applyBorder="1" applyAlignment="1" applyProtection="1"/>
    <xf numFmtId="0" fontId="49" fillId="2" borderId="0" xfId="0" applyFont="1" applyFill="1" applyBorder="1" applyAlignment="1" applyProtection="1"/>
    <xf numFmtId="0" fontId="0" fillId="2" borderId="2" xfId="0" applyFill="1" applyBorder="1" applyAlignment="1" applyProtection="1">
      <alignment horizontal="center" vertical="center"/>
    </xf>
    <xf numFmtId="0" fontId="10" fillId="2" borderId="2" xfId="0" applyFont="1" applyFill="1" applyBorder="1" applyAlignment="1" applyProtection="1">
      <alignment horizontal="center" vertical="center"/>
    </xf>
    <xf numFmtId="0" fontId="0" fillId="2" borderId="14" xfId="0" applyFill="1" applyBorder="1" applyProtection="1"/>
    <xf numFmtId="0" fontId="0" fillId="2" borderId="2" xfId="0" applyFill="1" applyBorder="1" applyProtection="1"/>
    <xf numFmtId="0" fontId="10" fillId="2" borderId="2" xfId="0" applyFont="1" applyFill="1" applyBorder="1" applyProtection="1"/>
    <xf numFmtId="0" fontId="0" fillId="2" borderId="0" xfId="0" applyFill="1" applyBorder="1" applyAlignment="1" applyProtection="1">
      <alignment horizontal="center" vertical="center" wrapText="1"/>
    </xf>
    <xf numFmtId="0" fontId="0" fillId="0" borderId="0" xfId="0" applyBorder="1" applyAlignment="1">
      <alignment vertical="center" wrapText="1"/>
    </xf>
    <xf numFmtId="0" fontId="0" fillId="2" borderId="0" xfId="0" applyFill="1" applyBorder="1" applyAlignment="1">
      <alignment horizontal="left" vertical="top" wrapText="1"/>
    </xf>
    <xf numFmtId="0" fontId="0" fillId="2" borderId="0" xfId="0" applyFill="1" applyAlignment="1">
      <alignment horizontal="left" vertical="top" wrapText="1"/>
    </xf>
    <xf numFmtId="0" fontId="16" fillId="2" borderId="0" xfId="0" applyFont="1" applyFill="1" applyAlignment="1" applyProtection="1">
      <alignment horizontal="left" vertical="center" wrapText="1"/>
    </xf>
    <xf numFmtId="0" fontId="0" fillId="2" borderId="0" xfId="0" applyFill="1" applyAlignment="1">
      <alignment wrapText="1"/>
    </xf>
    <xf numFmtId="0" fontId="0" fillId="3" borderId="13" xfId="0" applyFill="1" applyBorder="1" applyAlignment="1">
      <alignment horizontal="left" vertical="center"/>
    </xf>
    <xf numFmtId="49" fontId="10" fillId="2" borderId="6" xfId="0" applyNumberFormat="1" applyFont="1" applyFill="1" applyBorder="1" applyAlignment="1" applyProtection="1">
      <alignment horizontal="left" vertical="center"/>
    </xf>
    <xf numFmtId="49" fontId="10" fillId="2" borderId="18" xfId="0" applyNumberFormat="1" applyFont="1" applyFill="1" applyBorder="1" applyAlignment="1" applyProtection="1">
      <alignment horizontal="left" vertical="center"/>
    </xf>
    <xf numFmtId="0" fontId="0" fillId="0" borderId="2" xfId="0" applyBorder="1"/>
    <xf numFmtId="49" fontId="0" fillId="2" borderId="6" xfId="0" applyNumberFormat="1" applyFill="1" applyBorder="1" applyAlignment="1" applyProtection="1">
      <alignment horizontal="left" vertical="center"/>
    </xf>
    <xf numFmtId="0" fontId="0" fillId="0" borderId="14" xfId="0" applyBorder="1"/>
    <xf numFmtId="165" fontId="0" fillId="2" borderId="2" xfId="0" applyNumberFormat="1" applyFill="1" applyBorder="1" applyAlignment="1" applyProtection="1">
      <alignment horizontal="center" vertical="center"/>
    </xf>
    <xf numFmtId="0" fontId="10" fillId="2" borderId="0" xfId="0" applyFont="1" applyFill="1" applyBorder="1" applyAlignment="1" applyProtection="1">
      <alignment horizontal="left" vertical="center"/>
    </xf>
    <xf numFmtId="0" fontId="8" fillId="2" borderId="0" xfId="0" applyFont="1" applyFill="1" applyBorder="1" applyAlignment="1" applyProtection="1">
      <alignment horizontal="center" vertical="center"/>
    </xf>
    <xf numFmtId="0" fontId="8" fillId="3" borderId="12" xfId="0" applyFont="1" applyFill="1" applyBorder="1" applyAlignment="1" applyProtection="1">
      <alignment horizontal="left" vertical="center"/>
    </xf>
    <xf numFmtId="0" fontId="0" fillId="3" borderId="0" xfId="0" applyFill="1" applyBorder="1" applyAlignment="1">
      <alignment horizontal="left" vertical="center"/>
    </xf>
    <xf numFmtId="165" fontId="0" fillId="2" borderId="14" xfId="0" applyNumberFormat="1" applyFill="1" applyBorder="1" applyAlignment="1" applyProtection="1">
      <alignment horizontal="center" vertical="center"/>
    </xf>
    <xf numFmtId="165" fontId="10" fillId="2" borderId="2" xfId="0" applyNumberFormat="1" applyFont="1" applyFill="1" applyBorder="1" applyAlignment="1" applyProtection="1">
      <alignment horizontal="center" vertical="center"/>
    </xf>
    <xf numFmtId="165" fontId="10" fillId="2" borderId="11" xfId="0" applyNumberFormat="1" applyFont="1" applyFill="1" applyBorder="1" applyAlignment="1" applyProtection="1">
      <alignment horizontal="center" vertical="center"/>
    </xf>
    <xf numFmtId="0" fontId="10" fillId="2" borderId="0" xfId="0" applyNumberFormat="1" applyFont="1" applyFill="1" applyBorder="1" applyAlignment="1" applyProtection="1">
      <alignment horizontal="left" vertical="center" wrapText="1"/>
    </xf>
    <xf numFmtId="0" fontId="0" fillId="2" borderId="0" xfId="0" applyFill="1" applyBorder="1" applyAlignment="1">
      <alignment vertical="center" wrapText="1"/>
    </xf>
    <xf numFmtId="167" fontId="10" fillId="2" borderId="0" xfId="0" applyNumberFormat="1" applyFont="1" applyFill="1" applyBorder="1" applyAlignment="1" applyProtection="1">
      <alignment vertical="center"/>
    </xf>
    <xf numFmtId="0" fontId="0" fillId="2" borderId="0" xfId="0" applyFill="1" applyBorder="1" applyAlignment="1">
      <alignment vertical="center"/>
    </xf>
    <xf numFmtId="0" fontId="14" fillId="2" borderId="0" xfId="0" applyFont="1" applyFill="1" applyBorder="1" applyAlignment="1">
      <alignment vertical="center" wrapText="1"/>
    </xf>
    <xf numFmtId="0" fontId="0" fillId="2" borderId="2" xfId="0" applyFill="1" applyBorder="1"/>
    <xf numFmtId="0" fontId="8" fillId="0" borderId="2" xfId="0" applyFont="1" applyFill="1" applyBorder="1" applyAlignment="1" applyProtection="1">
      <alignment vertical="center"/>
    </xf>
    <xf numFmtId="0" fontId="0" fillId="0" borderId="6" xfId="0" applyBorder="1"/>
    <xf numFmtId="0" fontId="0" fillId="0" borderId="13" xfId="0" applyBorder="1"/>
    <xf numFmtId="0" fontId="0" fillId="2" borderId="12" xfId="0" applyFill="1" applyBorder="1" applyAlignment="1"/>
    <xf numFmtId="0" fontId="8" fillId="2" borderId="0" xfId="0" applyFont="1" applyFill="1" applyBorder="1" applyAlignment="1" applyProtection="1">
      <alignment vertical="center"/>
    </xf>
    <xf numFmtId="0" fontId="49" fillId="2" borderId="0" xfId="0" applyFont="1" applyFill="1"/>
    <xf numFmtId="49" fontId="49" fillId="2" borderId="0" xfId="0" applyNumberFormat="1" applyFont="1" applyFill="1" applyBorder="1" applyAlignment="1" applyProtection="1">
      <alignment horizontal="left" vertical="center"/>
    </xf>
    <xf numFmtId="0" fontId="49" fillId="2" borderId="0" xfId="0" applyFont="1" applyFill="1" applyAlignment="1">
      <alignment horizontal="left" vertical="center"/>
    </xf>
    <xf numFmtId="0" fontId="0" fillId="3" borderId="0" xfId="0" applyFill="1"/>
    <xf numFmtId="166" fontId="10" fillId="2" borderId="0" xfId="0" applyNumberFormat="1" applyFont="1" applyFill="1" applyBorder="1" applyAlignment="1" applyProtection="1">
      <alignment horizontal="right" vertical="center"/>
    </xf>
    <xf numFmtId="167" fontId="10" fillId="2" borderId="0" xfId="0" applyNumberFormat="1" applyFont="1" applyFill="1" applyBorder="1" applyAlignment="1" applyProtection="1">
      <alignment horizontal="center" vertical="center"/>
    </xf>
    <xf numFmtId="167" fontId="12" fillId="2" borderId="0" xfId="0" applyNumberFormat="1" applyFont="1" applyFill="1" applyBorder="1" applyAlignment="1" applyProtection="1">
      <alignment horizontal="right" vertical="center" wrapText="1"/>
    </xf>
    <xf numFmtId="167" fontId="0" fillId="2" borderId="0" xfId="0" applyNumberFormat="1" applyFill="1" applyBorder="1" applyAlignment="1" applyProtection="1">
      <alignment horizontal="right" vertical="center" wrapText="1"/>
    </xf>
    <xf numFmtId="167" fontId="12" fillId="2" borderId="0" xfId="0" applyNumberFormat="1" applyFont="1" applyFill="1" applyBorder="1" applyAlignment="1" applyProtection="1">
      <alignment horizontal="right" vertical="center"/>
    </xf>
    <xf numFmtId="167" fontId="0" fillId="2" borderId="0" xfId="0" applyNumberFormat="1" applyFill="1" applyBorder="1" applyAlignment="1" applyProtection="1">
      <alignment horizontal="right" vertical="center"/>
    </xf>
    <xf numFmtId="167" fontId="3" fillId="0" borderId="0" xfId="1" applyNumberFormat="1" applyFont="1" applyProtection="1">
      <protection locked="0"/>
    </xf>
    <xf numFmtId="0" fontId="0" fillId="2" borderId="0" xfId="0" applyFill="1" applyAlignment="1"/>
    <xf numFmtId="0" fontId="49" fillId="2" borderId="0" xfId="0" applyFont="1" applyFill="1" applyAlignment="1"/>
    <xf numFmtId="0" fontId="49" fillId="2" borderId="0" xfId="0" applyFont="1" applyFill="1" applyBorder="1" applyProtection="1"/>
    <xf numFmtId="42" fontId="49" fillId="2" borderId="0" xfId="0" applyNumberFormat="1" applyFont="1" applyFill="1" applyBorder="1" applyProtection="1"/>
    <xf numFmtId="0" fontId="63" fillId="2" borderId="0" xfId="0" applyFont="1" applyFill="1" applyAlignment="1">
      <alignment horizontal="left" vertical="center" wrapText="1"/>
    </xf>
    <xf numFmtId="165" fontId="7" fillId="3" borderId="18" xfId="0" applyNumberFormat="1" applyFont="1" applyFill="1" applyBorder="1" applyAlignment="1" applyProtection="1">
      <alignment horizontal="center" vertical="center" wrapText="1"/>
    </xf>
    <xf numFmtId="0" fontId="12" fillId="2" borderId="3" xfId="0" applyFont="1" applyFill="1" applyBorder="1" applyAlignment="1" applyProtection="1">
      <alignment horizontal="left" vertical="center" shrinkToFit="1"/>
      <protection locked="0"/>
    </xf>
    <xf numFmtId="0" fontId="0" fillId="2" borderId="0" xfId="0" applyFill="1" applyAlignment="1" applyProtection="1">
      <alignment vertical="center" wrapText="1"/>
      <protection locked="0"/>
    </xf>
    <xf numFmtId="0" fontId="0" fillId="2" borderId="0" xfId="0" applyFill="1" applyAlignment="1" applyProtection="1">
      <alignment vertical="center" wrapText="1"/>
    </xf>
    <xf numFmtId="0" fontId="0" fillId="2" borderId="3" xfId="0" applyFill="1" applyBorder="1" applyAlignment="1" applyProtection="1">
      <alignment horizontal="left" vertical="center" shrinkToFit="1"/>
      <protection locked="0"/>
    </xf>
    <xf numFmtId="0" fontId="0" fillId="2" borderId="0" xfId="0" applyFill="1" applyBorder="1" applyAlignment="1" applyProtection="1">
      <alignment vertical="center" wrapText="1"/>
    </xf>
    <xf numFmtId="0" fontId="12" fillId="2" borderId="0" xfId="0" applyFont="1" applyFill="1" applyBorder="1" applyAlignment="1" applyProtection="1">
      <alignment horizontal="left" vertical="center" shrinkToFit="1"/>
      <protection locked="0"/>
    </xf>
    <xf numFmtId="0" fontId="0" fillId="2" borderId="0" xfId="0" applyFill="1" applyAlignment="1" applyProtection="1">
      <alignment horizontal="left" vertical="center" shrinkToFit="1"/>
      <protection locked="0"/>
    </xf>
    <xf numFmtId="0" fontId="0" fillId="2" borderId="0" xfId="0" applyFill="1" applyProtection="1">
      <protection locked="0"/>
    </xf>
    <xf numFmtId="165" fontId="12" fillId="2" borderId="0" xfId="0" applyNumberFormat="1" applyFont="1" applyFill="1" applyBorder="1" applyAlignment="1" applyProtection="1">
      <alignment horizontal="left" vertical="center" shrinkToFit="1"/>
      <protection locked="0"/>
    </xf>
    <xf numFmtId="0" fontId="0" fillId="2" borderId="0" xfId="0" applyFill="1" applyBorder="1" applyAlignment="1" applyProtection="1">
      <alignment horizontal="left" vertical="center" shrinkToFit="1"/>
      <protection locked="0"/>
    </xf>
    <xf numFmtId="0" fontId="0" fillId="2" borderId="3" xfId="0" applyFill="1" applyBorder="1" applyAlignment="1" applyProtection="1">
      <alignment vertical="center" wrapText="1"/>
      <protection locked="0"/>
    </xf>
    <xf numFmtId="0" fontId="49" fillId="2" borderId="0" xfId="0" applyNumberFormat="1" applyFont="1" applyFill="1"/>
    <xf numFmtId="165" fontId="9" fillId="2" borderId="3" xfId="3" applyNumberFormat="1" applyFill="1" applyBorder="1" applyAlignment="1" applyProtection="1">
      <alignment horizontal="center" vertical="center"/>
    </xf>
    <xf numFmtId="0" fontId="0" fillId="2" borderId="0" xfId="0" applyFill="1" applyAlignment="1" applyProtection="1"/>
    <xf numFmtId="0" fontId="10" fillId="2" borderId="2" xfId="0" applyFont="1" applyFill="1" applyBorder="1"/>
    <xf numFmtId="0" fontId="12" fillId="0" borderId="18" xfId="0" applyFont="1" applyBorder="1" applyAlignment="1">
      <alignment vertical="top" wrapText="1"/>
    </xf>
    <xf numFmtId="0" fontId="9" fillId="2" borderId="2" xfId="3" applyFill="1" applyBorder="1" applyAlignment="1" applyProtection="1">
      <alignment vertical="top" wrapText="1"/>
    </xf>
    <xf numFmtId="1" fontId="66" fillId="10" borderId="0" xfId="0" applyNumberFormat="1" applyFont="1" applyFill="1"/>
    <xf numFmtId="0" fontId="9" fillId="0" borderId="6" xfId="3" applyBorder="1" applyAlignment="1" applyProtection="1">
      <alignment horizontal="left" vertical="top" wrapText="1"/>
    </xf>
    <xf numFmtId="1" fontId="47" fillId="0" borderId="0" xfId="6" applyNumberFormat="1" applyFont="1" applyAlignment="1" applyProtection="1">
      <alignment horizontal="left"/>
    </xf>
    <xf numFmtId="164" fontId="10" fillId="0" borderId="0" xfId="6" applyNumberFormat="1" applyFont="1" applyProtection="1">
      <alignment horizontal="left"/>
    </xf>
    <xf numFmtId="0" fontId="26" fillId="0" borderId="1" xfId="8" applyFont="1" applyFill="1" applyBorder="1" applyAlignment="1" applyProtection="1"/>
    <xf numFmtId="164" fontId="26" fillId="0" borderId="1" xfId="8" applyNumberFormat="1" applyFont="1" applyFill="1" applyBorder="1" applyAlignment="1" applyProtection="1">
      <alignment horizontal="right"/>
    </xf>
    <xf numFmtId="0" fontId="26" fillId="0" borderId="1" xfId="8" applyNumberFormat="1" applyFont="1" applyFill="1" applyBorder="1" applyAlignment="1" applyProtection="1"/>
    <xf numFmtId="164" fontId="3" fillId="0" borderId="0" xfId="6" applyNumberFormat="1" applyProtection="1">
      <alignment horizontal="left"/>
    </xf>
    <xf numFmtId="1" fontId="20" fillId="0" borderId="0" xfId="6" applyNumberFormat="1" applyFont="1" applyAlignment="1" applyProtection="1">
      <alignment horizontal="left"/>
    </xf>
    <xf numFmtId="0" fontId="4" fillId="0" borderId="0" xfId="6" applyFont="1" applyProtection="1">
      <alignment horizontal="left"/>
    </xf>
    <xf numFmtId="0" fontId="12" fillId="2" borderId="3" xfId="0" applyFont="1" applyFill="1" applyBorder="1" applyAlignment="1" applyProtection="1">
      <alignment horizontal="center" vertical="center"/>
      <protection locked="0"/>
    </xf>
    <xf numFmtId="0" fontId="12" fillId="0" borderId="18" xfId="0" applyFont="1" applyBorder="1" applyAlignment="1">
      <alignment horizontal="left" vertical="top" wrapText="1"/>
    </xf>
    <xf numFmtId="0" fontId="67" fillId="0" borderId="0" xfId="6" applyFont="1" applyProtection="1">
      <alignment horizontal="left"/>
    </xf>
    <xf numFmtId="0" fontId="9" fillId="0" borderId="0" xfId="3" applyAlignment="1" applyProtection="1"/>
    <xf numFmtId="3" fontId="70" fillId="2" borderId="0" xfId="0" applyNumberFormat="1" applyFont="1" applyFill="1" applyBorder="1" applyProtection="1"/>
    <xf numFmtId="0" fontId="12" fillId="0" borderId="21" xfId="0" applyFont="1" applyBorder="1" applyAlignment="1">
      <alignment horizontal="left" vertical="top" wrapText="1"/>
    </xf>
    <xf numFmtId="0" fontId="12" fillId="2" borderId="0" xfId="0" applyFont="1" applyFill="1" applyBorder="1" applyProtection="1"/>
    <xf numFmtId="0" fontId="71" fillId="2" borderId="0" xfId="0" applyFont="1" applyFill="1" applyBorder="1" applyAlignment="1" applyProtection="1">
      <alignment horizontal="left" vertical="center" wrapText="1"/>
    </xf>
    <xf numFmtId="0" fontId="0" fillId="2" borderId="23" xfId="0" applyFill="1" applyBorder="1" applyAlignment="1" applyProtection="1"/>
    <xf numFmtId="0" fontId="0" fillId="2" borderId="24" xfId="0" applyFill="1" applyBorder="1" applyAlignment="1" applyProtection="1"/>
    <xf numFmtId="0" fontId="10" fillId="2" borderId="24" xfId="0" applyFont="1" applyFill="1" applyBorder="1" applyAlignment="1" applyProtection="1">
      <alignment horizontal="center"/>
    </xf>
    <xf numFmtId="0" fontId="10" fillId="2" borderId="23" xfId="0" applyFont="1" applyFill="1" applyBorder="1" applyAlignment="1" applyProtection="1">
      <alignment horizontal="left" vertical="center"/>
    </xf>
    <xf numFmtId="0" fontId="7" fillId="14" borderId="0" xfId="0" applyNumberFormat="1" applyFont="1" applyFill="1" applyBorder="1" applyAlignment="1" applyProtection="1">
      <alignment horizontal="left" vertical="center" wrapText="1"/>
    </xf>
    <xf numFmtId="0" fontId="7" fillId="14" borderId="0" xfId="0" applyFont="1" applyFill="1" applyBorder="1" applyAlignment="1" applyProtection="1">
      <alignment horizontal="left" vertical="center"/>
    </xf>
    <xf numFmtId="0" fontId="0" fillId="14" borderId="12" xfId="0" applyFill="1" applyBorder="1" applyAlignment="1" applyProtection="1">
      <alignment vertical="center"/>
    </xf>
    <xf numFmtId="0" fontId="13" fillId="14" borderId="25" xfId="0" applyFont="1" applyFill="1" applyBorder="1" applyAlignment="1" applyProtection="1">
      <alignment vertical="center"/>
    </xf>
    <xf numFmtId="0" fontId="13" fillId="2" borderId="25" xfId="0" applyFont="1" applyFill="1" applyBorder="1" applyAlignment="1" applyProtection="1">
      <alignment vertical="center" wrapText="1"/>
    </xf>
    <xf numFmtId="0" fontId="13" fillId="2" borderId="0" xfId="0" applyFont="1" applyFill="1" applyBorder="1" applyAlignment="1" applyProtection="1">
      <alignment vertical="center" wrapText="1"/>
    </xf>
    <xf numFmtId="166" fontId="12" fillId="2" borderId="16" xfId="0" applyNumberFormat="1" applyFont="1" applyFill="1" applyBorder="1" applyAlignment="1" applyProtection="1">
      <alignment vertical="center"/>
    </xf>
    <xf numFmtId="166" fontId="12" fillId="2" borderId="6" xfId="0" applyNumberFormat="1" applyFont="1" applyFill="1" applyBorder="1" applyAlignment="1" applyProtection="1">
      <alignment vertical="center"/>
    </xf>
    <xf numFmtId="0" fontId="0" fillId="14" borderId="0" xfId="0" applyFill="1" applyBorder="1" applyAlignment="1" applyProtection="1"/>
    <xf numFmtId="0" fontId="13" fillId="2" borderId="26" xfId="0" applyFont="1" applyFill="1" applyBorder="1" applyAlignment="1" applyProtection="1">
      <alignment vertical="center" wrapText="1"/>
    </xf>
    <xf numFmtId="0" fontId="13" fillId="14" borderId="0" xfId="0" applyFont="1" applyFill="1" applyBorder="1" applyAlignment="1" applyProtection="1">
      <alignment vertical="center" wrapText="1"/>
    </xf>
    <xf numFmtId="0" fontId="0" fillId="14" borderId="0" xfId="0" applyFill="1" applyAlignment="1" applyProtection="1"/>
    <xf numFmtId="0" fontId="12" fillId="15" borderId="21" xfId="0" applyFont="1" applyFill="1" applyBorder="1" applyAlignment="1" applyProtection="1">
      <alignment vertical="center" wrapText="1"/>
    </xf>
    <xf numFmtId="0" fontId="72" fillId="15" borderId="3" xfId="0" applyFont="1" applyFill="1" applyBorder="1" applyAlignment="1" applyProtection="1">
      <alignment horizontal="center" vertical="center" wrapText="1"/>
    </xf>
    <xf numFmtId="0" fontId="72" fillId="15" borderId="27" xfId="0" applyFont="1" applyFill="1" applyBorder="1" applyAlignment="1" applyProtection="1">
      <alignment horizontal="center" vertical="center" wrapText="1"/>
    </xf>
    <xf numFmtId="0" fontId="12" fillId="14" borderId="3" xfId="0" applyFont="1" applyFill="1" applyBorder="1" applyAlignment="1" applyProtection="1">
      <alignment horizontal="center" vertical="center" wrapText="1"/>
      <protection locked="0"/>
    </xf>
    <xf numFmtId="0" fontId="12" fillId="14" borderId="27" xfId="0" applyFont="1" applyFill="1" applyBorder="1" applyAlignment="1" applyProtection="1">
      <alignment horizontal="center" vertical="center" wrapText="1"/>
      <protection locked="0"/>
    </xf>
    <xf numFmtId="0" fontId="73" fillId="14" borderId="0" xfId="0" applyFont="1" applyFill="1" applyBorder="1" applyAlignment="1" applyProtection="1">
      <alignment horizontal="center" vertical="center" wrapText="1"/>
    </xf>
    <xf numFmtId="0" fontId="72" fillId="14" borderId="0" xfId="0" applyFont="1" applyFill="1" applyBorder="1" applyAlignment="1" applyProtection="1">
      <alignment horizontal="center" vertical="center" wrapText="1"/>
    </xf>
    <xf numFmtId="0" fontId="7" fillId="14" borderId="0" xfId="0" applyFont="1" applyFill="1" applyBorder="1" applyAlignment="1" applyProtection="1">
      <alignment vertical="center" wrapText="1"/>
    </xf>
    <xf numFmtId="0" fontId="0" fillId="14" borderId="0" xfId="0" applyFill="1" applyBorder="1" applyAlignment="1" applyProtection="1">
      <alignment horizontal="left" vertical="top" wrapText="1"/>
    </xf>
    <xf numFmtId="0" fontId="7" fillId="14" borderId="0" xfId="0" applyFont="1" applyFill="1" applyBorder="1" applyAlignment="1" applyProtection="1">
      <alignment vertical="center"/>
    </xf>
    <xf numFmtId="0" fontId="12" fillId="14" borderId="0" xfId="0" applyFont="1" applyFill="1" applyBorder="1" applyAlignment="1" applyProtection="1"/>
    <xf numFmtId="0" fontId="0" fillId="14" borderId="0" xfId="0" applyFill="1" applyBorder="1" applyAlignment="1" applyProtection="1">
      <alignment horizontal="center" vertical="center" wrapText="1"/>
    </xf>
    <xf numFmtId="0" fontId="10" fillId="14" borderId="0" xfId="0" applyFont="1" applyFill="1" applyBorder="1" applyAlignment="1" applyProtection="1">
      <alignment vertical="center"/>
    </xf>
    <xf numFmtId="0" fontId="0" fillId="14" borderId="0" xfId="0" applyFill="1" applyBorder="1" applyProtection="1"/>
    <xf numFmtId="0" fontId="10" fillId="14" borderId="0" xfId="0" applyFont="1" applyFill="1" applyBorder="1" applyAlignment="1" applyProtection="1">
      <alignment horizontal="left" vertical="center"/>
    </xf>
    <xf numFmtId="0" fontId="7" fillId="14" borderId="0" xfId="0" applyFont="1" applyFill="1" applyBorder="1" applyAlignment="1" applyProtection="1">
      <alignment horizontal="center" vertical="center"/>
    </xf>
    <xf numFmtId="3" fontId="0" fillId="14" borderId="0" xfId="0" applyNumberFormat="1" applyFill="1" applyBorder="1" applyProtection="1"/>
    <xf numFmtId="0" fontId="7" fillId="14" borderId="0" xfId="0" applyFont="1" applyFill="1" applyBorder="1" applyAlignment="1" applyProtection="1">
      <alignment vertical="center" wrapText="1"/>
    </xf>
    <xf numFmtId="0" fontId="10" fillId="0" borderId="6" xfId="4" applyFont="1" applyBorder="1"/>
    <xf numFmtId="0" fontId="10" fillId="0" borderId="18" xfId="4" applyFont="1" applyBorder="1" applyAlignment="1">
      <alignment horizontal="right" indent="1"/>
    </xf>
    <xf numFmtId="0" fontId="12" fillId="0" borderId="12" xfId="4" applyBorder="1"/>
    <xf numFmtId="0" fontId="12" fillId="0" borderId="0" xfId="4" applyBorder="1" applyAlignment="1">
      <alignment horizontal="right" indent="1"/>
    </xf>
    <xf numFmtId="0" fontId="12" fillId="0" borderId="12" xfId="4" applyFont="1" applyBorder="1"/>
    <xf numFmtId="0" fontId="12" fillId="0" borderId="15" xfId="4" applyBorder="1" applyAlignment="1">
      <alignment horizontal="right" indent="1"/>
    </xf>
    <xf numFmtId="0" fontId="12" fillId="0" borderId="0" xfId="4" applyFont="1" applyFill="1" applyBorder="1"/>
    <xf numFmtId="0" fontId="12" fillId="0" borderId="0" xfId="4" applyBorder="1"/>
    <xf numFmtId="0" fontId="12" fillId="0" borderId="0" xfId="4" applyFont="1" applyFill="1" applyBorder="1" applyAlignment="1" applyProtection="1">
      <alignment horizontal="left" vertical="center"/>
    </xf>
    <xf numFmtId="0" fontId="12" fillId="0" borderId="0" xfId="4" applyFill="1" applyBorder="1"/>
    <xf numFmtId="0" fontId="12" fillId="0" borderId="12" xfId="4" applyFont="1" applyFill="1" applyBorder="1"/>
    <xf numFmtId="0" fontId="12" fillId="0" borderId="15" xfId="4" applyFill="1" applyBorder="1" applyAlignment="1">
      <alignment horizontal="right" indent="1"/>
    </xf>
    <xf numFmtId="0" fontId="12" fillId="0" borderId="0" xfId="4" applyFont="1" applyFill="1" applyBorder="1" applyAlignment="1"/>
    <xf numFmtId="0" fontId="12" fillId="0" borderId="12" xfId="4" applyFont="1" applyFill="1" applyBorder="1" applyAlignment="1" applyProtection="1">
      <alignment horizontal="left" vertical="center"/>
    </xf>
    <xf numFmtId="0" fontId="12" fillId="0" borderId="0" xfId="4" applyFont="1" applyBorder="1"/>
    <xf numFmtId="0" fontId="12" fillId="0" borderId="0" xfId="4" applyFont="1" applyBorder="1" applyAlignment="1">
      <alignment horizontal="left" vertical="top"/>
    </xf>
    <xf numFmtId="0" fontId="12" fillId="0" borderId="12" xfId="4" applyFill="1" applyBorder="1" applyAlignment="1" applyProtection="1">
      <alignment horizontal="left" vertical="center"/>
    </xf>
    <xf numFmtId="0" fontId="12" fillId="0" borderId="12" xfId="4" applyFont="1" applyFill="1" applyBorder="1" applyAlignment="1"/>
    <xf numFmtId="0" fontId="10" fillId="0" borderId="2" xfId="4" applyFont="1" applyFill="1" applyBorder="1" applyAlignment="1">
      <alignment vertical="top" wrapText="1"/>
    </xf>
    <xf numFmtId="0" fontId="10" fillId="0" borderId="18" xfId="4" applyFont="1" applyBorder="1" applyAlignment="1">
      <alignment horizontal="right" wrapText="1" indent="1"/>
    </xf>
    <xf numFmtId="0" fontId="12" fillId="0" borderId="0" xfId="4" applyFont="1" applyFill="1" applyBorder="1" applyAlignment="1">
      <alignment vertical="top" wrapText="1"/>
    </xf>
    <xf numFmtId="0" fontId="12" fillId="0" borderId="0" xfId="4" applyBorder="1" applyAlignment="1">
      <alignment horizontal="right" wrapText="1" indent="1"/>
    </xf>
    <xf numFmtId="0" fontId="12" fillId="0" borderId="18" xfId="4" applyBorder="1" applyAlignment="1">
      <alignment horizontal="right" wrapText="1" indent="1"/>
    </xf>
    <xf numFmtId="0" fontId="12" fillId="0" borderId="0" xfId="4" applyFont="1" applyBorder="1" applyAlignment="1">
      <alignment wrapText="1"/>
    </xf>
    <xf numFmtId="0" fontId="10" fillId="0" borderId="0" xfId="4" applyFont="1" applyFill="1" applyBorder="1" applyAlignment="1">
      <alignment wrapText="1"/>
    </xf>
    <xf numFmtId="0" fontId="10" fillId="0" borderId="0" xfId="4" applyFont="1" applyFill="1" applyBorder="1" applyAlignment="1">
      <alignment horizontal="right" wrapText="1" indent="1"/>
    </xf>
    <xf numFmtId="0" fontId="12" fillId="0" borderId="0" xfId="4" applyFill="1" applyBorder="1" applyAlignment="1">
      <alignment vertical="center" wrapText="1"/>
    </xf>
    <xf numFmtId="0" fontId="12" fillId="0" borderId="0" xfId="4" applyFont="1" applyFill="1" applyBorder="1" applyAlignment="1">
      <alignment horizontal="right" wrapText="1" indent="1"/>
    </xf>
    <xf numFmtId="0" fontId="12" fillId="0" borderId="0" xfId="4" applyFill="1" applyBorder="1" applyAlignment="1">
      <alignment horizontal="right" wrapText="1" indent="1"/>
    </xf>
    <xf numFmtId="0" fontId="10" fillId="0" borderId="0" xfId="4" applyFont="1" applyBorder="1"/>
    <xf numFmtId="0" fontId="10" fillId="0" borderId="15" xfId="4" applyFont="1" applyBorder="1" applyAlignment="1">
      <alignment horizontal="right" indent="1"/>
    </xf>
    <xf numFmtId="0" fontId="71" fillId="0" borderId="0" xfId="4" applyFont="1" applyBorder="1"/>
    <xf numFmtId="0" fontId="13" fillId="0" borderId="0" xfId="4" applyFont="1" applyBorder="1" applyProtection="1"/>
    <xf numFmtId="0" fontId="12" fillId="0" borderId="0" xfId="4" applyBorder="1" applyAlignment="1"/>
    <xf numFmtId="0" fontId="12" fillId="0" borderId="0" xfId="4" applyFont="1" applyBorder="1" applyAlignment="1">
      <alignment horizontal="right" indent="1"/>
    </xf>
    <xf numFmtId="0" fontId="10" fillId="0" borderId="0" xfId="4" applyFont="1" applyFill="1" applyBorder="1"/>
    <xf numFmtId="0" fontId="10" fillId="0" borderId="0" xfId="4" applyFont="1" applyFill="1" applyBorder="1" applyAlignment="1">
      <alignment horizontal="right" indent="1"/>
    </xf>
    <xf numFmtId="0" fontId="10" fillId="0" borderId="2" xfId="4" applyFont="1" applyBorder="1"/>
    <xf numFmtId="0" fontId="12" fillId="0" borderId="6" xfId="4" applyBorder="1" applyAlignment="1">
      <alignment horizontal="right" indent="1"/>
    </xf>
    <xf numFmtId="0" fontId="10" fillId="0" borderId="2" xfId="4" applyFont="1" applyBorder="1" applyAlignment="1"/>
    <xf numFmtId="0" fontId="12" fillId="0" borderId="18" xfId="4" applyBorder="1" applyAlignment="1">
      <alignment horizontal="right" indent="1"/>
    </xf>
    <xf numFmtId="0" fontId="10" fillId="0" borderId="0" xfId="4" applyFont="1" applyFill="1" applyBorder="1" applyAlignment="1"/>
    <xf numFmtId="0" fontId="12" fillId="0" borderId="0" xfId="4" applyFill="1" applyBorder="1" applyAlignment="1"/>
    <xf numFmtId="0" fontId="12" fillId="0" borderId="0" xfId="4" applyFont="1" applyFill="1" applyBorder="1" applyAlignment="1" applyProtection="1">
      <alignment horizontal="left" vertical="center" wrapText="1"/>
    </xf>
    <xf numFmtId="0" fontId="12" fillId="0" borderId="0" xfId="4" applyFill="1" applyBorder="1" applyAlignment="1" applyProtection="1">
      <alignment horizontal="right" vertical="center" wrapText="1" indent="1"/>
    </xf>
    <xf numFmtId="0" fontId="12" fillId="0" borderId="0" xfId="4" applyFont="1" applyFill="1" applyBorder="1" applyAlignment="1">
      <alignment horizontal="right"/>
    </xf>
    <xf numFmtId="0" fontId="12" fillId="0" borderId="0" xfId="4" applyFont="1" applyBorder="1" applyAlignment="1"/>
    <xf numFmtId="0" fontId="12" fillId="0" borderId="12" xfId="4" applyBorder="1" applyAlignment="1"/>
    <xf numFmtId="0" fontId="12" fillId="0" borderId="14" xfId="4" applyBorder="1" applyAlignment="1"/>
    <xf numFmtId="0" fontId="12" fillId="0" borderId="21" xfId="4" applyBorder="1" applyAlignment="1">
      <alignment horizontal="right" indent="1"/>
    </xf>
    <xf numFmtId="0" fontId="12" fillId="0" borderId="0" xfId="4" applyFill="1" applyBorder="1" applyAlignment="1" applyProtection="1">
      <alignment horizontal="left" vertical="center"/>
    </xf>
    <xf numFmtId="0" fontId="10" fillId="0" borderId="2" xfId="4" applyFont="1" applyFill="1" applyBorder="1"/>
    <xf numFmtId="0" fontId="12" fillId="0" borderId="18" xfId="4" applyFont="1" applyBorder="1" applyAlignment="1">
      <alignment horizontal="right" indent="1"/>
    </xf>
    <xf numFmtId="0" fontId="10" fillId="0" borderId="12" xfId="4" applyFont="1" applyFill="1" applyBorder="1" applyAlignment="1"/>
    <xf numFmtId="0" fontId="10" fillId="0" borderId="2" xfId="4" applyFont="1" applyFill="1" applyBorder="1" applyAlignment="1" applyProtection="1">
      <alignment horizontal="left" vertical="center" wrapText="1"/>
    </xf>
    <xf numFmtId="0" fontId="12" fillId="0" borderId="18" xfId="4" applyFill="1" applyBorder="1" applyAlignment="1">
      <alignment horizontal="right" vertical="center" wrapText="1" indent="1"/>
    </xf>
    <xf numFmtId="0" fontId="12" fillId="0" borderId="0" xfId="4" applyFill="1" applyBorder="1" applyAlignment="1" applyProtection="1">
      <alignment horizontal="left" vertical="center" wrapText="1"/>
    </xf>
    <xf numFmtId="0" fontId="10" fillId="0" borderId="0" xfId="4" applyFont="1" applyBorder="1" applyAlignment="1">
      <alignment horizontal="right" indent="1"/>
    </xf>
    <xf numFmtId="0" fontId="12" fillId="0" borderId="0" xfId="4" applyFill="1" applyBorder="1" applyAlignment="1">
      <alignment horizontal="right" indent="1"/>
    </xf>
    <xf numFmtId="3" fontId="10" fillId="0" borderId="28" xfId="0" applyNumberFormat="1" applyFont="1" applyFill="1" applyBorder="1" applyAlignment="1" applyProtection="1">
      <alignment vertical="center"/>
    </xf>
    <xf numFmtId="0" fontId="74" fillId="0" borderId="0" xfId="0" applyFont="1"/>
    <xf numFmtId="165" fontId="10" fillId="16" borderId="3" xfId="0" applyNumberFormat="1" applyFont="1" applyFill="1" applyBorder="1" applyAlignment="1" applyProtection="1">
      <alignment horizontal="center" vertical="center"/>
    </xf>
    <xf numFmtId="0" fontId="20" fillId="16" borderId="3" xfId="0" applyFont="1" applyFill="1" applyBorder="1" applyAlignment="1" applyProtection="1">
      <alignment horizontal="center" vertical="center"/>
    </xf>
    <xf numFmtId="0" fontId="10" fillId="16" borderId="3" xfId="0" applyFont="1" applyFill="1" applyBorder="1" applyAlignment="1" applyProtection="1">
      <alignment horizontal="center" vertical="center" wrapText="1"/>
    </xf>
    <xf numFmtId="165" fontId="20" fillId="16" borderId="3" xfId="0" applyNumberFormat="1" applyFont="1" applyFill="1" applyBorder="1" applyAlignment="1" applyProtection="1">
      <alignment horizontal="center" vertical="center"/>
    </xf>
    <xf numFmtId="0" fontId="12" fillId="14" borderId="3" xfId="0" applyFont="1" applyFill="1" applyBorder="1" applyAlignment="1" applyProtection="1">
      <alignment horizontal="center" vertical="center" wrapText="1"/>
      <protection locked="0"/>
    </xf>
    <xf numFmtId="0" fontId="0" fillId="14" borderId="0" xfId="0" applyFill="1" applyBorder="1" applyAlignment="1" applyProtection="1">
      <alignment horizontal="left" vertical="top" wrapText="1"/>
    </xf>
    <xf numFmtId="0" fontId="7" fillId="14" borderId="0" xfId="0" applyFont="1" applyFill="1" applyBorder="1" applyAlignment="1" applyProtection="1">
      <alignment vertical="center" wrapText="1"/>
    </xf>
    <xf numFmtId="0" fontId="7" fillId="14" borderId="0" xfId="0" applyFont="1" applyFill="1" applyBorder="1" applyAlignment="1" applyProtection="1">
      <alignment vertical="center"/>
    </xf>
    <xf numFmtId="0" fontId="7" fillId="14" borderId="0" xfId="0" applyFont="1" applyFill="1" applyBorder="1" applyAlignment="1" applyProtection="1">
      <alignment horizontal="left" vertical="center"/>
    </xf>
    <xf numFmtId="0" fontId="13" fillId="14" borderId="0" xfId="0" applyFont="1" applyFill="1" applyBorder="1" applyAlignment="1" applyProtection="1">
      <alignment vertical="center" wrapText="1"/>
    </xf>
    <xf numFmtId="0" fontId="12" fillId="2" borderId="17" xfId="0" applyFont="1" applyFill="1" applyBorder="1" applyAlignment="1">
      <alignment horizontal="left" vertical="top" wrapText="1"/>
    </xf>
    <xf numFmtId="165" fontId="12" fillId="17" borderId="29" xfId="0" applyNumberFormat="1" applyFont="1" applyFill="1" applyBorder="1" applyAlignment="1" applyProtection="1">
      <alignment horizontal="center" vertical="center"/>
    </xf>
    <xf numFmtId="165" fontId="12" fillId="17" borderId="3" xfId="0" applyNumberFormat="1" applyFont="1" applyFill="1" applyBorder="1" applyAlignment="1" applyProtection="1">
      <alignment horizontal="center" vertical="center"/>
    </xf>
    <xf numFmtId="165" fontId="12" fillId="17" borderId="18" xfId="0" applyNumberFormat="1" applyFont="1" applyFill="1" applyBorder="1" applyAlignment="1" applyProtection="1">
      <alignment horizontal="center" vertical="center"/>
    </xf>
    <xf numFmtId="165" fontId="0" fillId="17" borderId="3" xfId="0" applyNumberFormat="1" applyFill="1" applyBorder="1" applyAlignment="1" applyProtection="1">
      <alignment horizontal="center" vertical="center"/>
    </xf>
    <xf numFmtId="165" fontId="10" fillId="17" borderId="3" xfId="0" applyNumberFormat="1" applyFont="1" applyFill="1" applyBorder="1" applyAlignment="1" applyProtection="1">
      <alignment horizontal="center" vertical="center"/>
    </xf>
    <xf numFmtId="1" fontId="12" fillId="17" borderId="21" xfId="0" applyNumberFormat="1" applyFont="1" applyFill="1" applyBorder="1" applyAlignment="1" applyProtection="1">
      <alignment horizontal="center" vertical="center"/>
    </xf>
    <xf numFmtId="1" fontId="12" fillId="17" borderId="18" xfId="0" applyNumberFormat="1" applyFont="1" applyFill="1" applyBorder="1" applyAlignment="1" applyProtection="1">
      <alignment horizontal="center" vertical="center"/>
    </xf>
    <xf numFmtId="165" fontId="0" fillId="17" borderId="14" xfId="0" applyNumberFormat="1" applyFill="1" applyBorder="1" applyAlignment="1" applyProtection="1">
      <alignment horizontal="center" vertical="center"/>
    </xf>
    <xf numFmtId="165" fontId="0" fillId="17" borderId="2" xfId="0" applyNumberFormat="1" applyFill="1" applyBorder="1" applyAlignment="1" applyProtection="1">
      <alignment horizontal="center" vertical="center"/>
    </xf>
    <xf numFmtId="165" fontId="10" fillId="17" borderId="29" xfId="0" applyNumberFormat="1" applyFont="1" applyFill="1" applyBorder="1" applyAlignment="1" applyProtection="1">
      <alignment horizontal="center" vertical="center"/>
    </xf>
    <xf numFmtId="165" fontId="10" fillId="17" borderId="19" xfId="0" applyNumberFormat="1" applyFont="1" applyFill="1" applyBorder="1" applyAlignment="1" applyProtection="1">
      <alignment horizontal="center" vertical="center"/>
    </xf>
    <xf numFmtId="165" fontId="0" fillId="17" borderId="18" xfId="0" applyNumberFormat="1" applyFill="1" applyBorder="1" applyAlignment="1" applyProtection="1">
      <alignment horizontal="center" vertical="center"/>
    </xf>
    <xf numFmtId="0" fontId="75" fillId="18" borderId="31" xfId="0" applyFont="1" applyFill="1" applyBorder="1" applyAlignment="1" applyProtection="1">
      <alignment horizontal="center" vertical="center"/>
    </xf>
    <xf numFmtId="0" fontId="0" fillId="18" borderId="29" xfId="0" applyFill="1" applyBorder="1" applyAlignment="1" applyProtection="1">
      <alignment horizontal="center" vertical="center"/>
    </xf>
    <xf numFmtId="3" fontId="10" fillId="14" borderId="0" xfId="0" applyNumberFormat="1" applyFont="1" applyFill="1" applyBorder="1" applyAlignment="1" applyProtection="1">
      <alignment vertical="center"/>
    </xf>
    <xf numFmtId="165" fontId="15" fillId="2" borderId="11" xfId="3" applyNumberFormat="1" applyFont="1" applyFill="1" applyBorder="1" applyAlignment="1" applyProtection="1">
      <alignment horizontal="center" vertical="top"/>
      <protection hidden="1"/>
    </xf>
    <xf numFmtId="0" fontId="12" fillId="2" borderId="6" xfId="0" applyFont="1" applyFill="1" applyBorder="1"/>
    <xf numFmtId="0" fontId="10" fillId="2" borderId="6" xfId="0" applyFont="1" applyFill="1" applyBorder="1" applyAlignment="1">
      <alignment wrapText="1"/>
    </xf>
    <xf numFmtId="165" fontId="9" fillId="2" borderId="0" xfId="3" applyNumberFormat="1" applyFill="1" applyBorder="1" applyAlignment="1" applyProtection="1">
      <alignment horizontal="center" vertical="top"/>
      <protection hidden="1"/>
    </xf>
    <xf numFmtId="0" fontId="9" fillId="0" borderId="2" xfId="3" applyBorder="1" applyAlignment="1" applyProtection="1">
      <alignment wrapText="1"/>
    </xf>
    <xf numFmtId="164" fontId="26" fillId="0" borderId="1" xfId="8" applyNumberFormat="1" applyFont="1" applyFill="1" applyBorder="1" applyAlignment="1" applyProtection="1"/>
    <xf numFmtId="0" fontId="10" fillId="0" borderId="0" xfId="6" applyNumberFormat="1" applyFont="1" applyProtection="1">
      <alignment horizontal="left"/>
    </xf>
    <xf numFmtId="0" fontId="3" fillId="0" borderId="0" xfId="6" applyNumberFormat="1" applyProtection="1">
      <alignment horizontal="left"/>
    </xf>
    <xf numFmtId="0" fontId="37" fillId="0" borderId="0" xfId="0" applyFont="1"/>
    <xf numFmtId="0" fontId="9" fillId="0" borderId="6" xfId="3" applyFont="1" applyBorder="1" applyAlignment="1" applyProtection="1">
      <alignment horizontal="left" vertical="top" wrapText="1"/>
    </xf>
    <xf numFmtId="0" fontId="20" fillId="11" borderId="22" xfId="5" applyFont="1" applyFill="1" applyBorder="1" applyAlignment="1">
      <alignment horizontal="center"/>
    </xf>
    <xf numFmtId="0" fontId="0" fillId="14" borderId="0" xfId="0" applyFill="1"/>
    <xf numFmtId="0" fontId="79" fillId="14" borderId="0" xfId="0" applyFont="1" applyFill="1" applyBorder="1" applyAlignment="1">
      <alignment horizontal="left" vertical="center" wrapText="1"/>
    </xf>
    <xf numFmtId="0" fontId="80" fillId="15" borderId="30" xfId="0" applyFont="1" applyFill="1" applyBorder="1" applyAlignment="1">
      <alignment vertical="center"/>
    </xf>
    <xf numFmtId="0" fontId="80" fillId="15" borderId="39" xfId="0" applyFont="1" applyFill="1" applyBorder="1" applyAlignment="1">
      <alignment vertical="center"/>
    </xf>
    <xf numFmtId="0" fontId="81" fillId="14" borderId="2" xfId="0" applyFont="1" applyFill="1" applyBorder="1" applyAlignment="1">
      <alignment vertical="center"/>
    </xf>
    <xf numFmtId="14" fontId="0" fillId="14" borderId="2" xfId="0" applyNumberFormat="1" applyFill="1" applyBorder="1" applyAlignment="1">
      <alignment vertical="center"/>
    </xf>
    <xf numFmtId="167" fontId="77" fillId="0" borderId="0" xfId="10" applyNumberFormat="1" applyFont="1" applyAlignment="1">
      <alignment wrapText="1"/>
    </xf>
    <xf numFmtId="0" fontId="77" fillId="0" borderId="0" xfId="11" applyFont="1" applyAlignment="1">
      <alignment wrapText="1"/>
    </xf>
    <xf numFmtId="0" fontId="77" fillId="0" borderId="0" xfId="11" applyFont="1" applyAlignment="1"/>
    <xf numFmtId="0" fontId="2" fillId="0" borderId="0" xfId="11"/>
    <xf numFmtId="0" fontId="2" fillId="0" borderId="0" xfId="11" applyAlignment="1"/>
    <xf numFmtId="167" fontId="0" fillId="0" borderId="0" xfId="10" applyNumberFormat="1" applyFont="1"/>
    <xf numFmtId="0" fontId="83" fillId="14" borderId="0" xfId="0" applyFont="1" applyFill="1"/>
    <xf numFmtId="3" fontId="0" fillId="0" borderId="0" xfId="0" applyNumberFormat="1"/>
    <xf numFmtId="0" fontId="70" fillId="0" borderId="0" xfId="0" applyFont="1"/>
    <xf numFmtId="3" fontId="10" fillId="0" borderId="71" xfId="0" applyNumberFormat="1" applyFont="1" applyFill="1" applyBorder="1" applyAlignment="1" applyProtection="1">
      <alignment vertical="center"/>
    </xf>
    <xf numFmtId="0" fontId="0" fillId="0" borderId="0" xfId="0" applyFill="1" applyBorder="1"/>
    <xf numFmtId="0" fontId="0" fillId="0" borderId="0" xfId="0" applyAlignment="1"/>
    <xf numFmtId="0" fontId="77" fillId="14" borderId="46" xfId="0" applyFont="1" applyFill="1" applyBorder="1" applyAlignment="1">
      <alignment horizontal="right" vertical="center"/>
    </xf>
    <xf numFmtId="0" fontId="77" fillId="14" borderId="0" xfId="0" applyFont="1" applyFill="1" applyBorder="1" applyAlignment="1">
      <alignment horizontal="right" vertical="center"/>
    </xf>
    <xf numFmtId="0" fontId="0" fillId="14" borderId="0" xfId="0" applyFill="1" applyBorder="1" applyAlignment="1">
      <alignment horizontal="left" vertical="top" wrapText="1"/>
    </xf>
    <xf numFmtId="0" fontId="0" fillId="14" borderId="25" xfId="0" applyFill="1" applyBorder="1" applyAlignment="1">
      <alignment horizontal="left" vertical="top" wrapText="1"/>
    </xf>
    <xf numFmtId="0" fontId="20" fillId="0" borderId="1" xfId="5" applyFont="1" applyFill="1" applyBorder="1" applyAlignment="1">
      <alignment horizontal="right" wrapText="1"/>
    </xf>
    <xf numFmtId="0" fontId="0" fillId="0" borderId="1" xfId="0" applyBorder="1"/>
    <xf numFmtId="0" fontId="9" fillId="0" borderId="0" xfId="3" applyAlignment="1" applyProtection="1"/>
    <xf numFmtId="0" fontId="10" fillId="0" borderId="0" xfId="6" applyFont="1" applyFill="1" applyProtection="1">
      <alignment horizontal="left"/>
    </xf>
    <xf numFmtId="1" fontId="22" fillId="0" borderId="0" xfId="6" applyNumberFormat="1" applyFont="1" applyFill="1" applyAlignment="1" applyProtection="1">
      <alignment horizontal="left"/>
    </xf>
    <xf numFmtId="164" fontId="10" fillId="0" borderId="0" xfId="6" applyNumberFormat="1" applyFont="1" applyFill="1" applyProtection="1">
      <alignment horizontal="left"/>
    </xf>
    <xf numFmtId="0" fontId="10" fillId="0" borderId="0" xfId="6" applyFont="1" applyFill="1" applyAlignment="1" applyProtection="1">
      <alignment horizontal="left" wrapText="1"/>
    </xf>
    <xf numFmtId="0" fontId="10" fillId="0" borderId="0" xfId="6" applyNumberFormat="1" applyFont="1" applyFill="1" applyAlignment="1" applyProtection="1">
      <alignment horizontal="left" wrapText="1"/>
    </xf>
    <xf numFmtId="164" fontId="10" fillId="0" borderId="0" xfId="6" applyNumberFormat="1" applyFont="1" applyFill="1" applyAlignment="1" applyProtection="1">
      <alignment horizontal="left" wrapText="1"/>
    </xf>
    <xf numFmtId="0" fontId="3" fillId="0" borderId="0" xfId="0" applyFont="1"/>
    <xf numFmtId="0" fontId="87" fillId="0" borderId="0" xfId="12"/>
    <xf numFmtId="171" fontId="87" fillId="0" borderId="0" xfId="12" applyNumberFormat="1" applyFont="1"/>
    <xf numFmtId="167" fontId="87" fillId="0" borderId="0" xfId="13" applyNumberFormat="1" applyFont="1"/>
    <xf numFmtId="0" fontId="87" fillId="0" borderId="0" xfId="12" applyAlignment="1">
      <alignment wrapText="1"/>
    </xf>
    <xf numFmtId="14" fontId="87" fillId="0" borderId="0" xfId="12" applyNumberFormat="1"/>
    <xf numFmtId="0" fontId="3" fillId="2" borderId="3" xfId="0" applyFont="1" applyFill="1" applyBorder="1" applyAlignment="1" applyProtection="1">
      <alignment horizontal="center" vertical="center"/>
      <protection locked="0"/>
    </xf>
    <xf numFmtId="0" fontId="3" fillId="2" borderId="0" xfId="0" applyFont="1" applyFill="1" applyBorder="1" applyProtection="1"/>
    <xf numFmtId="0" fontId="0" fillId="0" borderId="0" xfId="0" applyFill="1"/>
    <xf numFmtId="0" fontId="71" fillId="2" borderId="0" xfId="0" applyFont="1" applyFill="1" applyBorder="1" applyAlignment="1" applyProtection="1">
      <alignment horizontal="left" vertical="center" wrapText="1"/>
    </xf>
    <xf numFmtId="0" fontId="0" fillId="0" borderId="0" xfId="0" applyAlignment="1"/>
    <xf numFmtId="0" fontId="13" fillId="14" borderId="0" xfId="0" applyFont="1" applyFill="1" applyBorder="1" applyAlignment="1" applyProtection="1">
      <alignment vertical="center" wrapText="1"/>
    </xf>
    <xf numFmtId="0" fontId="0" fillId="0" borderId="3" xfId="0" applyFill="1" applyBorder="1"/>
    <xf numFmtId="0" fontId="10" fillId="15" borderId="3" xfId="0" applyFont="1" applyFill="1" applyBorder="1"/>
    <xf numFmtId="0" fontId="10" fillId="0" borderId="3" xfId="0" applyFont="1" applyFill="1" applyBorder="1" applyAlignment="1">
      <alignment wrapText="1"/>
    </xf>
    <xf numFmtId="0" fontId="9" fillId="15" borderId="3" xfId="3" applyFill="1" applyBorder="1" applyAlignment="1" applyProtection="1"/>
    <xf numFmtId="0" fontId="10" fillId="0" borderId="3" xfId="0" applyFont="1" applyBorder="1"/>
    <xf numFmtId="0" fontId="3" fillId="0" borderId="3" xfId="0" applyFont="1" applyBorder="1"/>
    <xf numFmtId="0" fontId="0" fillId="0" borderId="3" xfId="0" applyBorder="1"/>
    <xf numFmtId="0" fontId="9" fillId="15" borderId="3" xfId="3" applyFill="1" applyBorder="1" applyAlignment="1" applyProtection="1">
      <alignment horizontal="right"/>
    </xf>
    <xf numFmtId="0" fontId="3" fillId="0" borderId="3" xfId="0" applyFont="1" applyFill="1" applyBorder="1"/>
    <xf numFmtId="0" fontId="10" fillId="15" borderId="3" xfId="0" applyFont="1" applyFill="1" applyBorder="1" applyAlignment="1">
      <alignment horizontal="center"/>
    </xf>
    <xf numFmtId="0" fontId="3" fillId="0" borderId="3" xfId="0" applyFont="1" applyBorder="1" applyAlignment="1">
      <alignment wrapText="1"/>
    </xf>
    <xf numFmtId="0" fontId="10" fillId="15" borderId="3" xfId="0" applyFont="1" applyFill="1" applyBorder="1" applyAlignment="1">
      <alignment wrapText="1"/>
    </xf>
    <xf numFmtId="44" fontId="0" fillId="0" borderId="3" xfId="2" applyFont="1" applyBorder="1"/>
    <xf numFmtId="0" fontId="0" fillId="0" borderId="0" xfId="0" applyAlignment="1"/>
    <xf numFmtId="0" fontId="13" fillId="14" borderId="0" xfId="0" applyFont="1" applyFill="1" applyBorder="1" applyAlignment="1" applyProtection="1">
      <alignment vertical="center" wrapText="1"/>
    </xf>
    <xf numFmtId="0" fontId="10" fillId="15" borderId="3" xfId="0" applyFont="1" applyFill="1" applyBorder="1" applyAlignment="1">
      <alignment horizontal="center" wrapText="1"/>
    </xf>
    <xf numFmtId="0" fontId="3" fillId="2" borderId="3" xfId="0" applyFont="1" applyFill="1" applyBorder="1" applyAlignment="1" applyProtection="1">
      <alignment horizontal="left" vertical="center" shrinkToFit="1"/>
      <protection locked="0"/>
    </xf>
    <xf numFmtId="0" fontId="0" fillId="2" borderId="0" xfId="0" applyFill="1" applyAlignment="1" applyProtection="1">
      <alignment vertical="center"/>
    </xf>
    <xf numFmtId="0" fontId="10" fillId="18" borderId="3" xfId="0" applyFont="1" applyFill="1" applyBorder="1"/>
    <xf numFmtId="0" fontId="13" fillId="14" borderId="12" xfId="0" applyFont="1" applyFill="1" applyBorder="1" applyAlignment="1" applyProtection="1">
      <alignment vertical="center" wrapText="1"/>
    </xf>
    <xf numFmtId="0" fontId="10" fillId="15" borderId="3" xfId="0" applyFont="1" applyFill="1" applyBorder="1" applyAlignment="1">
      <alignment horizontal="center" vertical="center" wrapText="1"/>
    </xf>
    <xf numFmtId="44" fontId="0" fillId="15" borderId="3" xfId="0" applyNumberFormat="1" applyFill="1" applyBorder="1" applyAlignment="1">
      <alignment horizontal="center"/>
    </xf>
    <xf numFmtId="166" fontId="3" fillId="0" borderId="3" xfId="2" applyNumberFormat="1" applyFont="1" applyBorder="1" applyAlignment="1">
      <alignment horizontal="center"/>
    </xf>
    <xf numFmtId="166" fontId="0" fillId="0" borderId="3" xfId="2" applyNumberFormat="1" applyFont="1" applyFill="1" applyBorder="1"/>
    <xf numFmtId="166" fontId="0" fillId="0" borderId="3" xfId="2" applyNumberFormat="1" applyFont="1" applyBorder="1"/>
    <xf numFmtId="172" fontId="0" fillId="15" borderId="3" xfId="9" applyNumberFormat="1" applyFont="1" applyFill="1" applyBorder="1" applyAlignment="1">
      <alignment horizontal="center"/>
    </xf>
    <xf numFmtId="167" fontId="0" fillId="0" borderId="3" xfId="1" applyNumberFormat="1" applyFont="1" applyBorder="1"/>
    <xf numFmtId="43" fontId="0" fillId="0" borderId="3" xfId="1" applyFont="1" applyFill="1" applyBorder="1"/>
    <xf numFmtId="166" fontId="0" fillId="0" borderId="3" xfId="0" applyNumberFormat="1" applyBorder="1"/>
    <xf numFmtId="172" fontId="0" fillId="15" borderId="3" xfId="9" applyNumberFormat="1" applyFont="1" applyFill="1" applyBorder="1"/>
    <xf numFmtId="0" fontId="3" fillId="0" borderId="0" xfId="0" applyFont="1" applyBorder="1" applyAlignment="1">
      <alignment horizontal="left" vertical="top"/>
    </xf>
    <xf numFmtId="0" fontId="89" fillId="2" borderId="0" xfId="0" applyFont="1" applyFill="1" applyAlignment="1" applyProtection="1">
      <alignment vertical="center"/>
    </xf>
    <xf numFmtId="0" fontId="3" fillId="2" borderId="3" xfId="0" applyFont="1" applyFill="1" applyBorder="1" applyAlignment="1" applyProtection="1">
      <alignment horizontal="left" vertical="center" wrapText="1" shrinkToFit="1"/>
      <protection locked="0"/>
    </xf>
    <xf numFmtId="165" fontId="3" fillId="2" borderId="18" xfId="0" applyNumberFormat="1" applyFont="1" applyFill="1" applyBorder="1" applyAlignment="1" applyProtection="1">
      <alignment horizontal="left" vertical="center" wrapText="1" shrinkToFit="1"/>
      <protection locked="0"/>
    </xf>
    <xf numFmtId="0" fontId="12" fillId="2" borderId="3" xfId="0" applyFont="1" applyFill="1" applyBorder="1" applyAlignment="1" applyProtection="1">
      <alignment horizontal="left" vertical="center" wrapText="1" shrinkToFit="1"/>
      <protection locked="0"/>
    </xf>
    <xf numFmtId="0" fontId="3" fillId="2" borderId="18" xfId="0" applyFont="1" applyFill="1" applyBorder="1" applyAlignment="1" applyProtection="1">
      <alignment horizontal="left" vertical="center" wrapText="1" shrinkToFit="1"/>
      <protection locked="0"/>
    </xf>
    <xf numFmtId="0" fontId="0" fillId="2" borderId="3" xfId="0" applyFill="1" applyBorder="1" applyAlignment="1" applyProtection="1">
      <alignment horizontal="left" vertical="center" wrapText="1" shrinkToFit="1"/>
      <protection locked="0"/>
    </xf>
    <xf numFmtId="0" fontId="3" fillId="2" borderId="18" xfId="0" applyFont="1" applyFill="1" applyBorder="1" applyAlignment="1" applyProtection="1">
      <alignment horizontal="center" vertical="center" wrapText="1"/>
      <protection locked="0"/>
    </xf>
    <xf numFmtId="0" fontId="0" fillId="2" borderId="18" xfId="0" applyFill="1" applyBorder="1" applyAlignment="1" applyProtection="1">
      <alignment horizontal="center" vertical="center" wrapText="1"/>
      <protection locked="0"/>
    </xf>
    <xf numFmtId="0" fontId="10" fillId="21" borderId="0" xfId="6" applyFont="1" applyFill="1" applyProtection="1">
      <alignment horizontal="left"/>
    </xf>
    <xf numFmtId="0" fontId="9" fillId="0" borderId="0" xfId="3" applyAlignment="1" applyProtection="1"/>
    <xf numFmtId="0" fontId="20" fillId="11" borderId="72" xfId="5" applyFont="1" applyFill="1" applyBorder="1" applyAlignment="1">
      <alignment horizontal="center"/>
    </xf>
    <xf numFmtId="3" fontId="87" fillId="0" borderId="0" xfId="12" applyNumberFormat="1"/>
    <xf numFmtId="0" fontId="12" fillId="2" borderId="0" xfId="0" applyFont="1" applyFill="1" applyAlignment="1">
      <alignment horizontal="left" vertical="top" wrapText="1"/>
    </xf>
    <xf numFmtId="0" fontId="0" fillId="0" borderId="0" xfId="0" applyAlignment="1">
      <alignment horizontal="left" vertical="top" wrapText="1"/>
    </xf>
    <xf numFmtId="0" fontId="9" fillId="0" borderId="0" xfId="3" applyAlignment="1" applyProtection="1"/>
    <xf numFmtId="0" fontId="11" fillId="4" borderId="3" xfId="0" applyFont="1" applyFill="1" applyBorder="1" applyAlignment="1">
      <alignment horizontal="center" wrapText="1"/>
    </xf>
    <xf numFmtId="0" fontId="9" fillId="0" borderId="0" xfId="3" applyAlignment="1" applyProtection="1">
      <alignment horizontal="center"/>
    </xf>
    <xf numFmtId="0" fontId="20" fillId="2" borderId="0" xfId="0" applyFont="1" applyFill="1" applyAlignment="1">
      <alignment horizontal="left" vertical="top" wrapText="1"/>
    </xf>
    <xf numFmtId="0" fontId="20" fillId="2" borderId="0" xfId="3" applyFont="1" applyFill="1" applyAlignment="1" applyProtection="1">
      <alignment horizontal="left" vertical="top" wrapText="1"/>
    </xf>
    <xf numFmtId="0" fontId="3" fillId="2" borderId="0" xfId="0" applyFont="1" applyFill="1" applyAlignment="1">
      <alignment horizontal="left" vertical="top" wrapText="1"/>
    </xf>
    <xf numFmtId="0" fontId="12" fillId="12" borderId="0" xfId="0" applyFont="1" applyFill="1" applyAlignment="1">
      <alignment horizontal="left" vertical="top" wrapText="1"/>
    </xf>
    <xf numFmtId="0" fontId="12" fillId="0" borderId="0" xfId="0" applyFont="1" applyAlignment="1">
      <alignment horizontal="left" vertical="top" wrapText="1"/>
    </xf>
    <xf numFmtId="0" fontId="85" fillId="2" borderId="0" xfId="0" applyFont="1" applyFill="1" applyAlignment="1">
      <alignment horizontal="center" vertical="center"/>
    </xf>
    <xf numFmtId="0" fontId="86" fillId="2" borderId="0" xfId="0" applyFont="1" applyFill="1" applyAlignment="1">
      <alignment horizontal="center"/>
    </xf>
    <xf numFmtId="0" fontId="45" fillId="2" borderId="0" xfId="0" applyFont="1" applyFill="1" applyAlignment="1">
      <alignment horizontal="center"/>
    </xf>
    <xf numFmtId="0" fontId="46" fillId="2" borderId="0" xfId="0" applyFont="1" applyFill="1" applyAlignment="1">
      <alignment horizontal="center"/>
    </xf>
    <xf numFmtId="0" fontId="12" fillId="4" borderId="0" xfId="0" applyFont="1" applyFill="1" applyAlignment="1">
      <alignment horizontal="left" vertical="top" wrapText="1"/>
    </xf>
    <xf numFmtId="49" fontId="10" fillId="2" borderId="2" xfId="0" applyNumberFormat="1" applyFont="1" applyFill="1" applyBorder="1" applyAlignment="1" applyProtection="1">
      <alignment horizontal="left" vertical="center" wrapText="1"/>
    </xf>
    <xf numFmtId="49" fontId="10" fillId="2" borderId="6" xfId="0" applyNumberFormat="1" applyFont="1" applyFill="1" applyBorder="1" applyAlignment="1" applyProtection="1">
      <alignment horizontal="left" vertical="center" wrapText="1"/>
    </xf>
    <xf numFmtId="49" fontId="10" fillId="2" borderId="18" xfId="0" applyNumberFormat="1" applyFont="1" applyFill="1" applyBorder="1" applyAlignment="1" applyProtection="1">
      <alignment horizontal="left" vertical="center" wrapText="1"/>
    </xf>
    <xf numFmtId="166" fontId="10" fillId="14" borderId="2" xfId="0" applyNumberFormat="1" applyFont="1" applyFill="1" applyBorder="1" applyAlignment="1" applyProtection="1">
      <alignment horizontal="right" vertical="center"/>
      <protection locked="0"/>
    </xf>
    <xf numFmtId="166" fontId="10" fillId="14" borderId="18" xfId="0" applyNumberFormat="1" applyFont="1" applyFill="1" applyBorder="1" applyAlignment="1" applyProtection="1">
      <alignment horizontal="right" vertical="center"/>
      <protection locked="0"/>
    </xf>
    <xf numFmtId="49" fontId="12" fillId="2" borderId="2" xfId="0" applyNumberFormat="1" applyFont="1" applyFill="1" applyBorder="1" applyAlignment="1" applyProtection="1">
      <alignment horizontal="left" vertical="center" wrapText="1"/>
    </xf>
    <xf numFmtId="49" fontId="0" fillId="2" borderId="6" xfId="0" applyNumberFormat="1" applyFill="1" applyBorder="1" applyAlignment="1" applyProtection="1">
      <alignment horizontal="left" vertical="center" wrapText="1"/>
    </xf>
    <xf numFmtId="49" fontId="0" fillId="2" borderId="18" xfId="0" applyNumberFormat="1" applyFill="1" applyBorder="1" applyAlignment="1" applyProtection="1">
      <alignment horizontal="left" vertical="center" wrapText="1"/>
    </xf>
    <xf numFmtId="166" fontId="12" fillId="14" borderId="2" xfId="0" applyNumberFormat="1" applyFont="1" applyFill="1" applyBorder="1" applyAlignment="1" applyProtection="1">
      <alignment horizontal="right" vertical="center"/>
      <protection locked="0"/>
    </xf>
    <xf numFmtId="166" fontId="12" fillId="14" borderId="18" xfId="0" applyNumberFormat="1" applyFont="1" applyFill="1" applyBorder="1" applyAlignment="1" applyProtection="1">
      <alignment horizontal="right" vertical="center"/>
      <protection locked="0"/>
    </xf>
    <xf numFmtId="0" fontId="68" fillId="6" borderId="11" xfId="0" applyFont="1" applyFill="1" applyBorder="1" applyAlignment="1" applyProtection="1">
      <alignment horizontal="center" vertical="center" textRotation="180" wrapText="1"/>
    </xf>
    <xf numFmtId="0" fontId="68" fillId="6" borderId="17" xfId="0" applyFont="1" applyFill="1" applyBorder="1" applyAlignment="1" applyProtection="1">
      <alignment horizontal="center" vertical="center" textRotation="180"/>
    </xf>
    <xf numFmtId="0" fontId="68" fillId="6" borderId="14" xfId="0" applyFont="1" applyFill="1" applyBorder="1" applyAlignment="1" applyProtection="1">
      <alignment horizontal="center" vertical="center" textRotation="180"/>
    </xf>
    <xf numFmtId="0" fontId="68" fillId="6" borderId="21" xfId="0" applyFont="1" applyFill="1" applyBorder="1" applyAlignment="1" applyProtection="1">
      <alignment horizontal="center" vertical="center" textRotation="180"/>
    </xf>
    <xf numFmtId="49" fontId="12" fillId="2" borderId="6" xfId="0" applyNumberFormat="1" applyFont="1" applyFill="1" applyBorder="1" applyAlignment="1" applyProtection="1">
      <alignment horizontal="left" vertical="center" wrapText="1"/>
    </xf>
    <xf numFmtId="166" fontId="0" fillId="16" borderId="2" xfId="0" applyNumberFormat="1" applyFill="1" applyBorder="1" applyAlignment="1" applyProtection="1">
      <alignment horizontal="right" vertical="center"/>
      <protection locked="0"/>
    </xf>
    <xf numFmtId="166" fontId="0" fillId="16" borderId="18" xfId="0" applyNumberFormat="1" applyFill="1" applyBorder="1" applyAlignment="1" applyProtection="1">
      <alignment horizontal="right" vertical="center"/>
      <protection locked="0"/>
    </xf>
    <xf numFmtId="49" fontId="0" fillId="2" borderId="2" xfId="0" applyNumberFormat="1" applyFill="1" applyBorder="1" applyAlignment="1" applyProtection="1">
      <alignment horizontal="left" vertical="center" wrapText="1"/>
    </xf>
    <xf numFmtId="49" fontId="12" fillId="2" borderId="18" xfId="0" applyNumberFormat="1" applyFont="1" applyFill="1" applyBorder="1" applyAlignment="1" applyProtection="1">
      <alignment horizontal="left" vertical="center" wrapText="1"/>
    </xf>
    <xf numFmtId="166" fontId="26" fillId="3" borderId="2" xfId="0" applyNumberFormat="1" applyFont="1" applyFill="1" applyBorder="1" applyAlignment="1" applyProtection="1">
      <alignment horizontal="right" vertical="center"/>
    </xf>
    <xf numFmtId="166" fontId="26" fillId="3" borderId="18" xfId="0" applyNumberFormat="1" applyFont="1" applyFill="1" applyBorder="1" applyAlignment="1" applyProtection="1">
      <alignment horizontal="right" vertical="center"/>
    </xf>
    <xf numFmtId="0" fontId="58" fillId="5" borderId="12" xfId="0" applyFont="1" applyFill="1" applyBorder="1" applyAlignment="1" applyProtection="1">
      <alignment vertical="center" wrapText="1"/>
      <protection locked="0"/>
    </xf>
    <xf numFmtId="0" fontId="58" fillId="5" borderId="0" xfId="0" applyFont="1" applyFill="1" applyBorder="1" applyAlignment="1" applyProtection="1">
      <alignment vertical="center" wrapText="1"/>
      <protection locked="0"/>
    </xf>
    <xf numFmtId="0" fontId="58" fillId="5" borderId="15" xfId="0" applyFont="1" applyFill="1" applyBorder="1" applyAlignment="1" applyProtection="1">
      <alignment vertical="center" wrapText="1"/>
      <protection locked="0"/>
    </xf>
    <xf numFmtId="165" fontId="10" fillId="0" borderId="2" xfId="0" applyNumberFormat="1" applyFont="1" applyFill="1" applyBorder="1" applyAlignment="1" applyProtection="1">
      <alignment horizontal="left" vertical="center" wrapText="1"/>
    </xf>
    <xf numFmtId="165" fontId="10" fillId="0" borderId="6" xfId="0" applyNumberFormat="1" applyFont="1" applyFill="1" applyBorder="1" applyAlignment="1" applyProtection="1">
      <alignment horizontal="left" vertical="center" wrapText="1"/>
    </xf>
    <xf numFmtId="165" fontId="10" fillId="0" borderId="18" xfId="0" applyNumberFormat="1" applyFont="1" applyFill="1" applyBorder="1" applyAlignment="1" applyProtection="1">
      <alignment horizontal="left" vertical="center" wrapText="1"/>
    </xf>
    <xf numFmtId="0" fontId="0" fillId="2" borderId="21" xfId="0" applyNumberFormat="1" applyFill="1" applyBorder="1" applyAlignment="1" applyProtection="1">
      <alignment horizontal="left" vertical="center" wrapText="1"/>
    </xf>
    <xf numFmtId="0" fontId="0" fillId="2" borderId="29" xfId="0" applyNumberFormat="1" applyFill="1" applyBorder="1" applyAlignment="1" applyProtection="1">
      <alignment horizontal="left" vertical="center" wrapText="1"/>
    </xf>
    <xf numFmtId="1" fontId="12" fillId="2" borderId="14" xfId="0" applyNumberFormat="1" applyFont="1" applyFill="1" applyBorder="1" applyAlignment="1" applyProtection="1">
      <alignment horizontal="center" vertical="center" wrapText="1"/>
      <protection locked="0"/>
    </xf>
    <xf numFmtId="0" fontId="12" fillId="0" borderId="21" xfId="0" applyFont="1" applyBorder="1" applyAlignment="1" applyProtection="1">
      <alignment horizontal="center" vertical="center" wrapText="1"/>
      <protection locked="0"/>
    </xf>
    <xf numFmtId="3" fontId="0" fillId="0" borderId="2" xfId="0" applyNumberFormat="1" applyFill="1" applyBorder="1" applyAlignment="1" applyProtection="1">
      <alignment horizontal="right" vertical="center"/>
      <protection locked="0"/>
    </xf>
    <xf numFmtId="3" fontId="0" fillId="0" borderId="18" xfId="0" applyNumberFormat="1" applyFill="1" applyBorder="1" applyAlignment="1" applyProtection="1">
      <alignment horizontal="right" vertical="center"/>
      <protection locked="0"/>
    </xf>
    <xf numFmtId="0" fontId="14" fillId="5" borderId="11" xfId="0" applyFont="1" applyFill="1" applyBorder="1" applyAlignment="1">
      <alignment horizontal="center" vertical="center" wrapText="1"/>
    </xf>
    <xf numFmtId="0" fontId="14" fillId="5" borderId="16" xfId="0" applyFont="1" applyFill="1" applyBorder="1" applyAlignment="1">
      <alignment horizontal="center" vertical="center" wrapText="1"/>
    </xf>
    <xf numFmtId="0" fontId="14" fillId="5" borderId="17"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0" xfId="0" applyFont="1" applyFill="1" applyBorder="1" applyAlignment="1">
      <alignment horizontal="center" vertical="center" wrapText="1"/>
    </xf>
    <xf numFmtId="0" fontId="14" fillId="5" borderId="15" xfId="0" applyFont="1" applyFill="1" applyBorder="1" applyAlignment="1">
      <alignment horizontal="center" vertical="center" wrapText="1"/>
    </xf>
    <xf numFmtId="1" fontId="12" fillId="2" borderId="2" xfId="0" applyNumberFormat="1" applyFont="1" applyFill="1" applyBorder="1" applyAlignment="1" applyProtection="1">
      <alignment horizontal="left" vertical="center" wrapText="1"/>
      <protection locked="0"/>
    </xf>
    <xf numFmtId="1" fontId="12" fillId="2" borderId="6" xfId="0" applyNumberFormat="1" applyFont="1" applyFill="1" applyBorder="1" applyAlignment="1" applyProtection="1">
      <alignment horizontal="left" vertical="center" wrapText="1"/>
      <protection locked="0"/>
    </xf>
    <xf numFmtId="1" fontId="12" fillId="2" borderId="18" xfId="0" applyNumberFormat="1" applyFont="1" applyFill="1" applyBorder="1" applyAlignment="1" applyProtection="1">
      <alignment horizontal="left" vertical="center" wrapText="1"/>
      <protection locked="0"/>
    </xf>
    <xf numFmtId="0" fontId="0" fillId="2" borderId="18" xfId="0" applyNumberFormat="1" applyFill="1" applyBorder="1" applyAlignment="1" applyProtection="1">
      <alignment horizontal="left" vertical="center" wrapText="1"/>
    </xf>
    <xf numFmtId="0" fontId="0" fillId="2" borderId="3" xfId="0" applyNumberFormat="1" applyFill="1" applyBorder="1" applyAlignment="1" applyProtection="1">
      <alignment horizontal="left" vertical="center" wrapText="1"/>
    </xf>
    <xf numFmtId="49" fontId="8" fillId="4" borderId="0" xfId="0" applyNumberFormat="1" applyFont="1" applyFill="1" applyBorder="1" applyAlignment="1" applyProtection="1">
      <alignment horizontal="left" vertical="center" wrapText="1"/>
    </xf>
    <xf numFmtId="0" fontId="8" fillId="3" borderId="0" xfId="0" applyFont="1" applyFill="1" applyBorder="1" applyAlignment="1" applyProtection="1">
      <alignment horizontal="left" vertical="center"/>
    </xf>
    <xf numFmtId="0" fontId="7" fillId="3" borderId="0" xfId="0" applyNumberFormat="1" applyFont="1" applyFill="1" applyBorder="1" applyAlignment="1" applyProtection="1">
      <alignment horizontal="center" vertical="center" wrapText="1"/>
    </xf>
    <xf numFmtId="0" fontId="7" fillId="3" borderId="13" xfId="0" applyNumberFormat="1" applyFont="1" applyFill="1" applyBorder="1" applyAlignment="1" applyProtection="1">
      <alignment horizontal="center" vertical="center" wrapText="1"/>
    </xf>
    <xf numFmtId="1" fontId="7" fillId="3" borderId="0" xfId="0" applyNumberFormat="1" applyFont="1" applyFill="1" applyBorder="1" applyAlignment="1" applyProtection="1">
      <alignment horizontal="center" vertical="center" wrapText="1"/>
    </xf>
    <xf numFmtId="0" fontId="7" fillId="3" borderId="3" xfId="0" applyNumberFormat="1" applyFont="1" applyFill="1" applyBorder="1" applyAlignment="1" applyProtection="1">
      <alignment horizontal="center" vertical="center" wrapText="1"/>
    </xf>
    <xf numFmtId="0" fontId="8" fillId="3" borderId="11" xfId="0" applyFont="1" applyFill="1" applyBorder="1" applyAlignment="1" applyProtection="1">
      <alignment horizontal="left" vertical="center"/>
    </xf>
    <xf numFmtId="0" fontId="8" fillId="3" borderId="16" xfId="0" applyFont="1" applyFill="1" applyBorder="1" applyAlignment="1" applyProtection="1">
      <alignment horizontal="left" vertical="center"/>
    </xf>
    <xf numFmtId="0" fontId="8" fillId="3" borderId="17" xfId="0" applyFont="1" applyFill="1" applyBorder="1" applyAlignment="1" applyProtection="1">
      <alignment horizontal="left" vertical="center"/>
    </xf>
    <xf numFmtId="0" fontId="10" fillId="2" borderId="18" xfId="0" applyNumberFormat="1" applyFont="1" applyFill="1" applyBorder="1" applyAlignment="1" applyProtection="1">
      <alignment horizontal="left" vertical="center" wrapText="1"/>
    </xf>
    <xf numFmtId="0" fontId="10" fillId="2" borderId="3" xfId="0" applyNumberFormat="1" applyFont="1" applyFill="1" applyBorder="1" applyAlignment="1" applyProtection="1">
      <alignment horizontal="left" vertical="center" wrapText="1"/>
    </xf>
    <xf numFmtId="1" fontId="11" fillId="5" borderId="11" xfId="0" applyNumberFormat="1" applyFont="1" applyFill="1" applyBorder="1" applyAlignment="1" applyProtection="1">
      <alignment horizontal="center" vertical="center"/>
    </xf>
    <xf numFmtId="1" fontId="11" fillId="5" borderId="16" xfId="0" applyNumberFormat="1" applyFont="1" applyFill="1" applyBorder="1" applyAlignment="1" applyProtection="1">
      <alignment horizontal="center" vertical="center"/>
    </xf>
    <xf numFmtId="1" fontId="11" fillId="5" borderId="17" xfId="0" applyNumberFormat="1" applyFont="1" applyFill="1" applyBorder="1" applyAlignment="1" applyProtection="1">
      <alignment horizontal="center" vertical="center"/>
    </xf>
    <xf numFmtId="167" fontId="10" fillId="3" borderId="3" xfId="0" applyNumberFormat="1" applyFont="1" applyFill="1" applyBorder="1" applyAlignment="1" applyProtection="1">
      <alignment horizontal="right" vertical="center"/>
    </xf>
    <xf numFmtId="1" fontId="11" fillId="5" borderId="12" xfId="0" applyNumberFormat="1" applyFont="1" applyFill="1" applyBorder="1" applyAlignment="1" applyProtection="1">
      <alignment horizontal="center" vertical="center"/>
    </xf>
    <xf numFmtId="1" fontId="11" fillId="5" borderId="0" xfId="0" applyNumberFormat="1" applyFont="1" applyFill="1" applyBorder="1" applyAlignment="1" applyProtection="1">
      <alignment horizontal="center" vertical="center"/>
    </xf>
    <xf numFmtId="1" fontId="11" fillId="5" borderId="15" xfId="0" applyNumberFormat="1" applyFont="1" applyFill="1" applyBorder="1" applyAlignment="1" applyProtection="1">
      <alignment horizontal="center" vertical="center"/>
    </xf>
    <xf numFmtId="0" fontId="10" fillId="2" borderId="16" xfId="0" applyNumberFormat="1" applyFont="1" applyFill="1" applyBorder="1" applyAlignment="1" applyProtection="1">
      <alignment horizontal="left" vertical="center" wrapText="1"/>
    </xf>
    <xf numFmtId="167" fontId="10" fillId="3" borderId="2" xfId="0" applyNumberFormat="1" applyFont="1" applyFill="1" applyBorder="1" applyAlignment="1" applyProtection="1">
      <alignment vertical="center"/>
    </xf>
    <xf numFmtId="167" fontId="10" fillId="3" borderId="18" xfId="0" applyNumberFormat="1" applyFont="1" applyFill="1" applyBorder="1" applyAlignment="1" applyProtection="1">
      <alignment vertical="center"/>
    </xf>
    <xf numFmtId="0" fontId="14" fillId="5" borderId="14"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21" xfId="0" applyFont="1" applyFill="1" applyBorder="1" applyAlignment="1">
      <alignment horizontal="center" vertical="center" wrapText="1"/>
    </xf>
    <xf numFmtId="3" fontId="3" fillId="2" borderId="2" xfId="0" applyNumberFormat="1" applyFont="1" applyFill="1" applyBorder="1" applyAlignment="1" applyProtection="1">
      <alignment horizontal="right" vertical="center"/>
      <protection locked="0"/>
    </xf>
    <xf numFmtId="3" fontId="3" fillId="2" borderId="18" xfId="0" applyNumberFormat="1" applyFont="1" applyFill="1" applyBorder="1" applyAlignment="1" applyProtection="1">
      <alignment horizontal="right" vertical="center"/>
      <protection locked="0"/>
    </xf>
    <xf numFmtId="0" fontId="8" fillId="3" borderId="14" xfId="0" applyFont="1" applyFill="1" applyBorder="1" applyAlignment="1" applyProtection="1">
      <alignment horizontal="center" vertical="center"/>
    </xf>
    <xf numFmtId="0" fontId="8" fillId="3" borderId="13" xfId="0" applyFont="1" applyFill="1" applyBorder="1" applyAlignment="1" applyProtection="1">
      <alignment horizontal="center" vertical="center"/>
    </xf>
    <xf numFmtId="0" fontId="8" fillId="3" borderId="21" xfId="0" applyFont="1" applyFill="1" applyBorder="1" applyAlignment="1" applyProtection="1">
      <alignment horizontal="center" vertical="center"/>
    </xf>
    <xf numFmtId="0" fontId="16" fillId="0" borderId="3" xfId="0" applyFont="1" applyBorder="1" applyAlignment="1">
      <alignment horizontal="center" vertical="center" wrapText="1"/>
    </xf>
    <xf numFmtId="0" fontId="16" fillId="0" borderId="13" xfId="0" applyFont="1" applyBorder="1" applyAlignment="1">
      <alignment horizontal="center" vertical="center" wrapText="1"/>
    </xf>
    <xf numFmtId="0" fontId="7" fillId="3" borderId="2" xfId="0" applyNumberFormat="1" applyFont="1" applyFill="1" applyBorder="1" applyAlignment="1" applyProtection="1">
      <alignment horizontal="center" vertical="center" wrapText="1"/>
    </xf>
    <xf numFmtId="0" fontId="7" fillId="3" borderId="6" xfId="0" applyNumberFormat="1" applyFont="1" applyFill="1" applyBorder="1" applyAlignment="1" applyProtection="1">
      <alignment horizontal="center" vertical="center" wrapText="1"/>
    </xf>
    <xf numFmtId="0" fontId="7" fillId="3" borderId="18" xfId="0" applyNumberFormat="1" applyFont="1" applyFill="1" applyBorder="1" applyAlignment="1" applyProtection="1">
      <alignment horizontal="center" vertical="center" wrapText="1"/>
    </xf>
    <xf numFmtId="1" fontId="7" fillId="3" borderId="13" xfId="0" applyNumberFormat="1" applyFont="1" applyFill="1" applyBorder="1" applyAlignment="1" applyProtection="1">
      <alignment horizontal="center" vertical="center" wrapText="1"/>
    </xf>
    <xf numFmtId="1" fontId="7" fillId="3" borderId="21" xfId="0" applyNumberFormat="1" applyFont="1" applyFill="1" applyBorder="1" applyAlignment="1" applyProtection="1">
      <alignment horizontal="center" vertical="center" wrapText="1"/>
    </xf>
    <xf numFmtId="1" fontId="14" fillId="5" borderId="12" xfId="0" applyNumberFormat="1" applyFont="1" applyFill="1" applyBorder="1" applyAlignment="1" applyProtection="1">
      <alignment horizontal="left" vertical="center" wrapText="1"/>
    </xf>
    <xf numFmtId="0" fontId="0" fillId="0" borderId="0" xfId="0" applyBorder="1" applyAlignment="1">
      <alignment vertical="center" wrapText="1"/>
    </xf>
    <xf numFmtId="0" fontId="0" fillId="0" borderId="12" xfId="0" applyBorder="1" applyAlignment="1">
      <alignment vertical="center" wrapText="1"/>
    </xf>
    <xf numFmtId="0" fontId="10" fillId="2" borderId="19" xfId="0" applyNumberFormat="1" applyFont="1" applyFill="1" applyBorder="1" applyAlignment="1" applyProtection="1">
      <alignment horizontal="left" vertical="center" wrapText="1"/>
    </xf>
    <xf numFmtId="0" fontId="0" fillId="2" borderId="19" xfId="0" applyFill="1" applyBorder="1" applyAlignment="1"/>
    <xf numFmtId="0" fontId="13" fillId="0" borderId="12"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wrapText="1"/>
    </xf>
    <xf numFmtId="5" fontId="13" fillId="2" borderId="12" xfId="0" applyNumberFormat="1" applyFont="1" applyFill="1" applyBorder="1" applyAlignment="1" applyProtection="1">
      <alignment horizontal="left" vertical="center" wrapText="1"/>
    </xf>
    <xf numFmtId="5" fontId="13" fillId="2" borderId="0" xfId="0" applyNumberFormat="1" applyFont="1" applyFill="1" applyBorder="1" applyAlignment="1" applyProtection="1">
      <alignment horizontal="left" vertical="center" wrapText="1"/>
    </xf>
    <xf numFmtId="0" fontId="10" fillId="2" borderId="0" xfId="0" applyFont="1" applyFill="1" applyAlignment="1" applyProtection="1">
      <alignment horizontal="left" vertical="center" wrapText="1"/>
    </xf>
    <xf numFmtId="5" fontId="11" fillId="2" borderId="12" xfId="0" applyNumberFormat="1" applyFont="1" applyFill="1" applyBorder="1" applyAlignment="1" applyProtection="1">
      <alignment horizontal="left" vertical="center" wrapText="1"/>
    </xf>
    <xf numFmtId="5" fontId="11" fillId="2" borderId="0" xfId="0" applyNumberFormat="1" applyFont="1" applyFill="1" applyBorder="1" applyAlignment="1" applyProtection="1">
      <alignment horizontal="left" vertical="center" wrapText="1"/>
    </xf>
    <xf numFmtId="0" fontId="12" fillId="2" borderId="0" xfId="0" applyFont="1" applyFill="1" applyAlignment="1" applyProtection="1">
      <alignment horizontal="left" vertical="center" wrapText="1"/>
    </xf>
    <xf numFmtId="0" fontId="13" fillId="2" borderId="12" xfId="0" applyFont="1" applyFill="1" applyBorder="1" applyAlignment="1" applyProtection="1">
      <alignment horizontal="left" vertical="center" wrapText="1"/>
    </xf>
    <xf numFmtId="0" fontId="13" fillId="2" borderId="0" xfId="0" applyFont="1" applyFill="1" applyBorder="1" applyAlignment="1" applyProtection="1">
      <alignment horizontal="left" vertical="center" wrapText="1"/>
    </xf>
    <xf numFmtId="0" fontId="0" fillId="0" borderId="0" xfId="0" applyAlignment="1" applyProtection="1">
      <alignment horizontal="left" vertical="center" wrapText="1"/>
    </xf>
    <xf numFmtId="0" fontId="24" fillId="6" borderId="16" xfId="0" applyFont="1" applyFill="1" applyBorder="1" applyAlignment="1" applyProtection="1">
      <alignment horizontal="center" vertical="center" textRotation="180"/>
    </xf>
    <xf numFmtId="0" fontId="24" fillId="6" borderId="17" xfId="0" applyFont="1" applyFill="1" applyBorder="1" applyAlignment="1" applyProtection="1">
      <alignment horizontal="center" vertical="center" textRotation="180"/>
    </xf>
    <xf numFmtId="0" fontId="24" fillId="6" borderId="0" xfId="0" applyFont="1" applyFill="1" applyBorder="1" applyAlignment="1" applyProtection="1">
      <alignment horizontal="center" vertical="center" textRotation="180"/>
    </xf>
    <xf numFmtId="0" fontId="24" fillId="6" borderId="15" xfId="0" applyFont="1" applyFill="1" applyBorder="1" applyAlignment="1" applyProtection="1">
      <alignment horizontal="center" vertical="center" textRotation="180"/>
    </xf>
    <xf numFmtId="0" fontId="24" fillId="6" borderId="13" xfId="0" applyFont="1" applyFill="1" applyBorder="1" applyAlignment="1" applyProtection="1">
      <alignment horizontal="center" vertical="center" textRotation="180"/>
    </xf>
    <xf numFmtId="0" fontId="24" fillId="6" borderId="21" xfId="0" applyFont="1" applyFill="1" applyBorder="1" applyAlignment="1" applyProtection="1">
      <alignment horizontal="center" vertical="center" textRotation="180"/>
    </xf>
    <xf numFmtId="3" fontId="0" fillId="6" borderId="11" xfId="0" applyNumberFormat="1" applyFill="1" applyBorder="1" applyAlignment="1" applyProtection="1">
      <alignment horizontal="center" vertical="center"/>
    </xf>
    <xf numFmtId="3" fontId="0" fillId="6" borderId="17" xfId="0" applyNumberFormat="1" applyFill="1" applyBorder="1" applyAlignment="1" applyProtection="1">
      <alignment horizontal="center" vertical="center"/>
    </xf>
    <xf numFmtId="3" fontId="0" fillId="6" borderId="12" xfId="0" applyNumberFormat="1" applyFill="1" applyBorder="1" applyAlignment="1" applyProtection="1">
      <alignment horizontal="center" vertical="center"/>
    </xf>
    <xf numFmtId="3" fontId="0" fillId="6" borderId="15" xfId="0" applyNumberFormat="1" applyFill="1" applyBorder="1" applyAlignment="1" applyProtection="1">
      <alignment horizontal="center" vertical="center"/>
    </xf>
    <xf numFmtId="3" fontId="0" fillId="6" borderId="14" xfId="0" applyNumberFormat="1" applyFill="1" applyBorder="1" applyAlignment="1" applyProtection="1">
      <alignment horizontal="center" vertical="center"/>
    </xf>
    <xf numFmtId="3" fontId="0" fillId="6" borderId="21" xfId="0" applyNumberFormat="1" applyFill="1" applyBorder="1" applyAlignment="1" applyProtection="1">
      <alignment horizontal="center" vertical="center"/>
    </xf>
    <xf numFmtId="166" fontId="10" fillId="2" borderId="2" xfId="0" applyNumberFormat="1" applyFont="1" applyFill="1" applyBorder="1" applyAlignment="1" applyProtection="1">
      <alignment horizontal="right" vertical="center"/>
      <protection locked="0"/>
    </xf>
    <xf numFmtId="166" fontId="10" fillId="2" borderId="18" xfId="0" applyNumberFormat="1" applyFont="1" applyFill="1" applyBorder="1" applyAlignment="1" applyProtection="1">
      <alignment horizontal="right" vertical="center"/>
      <protection locked="0"/>
    </xf>
    <xf numFmtId="166" fontId="0" fillId="3" borderId="2" xfId="0" applyNumberFormat="1" applyFill="1" applyBorder="1" applyAlignment="1" applyProtection="1">
      <alignment horizontal="right" vertical="center"/>
    </xf>
    <xf numFmtId="166" fontId="0" fillId="3" borderId="18" xfId="0" applyNumberFormat="1" applyFill="1" applyBorder="1" applyAlignment="1" applyProtection="1">
      <alignment horizontal="right" vertical="center"/>
    </xf>
    <xf numFmtId="49" fontId="8" fillId="4" borderId="0" xfId="0" applyNumberFormat="1" applyFont="1" applyFill="1" applyAlignment="1" applyProtection="1">
      <alignment horizontal="left" vertical="center" wrapText="1"/>
    </xf>
    <xf numFmtId="167" fontId="10" fillId="2" borderId="2" xfId="0" applyNumberFormat="1" applyFont="1" applyFill="1" applyBorder="1" applyAlignment="1" applyProtection="1">
      <alignment horizontal="right" vertical="center"/>
      <protection locked="0"/>
    </xf>
    <xf numFmtId="167" fontId="10" fillId="2" borderId="18" xfId="0" applyNumberFormat="1" applyFont="1" applyFill="1" applyBorder="1" applyAlignment="1" applyProtection="1">
      <alignment horizontal="right" vertical="center"/>
      <protection locked="0"/>
    </xf>
    <xf numFmtId="1" fontId="12" fillId="2" borderId="3" xfId="0" applyNumberFormat="1" applyFont="1" applyFill="1" applyBorder="1" applyAlignment="1" applyProtection="1">
      <alignment horizontal="center" vertical="center" wrapText="1"/>
      <protection locked="0"/>
    </xf>
    <xf numFmtId="0" fontId="12" fillId="14" borderId="3" xfId="0" applyFont="1" applyFill="1" applyBorder="1" applyAlignment="1" applyProtection="1">
      <alignment horizontal="center" vertical="center" wrapText="1"/>
      <protection locked="0"/>
    </xf>
    <xf numFmtId="1" fontId="11" fillId="6" borderId="11" xfId="0" applyNumberFormat="1" applyFont="1" applyFill="1" applyBorder="1" applyAlignment="1" applyProtection="1">
      <alignment horizontal="center" vertical="center"/>
    </xf>
    <xf numFmtId="1" fontId="11" fillId="6" borderId="16" xfId="0" applyNumberFormat="1" applyFont="1" applyFill="1" applyBorder="1" applyAlignment="1" applyProtection="1">
      <alignment horizontal="center" vertical="center"/>
    </xf>
    <xf numFmtId="1" fontId="11" fillId="6" borderId="17" xfId="0" applyNumberFormat="1" applyFont="1" applyFill="1" applyBorder="1" applyAlignment="1" applyProtection="1">
      <alignment horizontal="center" vertical="center"/>
    </xf>
    <xf numFmtId="0" fontId="71" fillId="2" borderId="12" xfId="0" applyFont="1" applyFill="1" applyBorder="1" applyAlignment="1" applyProtection="1">
      <alignment horizontal="left" vertical="center" wrapText="1"/>
    </xf>
    <xf numFmtId="0" fontId="71" fillId="2" borderId="0" xfId="0" applyFont="1" applyFill="1" applyBorder="1" applyAlignment="1" applyProtection="1">
      <alignment horizontal="left" vertical="center" wrapText="1"/>
    </xf>
    <xf numFmtId="5" fontId="14" fillId="0" borderId="12" xfId="0" applyNumberFormat="1" applyFont="1" applyFill="1" applyBorder="1" applyAlignment="1" applyProtection="1">
      <alignment horizontal="left" vertical="center" wrapText="1"/>
    </xf>
    <xf numFmtId="5" fontId="14" fillId="0" borderId="0" xfId="0" applyNumberFormat="1" applyFont="1" applyFill="1" applyBorder="1" applyAlignment="1" applyProtection="1">
      <alignment horizontal="left" vertical="center" wrapText="1"/>
    </xf>
    <xf numFmtId="0" fontId="0" fillId="0" borderId="0" xfId="0" applyBorder="1" applyAlignment="1" applyProtection="1">
      <alignment horizontal="left" vertical="center" wrapText="1"/>
    </xf>
    <xf numFmtId="49" fontId="9" fillId="2" borderId="2" xfId="3" applyNumberFormat="1" applyFill="1" applyBorder="1" applyAlignment="1" applyProtection="1">
      <alignment horizontal="left" vertical="center" wrapText="1"/>
    </xf>
    <xf numFmtId="49" fontId="9" fillId="2" borderId="6" xfId="3" applyNumberFormat="1" applyFill="1" applyBorder="1" applyAlignment="1" applyProtection="1">
      <alignment horizontal="left" vertical="center" wrapText="1"/>
    </xf>
    <xf numFmtId="49" fontId="9" fillId="2" borderId="18" xfId="3" applyNumberFormat="1" applyFill="1" applyBorder="1" applyAlignment="1" applyProtection="1">
      <alignment horizontal="left" vertical="center" wrapText="1"/>
    </xf>
    <xf numFmtId="5" fontId="14" fillId="2" borderId="12" xfId="0" applyNumberFormat="1" applyFont="1" applyFill="1" applyBorder="1" applyAlignment="1" applyProtection="1">
      <alignment horizontal="left" vertical="center" wrapText="1"/>
    </xf>
    <xf numFmtId="5" fontId="14" fillId="2" borderId="0" xfId="0" applyNumberFormat="1" applyFont="1" applyFill="1" applyBorder="1" applyAlignment="1" applyProtection="1">
      <alignment horizontal="left" vertical="center" wrapText="1"/>
    </xf>
    <xf numFmtId="0" fontId="0" fillId="2" borderId="0" xfId="0" applyFill="1" applyAlignment="1" applyProtection="1">
      <alignment horizontal="left" vertical="center" wrapText="1"/>
    </xf>
    <xf numFmtId="0" fontId="9" fillId="2" borderId="12" xfId="3" applyFill="1" applyBorder="1" applyAlignment="1" applyProtection="1">
      <alignment horizontal="left" vertical="center" wrapText="1"/>
    </xf>
    <xf numFmtId="0" fontId="9" fillId="2" borderId="0" xfId="3" applyFill="1" applyBorder="1" applyAlignment="1" applyProtection="1">
      <alignment horizontal="left" vertical="center" wrapText="1"/>
    </xf>
    <xf numFmtId="0" fontId="0" fillId="2" borderId="2" xfId="0" applyFill="1" applyBorder="1" applyAlignment="1" applyProtection="1">
      <alignment horizontal="left" vertical="center" wrapText="1"/>
    </xf>
    <xf numFmtId="0" fontId="0" fillId="2" borderId="6" xfId="0" applyFill="1" applyBorder="1" applyAlignment="1" applyProtection="1">
      <alignment horizontal="left" vertical="center" wrapText="1"/>
    </xf>
    <xf numFmtId="0" fontId="0" fillId="2" borderId="18" xfId="0" applyFill="1" applyBorder="1" applyAlignment="1" applyProtection="1">
      <alignment horizontal="left" vertical="center" wrapText="1"/>
    </xf>
    <xf numFmtId="0" fontId="10" fillId="2" borderId="2" xfId="0" applyNumberFormat="1" applyFont="1" applyFill="1" applyBorder="1" applyAlignment="1" applyProtection="1">
      <alignment horizontal="left" vertical="center"/>
      <protection locked="0"/>
    </xf>
    <xf numFmtId="0" fontId="10" fillId="0" borderId="6" xfId="0" applyNumberFormat="1" applyFont="1" applyBorder="1" applyAlignment="1" applyProtection="1">
      <alignment horizontal="left" vertical="center"/>
      <protection locked="0"/>
    </xf>
    <xf numFmtId="0" fontId="14" fillId="0" borderId="16" xfId="0" applyFont="1" applyBorder="1" applyAlignment="1" applyProtection="1">
      <alignment horizontal="center" vertical="center"/>
    </xf>
    <xf numFmtId="0" fontId="9" fillId="0" borderId="12" xfId="3" applyBorder="1" applyAlignment="1" applyProtection="1">
      <alignment horizontal="left" vertical="center" wrapText="1"/>
    </xf>
    <xf numFmtId="0" fontId="9" fillId="0" borderId="0" xfId="3" applyAlignment="1" applyProtection="1">
      <alignment horizontal="left" vertical="center" wrapText="1"/>
    </xf>
    <xf numFmtId="5" fontId="9" fillId="4" borderId="11" xfId="3" applyNumberFormat="1" applyFill="1" applyBorder="1" applyAlignment="1" applyProtection="1">
      <alignment horizontal="left" vertical="center" wrapText="1"/>
    </xf>
    <xf numFmtId="0" fontId="9" fillId="4" borderId="16" xfId="3" applyFill="1" applyBorder="1" applyAlignment="1" applyProtection="1">
      <alignment horizontal="left" vertical="center" wrapText="1"/>
    </xf>
    <xf numFmtId="0" fontId="9" fillId="0" borderId="17" xfId="3" applyBorder="1" applyAlignment="1" applyProtection="1">
      <alignment horizontal="left" vertical="center" wrapText="1"/>
    </xf>
    <xf numFmtId="0" fontId="9" fillId="0" borderId="14" xfId="3" applyBorder="1" applyAlignment="1" applyProtection="1">
      <alignment horizontal="left" vertical="center" wrapText="1"/>
    </xf>
    <xf numFmtId="0" fontId="9" fillId="0" borderId="13" xfId="3" applyBorder="1" applyAlignment="1" applyProtection="1">
      <alignment horizontal="left" vertical="center" wrapText="1"/>
    </xf>
    <xf numFmtId="0" fontId="9" fillId="0" borderId="21" xfId="3" applyBorder="1" applyAlignment="1" applyProtection="1">
      <alignment horizontal="left" vertical="center" wrapText="1"/>
    </xf>
    <xf numFmtId="0" fontId="10" fillId="0" borderId="18" xfId="0" applyNumberFormat="1" applyFont="1" applyBorder="1" applyAlignment="1" applyProtection="1">
      <alignment horizontal="left" vertical="center"/>
      <protection locked="0"/>
    </xf>
    <xf numFmtId="0" fontId="14" fillId="2" borderId="16" xfId="0" applyFont="1" applyFill="1" applyBorder="1" applyAlignment="1">
      <alignment horizontal="left" wrapText="1"/>
    </xf>
    <xf numFmtId="0" fontId="0" fillId="0" borderId="16" xfId="0" applyBorder="1" applyAlignment="1">
      <alignment horizontal="left"/>
    </xf>
    <xf numFmtId="0" fontId="0" fillId="0" borderId="17" xfId="0" applyBorder="1" applyAlignment="1">
      <alignment horizontal="left"/>
    </xf>
    <xf numFmtId="166" fontId="0" fillId="14" borderId="18" xfId="0" applyNumberFormat="1" applyFill="1" applyBorder="1" applyAlignment="1" applyProtection="1">
      <alignment horizontal="right" vertical="center"/>
      <protection locked="0"/>
    </xf>
    <xf numFmtId="0" fontId="0" fillId="0" borderId="0" xfId="0" applyAlignment="1" applyProtection="1">
      <alignment horizontal="left" vertical="center"/>
    </xf>
    <xf numFmtId="0" fontId="9" fillId="2" borderId="12" xfId="3" applyFill="1" applyBorder="1" applyAlignment="1" applyProtection="1">
      <alignment horizontal="center" vertical="center"/>
    </xf>
    <xf numFmtId="0" fontId="9" fillId="2" borderId="0" xfId="3"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6" xfId="0" applyFont="1" applyFill="1" applyBorder="1" applyAlignment="1" applyProtection="1">
      <alignment horizontal="center" vertical="center"/>
    </xf>
    <xf numFmtId="0" fontId="8" fillId="5" borderId="18" xfId="0" applyFont="1" applyFill="1" applyBorder="1" applyAlignment="1" applyProtection="1">
      <alignment horizontal="center" vertical="center"/>
    </xf>
    <xf numFmtId="0" fontId="7" fillId="3" borderId="29" xfId="0" applyNumberFormat="1" applyFont="1" applyFill="1" applyBorder="1" applyAlignment="1" applyProtection="1">
      <alignment horizontal="center" vertical="center" wrapText="1"/>
    </xf>
    <xf numFmtId="0" fontId="16" fillId="0" borderId="29" xfId="0" applyFont="1" applyBorder="1" applyAlignment="1">
      <alignment horizontal="center" vertical="center" wrapText="1"/>
    </xf>
    <xf numFmtId="0" fontId="16" fillId="0" borderId="14" xfId="0" applyFont="1" applyBorder="1" applyAlignment="1">
      <alignment horizontal="center" vertical="center" wrapText="1"/>
    </xf>
    <xf numFmtId="49" fontId="10" fillId="2" borderId="3" xfId="0" applyNumberFormat="1" applyFont="1" applyFill="1" applyBorder="1" applyAlignment="1" applyProtection="1">
      <alignment horizontal="left" vertical="center" wrapText="1"/>
    </xf>
    <xf numFmtId="0" fontId="7" fillId="5" borderId="11" xfId="0" applyNumberFormat="1" applyFont="1" applyFill="1" applyBorder="1" applyAlignment="1" applyProtection="1">
      <alignment horizontal="center" vertical="center" wrapText="1"/>
    </xf>
    <xf numFmtId="0" fontId="7" fillId="5" borderId="16" xfId="0" applyNumberFormat="1" applyFont="1" applyFill="1" applyBorder="1" applyAlignment="1" applyProtection="1">
      <alignment horizontal="center" vertical="center" wrapText="1"/>
    </xf>
    <xf numFmtId="0" fontId="7" fillId="5" borderId="17" xfId="0" applyNumberFormat="1" applyFont="1" applyFill="1" applyBorder="1" applyAlignment="1" applyProtection="1">
      <alignment horizontal="center" vertical="center" wrapText="1"/>
    </xf>
    <xf numFmtId="0" fontId="7" fillId="5" borderId="12" xfId="0" applyNumberFormat="1" applyFont="1" applyFill="1" applyBorder="1" applyAlignment="1" applyProtection="1">
      <alignment horizontal="center" vertical="center" wrapText="1"/>
    </xf>
    <xf numFmtId="0" fontId="7" fillId="5" borderId="0" xfId="0" applyNumberFormat="1" applyFont="1" applyFill="1" applyBorder="1" applyAlignment="1" applyProtection="1">
      <alignment horizontal="center" vertical="center" wrapText="1"/>
    </xf>
    <xf numFmtId="0" fontId="7" fillId="5" borderId="15" xfId="0" applyNumberFormat="1" applyFont="1" applyFill="1" applyBorder="1" applyAlignment="1" applyProtection="1">
      <alignment horizontal="center" vertical="center" wrapText="1"/>
    </xf>
    <xf numFmtId="0" fontId="7" fillId="5" borderId="14" xfId="0" applyNumberFormat="1" applyFont="1" applyFill="1" applyBorder="1" applyAlignment="1" applyProtection="1">
      <alignment horizontal="center" vertical="center" wrapText="1"/>
    </xf>
    <xf numFmtId="0" fontId="7" fillId="5" borderId="13" xfId="0" applyNumberFormat="1" applyFont="1" applyFill="1" applyBorder="1" applyAlignment="1" applyProtection="1">
      <alignment horizontal="center" vertical="center" wrapText="1"/>
    </xf>
    <xf numFmtId="0" fontId="7" fillId="5" borderId="21" xfId="0" applyNumberFormat="1" applyFont="1" applyFill="1" applyBorder="1" applyAlignment="1" applyProtection="1">
      <alignment horizontal="center" vertical="center" wrapText="1"/>
    </xf>
    <xf numFmtId="49" fontId="0" fillId="2" borderId="13" xfId="0" applyNumberFormat="1" applyFill="1" applyBorder="1" applyAlignment="1" applyProtection="1">
      <alignment horizontal="left" vertical="center" wrapText="1"/>
    </xf>
    <xf numFmtId="49" fontId="0" fillId="2" borderId="21" xfId="0" applyNumberFormat="1" applyFill="1" applyBorder="1" applyAlignment="1" applyProtection="1">
      <alignment horizontal="left" vertical="center" wrapText="1"/>
    </xf>
    <xf numFmtId="167" fontId="10" fillId="3" borderId="2" xfId="0" applyNumberFormat="1" applyFont="1" applyFill="1" applyBorder="1" applyAlignment="1" applyProtection="1">
      <alignment horizontal="right" vertical="center"/>
    </xf>
    <xf numFmtId="167" fontId="10" fillId="3" borderId="18" xfId="0" applyNumberFormat="1" applyFont="1" applyFill="1" applyBorder="1" applyAlignment="1" applyProtection="1">
      <alignment horizontal="right" vertical="center"/>
    </xf>
    <xf numFmtId="49" fontId="0" fillId="6" borderId="0" xfId="0" applyNumberFormat="1" applyFill="1" applyBorder="1" applyAlignment="1" applyProtection="1">
      <alignment horizontal="center" vertical="center" wrapText="1"/>
    </xf>
    <xf numFmtId="49" fontId="0" fillId="6" borderId="15" xfId="0" applyNumberFormat="1" applyFill="1" applyBorder="1" applyAlignment="1" applyProtection="1">
      <alignment horizontal="center" vertical="center" wrapText="1"/>
    </xf>
    <xf numFmtId="49" fontId="0" fillId="6" borderId="13" xfId="0" applyNumberFormat="1" applyFill="1" applyBorder="1" applyAlignment="1" applyProtection="1">
      <alignment horizontal="center" vertical="center" wrapText="1"/>
    </xf>
    <xf numFmtId="49" fontId="0" fillId="6" borderId="21" xfId="0" applyNumberFormat="1" applyFill="1" applyBorder="1" applyAlignment="1" applyProtection="1">
      <alignment horizontal="center" vertical="center" wrapText="1"/>
    </xf>
    <xf numFmtId="1" fontId="10" fillId="2" borderId="2" xfId="0" applyNumberFormat="1" applyFont="1" applyFill="1" applyBorder="1" applyAlignment="1" applyProtection="1">
      <alignment horizontal="right" vertical="center"/>
      <protection locked="0"/>
    </xf>
    <xf numFmtId="1" fontId="10" fillId="2" borderId="18" xfId="0" applyNumberFormat="1" applyFont="1" applyFill="1" applyBorder="1" applyAlignment="1" applyProtection="1">
      <alignment horizontal="right" vertical="center"/>
      <protection locked="0"/>
    </xf>
    <xf numFmtId="0" fontId="0" fillId="2" borderId="2" xfId="0" applyFill="1" applyBorder="1" applyAlignment="1" applyProtection="1">
      <alignment horizontal="right"/>
      <protection locked="0"/>
    </xf>
    <xf numFmtId="0" fontId="0" fillId="2" borderId="18" xfId="0" applyFill="1" applyBorder="1" applyAlignment="1" applyProtection="1">
      <alignment horizontal="right"/>
      <protection locked="0"/>
    </xf>
    <xf numFmtId="0" fontId="0" fillId="6" borderId="12" xfId="0" applyFill="1" applyBorder="1" applyAlignment="1" applyProtection="1">
      <alignment horizontal="center"/>
    </xf>
    <xf numFmtId="0" fontId="0" fillId="6" borderId="0" xfId="0" applyFill="1" applyBorder="1" applyAlignment="1" applyProtection="1">
      <alignment horizontal="center"/>
    </xf>
    <xf numFmtId="0" fontId="0" fillId="6" borderId="15" xfId="0" applyFill="1" applyBorder="1" applyAlignment="1" applyProtection="1">
      <alignment horizontal="center"/>
    </xf>
    <xf numFmtId="0" fontId="0" fillId="6" borderId="14" xfId="0" applyFill="1" applyBorder="1" applyAlignment="1" applyProtection="1">
      <alignment horizontal="center"/>
    </xf>
    <xf numFmtId="0" fontId="0" fillId="6" borderId="13" xfId="0" applyFill="1" applyBorder="1" applyAlignment="1" applyProtection="1">
      <alignment horizontal="center"/>
    </xf>
    <xf numFmtId="0" fontId="0" fillId="6" borderId="21" xfId="0" applyFill="1" applyBorder="1" applyAlignment="1" applyProtection="1">
      <alignment horizontal="center"/>
    </xf>
    <xf numFmtId="0" fontId="8" fillId="5" borderId="12" xfId="0" applyFont="1" applyFill="1" applyBorder="1" applyAlignment="1" applyProtection="1">
      <alignment horizontal="center" vertical="center"/>
    </xf>
    <xf numFmtId="0" fontId="8" fillId="5" borderId="0" xfId="0" applyFont="1" applyFill="1" applyBorder="1" applyAlignment="1" applyProtection="1">
      <alignment horizontal="center" vertical="center"/>
    </xf>
    <xf numFmtId="0" fontId="8" fillId="5" borderId="15" xfId="0" applyFont="1" applyFill="1" applyBorder="1" applyAlignment="1" applyProtection="1">
      <alignment horizontal="center" vertical="center"/>
    </xf>
    <xf numFmtId="0" fontId="0" fillId="6" borderId="12" xfId="0" applyNumberFormat="1" applyFill="1" applyBorder="1" applyAlignment="1" applyProtection="1">
      <alignment horizontal="center" vertical="center" wrapText="1"/>
    </xf>
    <xf numFmtId="0" fontId="0" fillId="6" borderId="0" xfId="0" applyNumberFormat="1" applyFill="1" applyBorder="1" applyAlignment="1" applyProtection="1">
      <alignment horizontal="center" vertical="center" wrapText="1"/>
    </xf>
    <xf numFmtId="0" fontId="0" fillId="6" borderId="15" xfId="0" applyNumberFormat="1" applyFill="1" applyBorder="1" applyAlignment="1" applyProtection="1">
      <alignment horizontal="center" vertical="center" wrapText="1"/>
    </xf>
    <xf numFmtId="1" fontId="11" fillId="6" borderId="12" xfId="0" applyNumberFormat="1" applyFont="1" applyFill="1" applyBorder="1" applyAlignment="1" applyProtection="1">
      <alignment horizontal="center" vertical="center"/>
    </xf>
    <xf numFmtId="1" fontId="11" fillId="6" borderId="0" xfId="0" applyNumberFormat="1" applyFont="1" applyFill="1" applyBorder="1" applyAlignment="1" applyProtection="1">
      <alignment horizontal="center" vertical="center"/>
    </xf>
    <xf numFmtId="1" fontId="11" fillId="6" borderId="15" xfId="0" applyNumberFormat="1" applyFont="1" applyFill="1" applyBorder="1" applyAlignment="1" applyProtection="1">
      <alignment horizontal="center" vertical="center"/>
    </xf>
    <xf numFmtId="167" fontId="0" fillId="3" borderId="2" xfId="0" applyNumberFormat="1" applyFill="1" applyBorder="1" applyAlignment="1" applyProtection="1">
      <alignment horizontal="right" vertical="center"/>
    </xf>
    <xf numFmtId="167" fontId="0" fillId="3" borderId="18" xfId="0" applyNumberFormat="1" applyFill="1" applyBorder="1" applyAlignment="1" applyProtection="1">
      <alignment horizontal="right" vertical="center"/>
    </xf>
    <xf numFmtId="0" fontId="8" fillId="5" borderId="11" xfId="0" applyFont="1" applyFill="1" applyBorder="1" applyAlignment="1" applyProtection="1">
      <alignment horizontal="center" vertical="center"/>
    </xf>
    <xf numFmtId="0" fontId="8" fillId="5" borderId="16" xfId="0" applyFont="1" applyFill="1" applyBorder="1" applyAlignment="1" applyProtection="1">
      <alignment horizontal="center" vertical="center"/>
    </xf>
    <xf numFmtId="0" fontId="8" fillId="5" borderId="17" xfId="0" applyFont="1" applyFill="1" applyBorder="1" applyAlignment="1" applyProtection="1">
      <alignment horizontal="center" vertical="center"/>
    </xf>
    <xf numFmtId="1" fontId="7" fillId="3" borderId="14" xfId="0" applyNumberFormat="1" applyFont="1" applyFill="1" applyBorder="1" applyAlignment="1" applyProtection="1">
      <alignment horizontal="center" vertical="center" wrapText="1"/>
    </xf>
    <xf numFmtId="1" fontId="12" fillId="2" borderId="29" xfId="0" applyNumberFormat="1" applyFont="1" applyFill="1" applyBorder="1" applyAlignment="1" applyProtection="1">
      <alignment horizontal="center" vertical="center" wrapText="1"/>
      <protection locked="0"/>
    </xf>
    <xf numFmtId="0" fontId="12" fillId="2" borderId="29" xfId="0" applyFont="1" applyFill="1" applyBorder="1" applyAlignment="1" applyProtection="1">
      <alignment horizontal="center" vertical="center" wrapText="1"/>
      <protection locked="0"/>
    </xf>
    <xf numFmtId="0" fontId="8" fillId="5" borderId="14" xfId="0" applyFont="1" applyFill="1" applyBorder="1" applyAlignment="1" applyProtection="1">
      <alignment horizontal="center" vertical="center"/>
    </xf>
    <xf numFmtId="0" fontId="8" fillId="5" borderId="13" xfId="0" applyFont="1" applyFill="1" applyBorder="1" applyAlignment="1" applyProtection="1">
      <alignment horizontal="center" vertical="center"/>
    </xf>
    <xf numFmtId="0" fontId="8" fillId="5" borderId="21" xfId="0" applyFont="1" applyFill="1" applyBorder="1" applyAlignment="1" applyProtection="1">
      <alignment horizontal="center" vertical="center"/>
    </xf>
    <xf numFmtId="49" fontId="10" fillId="2" borderId="14" xfId="0" applyNumberFormat="1" applyFont="1" applyFill="1" applyBorder="1" applyAlignment="1" applyProtection="1">
      <alignment horizontal="left" vertical="center" wrapText="1"/>
    </xf>
    <xf numFmtId="49" fontId="10" fillId="2" borderId="13" xfId="0" applyNumberFormat="1" applyFont="1" applyFill="1" applyBorder="1" applyAlignment="1" applyProtection="1">
      <alignment horizontal="left" vertical="center" wrapText="1"/>
    </xf>
    <xf numFmtId="49" fontId="10" fillId="2" borderId="21" xfId="0" applyNumberFormat="1" applyFont="1" applyFill="1" applyBorder="1" applyAlignment="1" applyProtection="1">
      <alignment horizontal="left" vertical="center" wrapText="1"/>
    </xf>
    <xf numFmtId="49" fontId="10" fillId="6" borderId="0" xfId="0" applyNumberFormat="1" applyFont="1" applyFill="1" applyBorder="1" applyAlignment="1" applyProtection="1">
      <alignment horizontal="center" vertical="center" wrapText="1"/>
    </xf>
    <xf numFmtId="49" fontId="10" fillId="6" borderId="15" xfId="0" applyNumberFormat="1" applyFont="1" applyFill="1" applyBorder="1" applyAlignment="1" applyProtection="1">
      <alignment horizontal="center" vertical="center" wrapText="1"/>
    </xf>
    <xf numFmtId="49" fontId="10" fillId="6" borderId="13" xfId="0" applyNumberFormat="1" applyFont="1" applyFill="1" applyBorder="1" applyAlignment="1" applyProtection="1">
      <alignment horizontal="center" vertical="center" wrapText="1"/>
    </xf>
    <xf numFmtId="49" fontId="10" fillId="6" borderId="21" xfId="0" applyNumberFormat="1" applyFont="1" applyFill="1" applyBorder="1" applyAlignment="1" applyProtection="1">
      <alignment horizontal="center" vertical="center" wrapText="1"/>
    </xf>
    <xf numFmtId="0" fontId="7" fillId="3" borderId="21" xfId="0" applyNumberFormat="1" applyFont="1" applyFill="1" applyBorder="1" applyAlignment="1" applyProtection="1">
      <alignment horizontal="center" vertical="center" wrapText="1"/>
    </xf>
    <xf numFmtId="0" fontId="0" fillId="6" borderId="11" xfId="0" applyFill="1" applyBorder="1" applyAlignment="1">
      <alignment horizontal="center"/>
    </xf>
    <xf numFmtId="0" fontId="0" fillId="6" borderId="16" xfId="0" applyFill="1" applyBorder="1" applyAlignment="1">
      <alignment horizontal="center"/>
    </xf>
    <xf numFmtId="0" fontId="0" fillId="6" borderId="17" xfId="0" applyFill="1" applyBorder="1" applyAlignment="1">
      <alignment horizontal="center"/>
    </xf>
    <xf numFmtId="0" fontId="0" fillId="6" borderId="12" xfId="0" applyFill="1" applyBorder="1" applyAlignment="1">
      <alignment horizontal="center"/>
    </xf>
    <xf numFmtId="0" fontId="0" fillId="6" borderId="0" xfId="0" applyFill="1" applyBorder="1" applyAlignment="1">
      <alignment horizontal="center"/>
    </xf>
    <xf numFmtId="0" fontId="0" fillId="6" borderId="15" xfId="0" applyFill="1" applyBorder="1" applyAlignment="1">
      <alignment horizontal="center"/>
    </xf>
    <xf numFmtId="49" fontId="10" fillId="6" borderId="16" xfId="0" applyNumberFormat="1" applyFont="1" applyFill="1" applyBorder="1" applyAlignment="1" applyProtection="1">
      <alignment horizontal="center" vertical="center" wrapText="1"/>
    </xf>
    <xf numFmtId="49" fontId="10" fillId="6" borderId="17" xfId="0" applyNumberFormat="1" applyFont="1" applyFill="1" applyBorder="1" applyAlignment="1" applyProtection="1">
      <alignment horizontal="center" vertical="center" wrapText="1"/>
    </xf>
    <xf numFmtId="0" fontId="8" fillId="0" borderId="2" xfId="0" applyFont="1" applyFill="1" applyBorder="1" applyAlignment="1" applyProtection="1">
      <alignment horizontal="right" vertical="center"/>
      <protection locked="0"/>
    </xf>
    <xf numFmtId="0" fontId="8" fillId="0" borderId="18" xfId="0" applyFont="1" applyFill="1" applyBorder="1" applyAlignment="1" applyProtection="1">
      <alignment horizontal="right" vertical="center"/>
      <protection locked="0"/>
    </xf>
    <xf numFmtId="49" fontId="10" fillId="2" borderId="11" xfId="0" applyNumberFormat="1" applyFont="1" applyFill="1" applyBorder="1" applyAlignment="1" applyProtection="1">
      <alignment horizontal="left" vertical="center" wrapText="1"/>
    </xf>
    <xf numFmtId="49" fontId="10" fillId="2" borderId="16" xfId="0" applyNumberFormat="1" applyFont="1" applyFill="1" applyBorder="1" applyAlignment="1" applyProtection="1">
      <alignment horizontal="left" vertical="center" wrapText="1"/>
    </xf>
    <xf numFmtId="49" fontId="10" fillId="2" borderId="17" xfId="0" applyNumberFormat="1" applyFont="1" applyFill="1" applyBorder="1" applyAlignment="1" applyProtection="1">
      <alignment horizontal="left" vertical="center" wrapText="1"/>
    </xf>
    <xf numFmtId="0" fontId="8" fillId="0" borderId="3" xfId="0" applyFont="1" applyFill="1" applyBorder="1" applyAlignment="1" applyProtection="1">
      <alignment horizontal="right" vertical="center"/>
      <protection locked="0"/>
    </xf>
    <xf numFmtId="49" fontId="10" fillId="6" borderId="12" xfId="0" applyNumberFormat="1" applyFont="1" applyFill="1" applyBorder="1" applyAlignment="1" applyProtection="1">
      <alignment horizontal="center" vertical="center" wrapText="1"/>
    </xf>
    <xf numFmtId="49" fontId="10" fillId="2" borderId="2" xfId="0" applyNumberFormat="1" applyFont="1" applyFill="1" applyBorder="1" applyAlignment="1" applyProtection="1">
      <alignment horizontal="center" vertical="center" wrapText="1"/>
    </xf>
    <xf numFmtId="49" fontId="10" fillId="2" borderId="6" xfId="0" applyNumberFormat="1" applyFont="1" applyFill="1" applyBorder="1" applyAlignment="1" applyProtection="1">
      <alignment horizontal="center" vertical="center" wrapText="1"/>
    </xf>
    <xf numFmtId="49" fontId="10" fillId="2" borderId="18" xfId="0" applyNumberFormat="1" applyFont="1" applyFill="1" applyBorder="1" applyAlignment="1" applyProtection="1">
      <alignment horizontal="center" vertical="center" wrapText="1"/>
    </xf>
    <xf numFmtId="0" fontId="10" fillId="2" borderId="29" xfId="0" applyNumberFormat="1" applyFont="1" applyFill="1" applyBorder="1" applyAlignment="1" applyProtection="1">
      <alignment horizontal="left" vertical="center" wrapText="1"/>
    </xf>
    <xf numFmtId="0" fontId="0" fillId="2" borderId="29" xfId="0" applyFill="1" applyBorder="1" applyAlignment="1"/>
    <xf numFmtId="0" fontId="0" fillId="2" borderId="6" xfId="0" applyNumberFormat="1" applyFill="1" applyBorder="1" applyAlignment="1" applyProtection="1">
      <alignment horizontal="left" vertical="center" wrapText="1"/>
    </xf>
    <xf numFmtId="0" fontId="0" fillId="6" borderId="14" xfId="0" applyFill="1" applyBorder="1" applyAlignment="1">
      <alignment horizontal="center"/>
    </xf>
    <xf numFmtId="0" fontId="0" fillId="6" borderId="13" xfId="0" applyFill="1" applyBorder="1" applyAlignment="1">
      <alignment horizontal="center"/>
    </xf>
    <xf numFmtId="0" fontId="0" fillId="6" borderId="21" xfId="0" applyFill="1" applyBorder="1" applyAlignment="1">
      <alignment horizontal="center"/>
    </xf>
    <xf numFmtId="0" fontId="10" fillId="2" borderId="6" xfId="0" applyNumberFormat="1" applyFont="1" applyFill="1" applyBorder="1" applyAlignment="1" applyProtection="1">
      <alignment horizontal="left" vertical="center" wrapText="1"/>
    </xf>
    <xf numFmtId="0" fontId="7" fillId="3" borderId="19" xfId="0" applyNumberFormat="1" applyFont="1" applyFill="1" applyBorder="1" applyAlignment="1" applyProtection="1">
      <alignment horizontal="center" vertical="center" wrapText="1"/>
    </xf>
    <xf numFmtId="0" fontId="16" fillId="0" borderId="19" xfId="0" applyFont="1" applyBorder="1" applyAlignment="1">
      <alignment horizontal="center" vertical="center" wrapText="1"/>
    </xf>
    <xf numFmtId="1" fontId="7" fillId="3" borderId="3" xfId="0" applyNumberFormat="1" applyFont="1" applyFill="1" applyBorder="1" applyAlignment="1" applyProtection="1">
      <alignment horizontal="center" vertical="center" wrapText="1"/>
    </xf>
    <xf numFmtId="0" fontId="0" fillId="0" borderId="15" xfId="0" applyBorder="1" applyAlignment="1">
      <alignment vertical="center" wrapText="1"/>
    </xf>
    <xf numFmtId="0" fontId="0" fillId="0" borderId="14" xfId="0" applyBorder="1" applyAlignment="1">
      <alignment vertical="center" wrapText="1"/>
    </xf>
    <xf numFmtId="0" fontId="0" fillId="0" borderId="13" xfId="0" applyBorder="1" applyAlignment="1">
      <alignment vertical="center" wrapText="1"/>
    </xf>
    <xf numFmtId="0" fontId="0" fillId="0" borderId="21" xfId="0" applyBorder="1" applyAlignment="1">
      <alignment vertical="center" wrapText="1"/>
    </xf>
    <xf numFmtId="1" fontId="12" fillId="14" borderId="14" xfId="0" applyNumberFormat="1" applyFont="1" applyFill="1" applyBorder="1" applyAlignment="1" applyProtection="1">
      <alignment horizontal="center" vertical="center" wrapText="1"/>
      <protection locked="0"/>
    </xf>
    <xf numFmtId="0" fontId="12" fillId="14" borderId="21" xfId="0" applyFont="1" applyFill="1" applyBorder="1" applyAlignment="1" applyProtection="1">
      <alignment horizontal="center" vertical="center" wrapText="1"/>
      <protection locked="0"/>
    </xf>
    <xf numFmtId="0" fontId="7" fillId="3" borderId="0" xfId="0" applyFont="1" applyFill="1" applyBorder="1" applyAlignment="1" applyProtection="1">
      <alignment horizontal="left" vertical="center"/>
    </xf>
    <xf numFmtId="49" fontId="0" fillId="2" borderId="11" xfId="0" applyNumberFormat="1" applyFont="1" applyFill="1" applyBorder="1" applyAlignment="1" applyProtection="1">
      <alignment horizontal="left" vertical="center" wrapText="1"/>
    </xf>
    <xf numFmtId="49" fontId="0" fillId="2" borderId="16" xfId="0" applyNumberFormat="1" applyFont="1" applyFill="1" applyBorder="1" applyAlignment="1" applyProtection="1">
      <alignment horizontal="left" vertical="center" wrapText="1"/>
    </xf>
    <xf numFmtId="49" fontId="0" fillId="2" borderId="17" xfId="0" applyNumberFormat="1" applyFont="1" applyFill="1" applyBorder="1" applyAlignment="1" applyProtection="1">
      <alignment horizontal="left" vertical="center" wrapText="1"/>
    </xf>
    <xf numFmtId="49" fontId="0" fillId="2" borderId="14" xfId="0" applyNumberFormat="1" applyFont="1" applyFill="1" applyBorder="1" applyAlignment="1" applyProtection="1">
      <alignment horizontal="left" vertical="center" wrapText="1"/>
    </xf>
    <xf numFmtId="49" fontId="0" fillId="2" borderId="13" xfId="0" applyNumberFormat="1" applyFont="1" applyFill="1" applyBorder="1" applyAlignment="1" applyProtection="1">
      <alignment horizontal="left" vertical="center" wrapText="1"/>
    </xf>
    <xf numFmtId="49" fontId="0" fillId="2" borderId="21" xfId="0" applyNumberFormat="1" applyFont="1" applyFill="1" applyBorder="1" applyAlignment="1" applyProtection="1">
      <alignment horizontal="left" vertical="center" wrapText="1"/>
    </xf>
    <xf numFmtId="0" fontId="7" fillId="3" borderId="0" xfId="0" applyFont="1" applyFill="1" applyBorder="1" applyAlignment="1" applyProtection="1">
      <alignment horizontal="center" vertical="center"/>
    </xf>
    <xf numFmtId="0" fontId="8" fillId="3" borderId="0" xfId="0" applyFont="1" applyFill="1" applyBorder="1" applyAlignment="1" applyProtection="1">
      <alignment horizontal="center" vertical="center"/>
    </xf>
    <xf numFmtId="167" fontId="0" fillId="2" borderId="2" xfId="0" applyNumberFormat="1" applyFill="1" applyBorder="1" applyAlignment="1" applyProtection="1">
      <alignment horizontal="right" vertical="center"/>
      <protection locked="0"/>
    </xf>
    <xf numFmtId="167" fontId="0" fillId="2" borderId="18" xfId="0" applyNumberFormat="1" applyFill="1" applyBorder="1" applyAlignment="1" applyProtection="1">
      <alignment horizontal="right" vertical="center"/>
      <protection locked="0"/>
    </xf>
    <xf numFmtId="0" fontId="0" fillId="5" borderId="11" xfId="0" applyFill="1" applyBorder="1" applyAlignment="1" applyProtection="1">
      <alignment vertical="center"/>
    </xf>
    <xf numFmtId="0" fontId="0" fillId="5" borderId="17" xfId="0" applyFill="1" applyBorder="1" applyAlignment="1">
      <alignment vertical="center"/>
    </xf>
    <xf numFmtId="0" fontId="0" fillId="5" borderId="12" xfId="0" applyFill="1" applyBorder="1" applyAlignment="1">
      <alignment vertical="center"/>
    </xf>
    <xf numFmtId="0" fontId="0" fillId="5" borderId="15" xfId="0" applyFill="1" applyBorder="1" applyAlignment="1">
      <alignment vertical="center"/>
    </xf>
    <xf numFmtId="0" fontId="0" fillId="5" borderId="14" xfId="0" applyFill="1" applyBorder="1" applyAlignment="1">
      <alignment vertical="center"/>
    </xf>
    <xf numFmtId="0" fontId="0" fillId="5" borderId="21" xfId="0" applyFill="1" applyBorder="1" applyAlignment="1">
      <alignment vertical="center"/>
    </xf>
    <xf numFmtId="0" fontId="0" fillId="5" borderId="11" xfId="0" applyFill="1" applyBorder="1" applyAlignment="1" applyProtection="1"/>
    <xf numFmtId="0" fontId="0" fillId="0" borderId="17" xfId="0" applyBorder="1" applyAlignment="1" applyProtection="1"/>
    <xf numFmtId="0" fontId="0" fillId="5" borderId="14" xfId="0" applyFill="1" applyBorder="1" applyAlignment="1" applyProtection="1"/>
    <xf numFmtId="0" fontId="0" fillId="0" borderId="21" xfId="0" applyBorder="1" applyAlignment="1" applyProtection="1"/>
    <xf numFmtId="0" fontId="0" fillId="0" borderId="6" xfId="0" applyBorder="1" applyAlignment="1" applyProtection="1">
      <alignment horizontal="left" vertical="center" wrapText="1"/>
    </xf>
    <xf numFmtId="0" fontId="0" fillId="0" borderId="18" xfId="0" applyBorder="1" applyAlignment="1" applyProtection="1">
      <alignment horizontal="left" vertical="center" wrapText="1"/>
    </xf>
    <xf numFmtId="3" fontId="12" fillId="3" borderId="2" xfId="0" applyNumberFormat="1" applyFont="1" applyFill="1" applyBorder="1" applyAlignment="1" applyProtection="1">
      <alignment horizontal="right" vertical="center"/>
    </xf>
    <xf numFmtId="3" fontId="12" fillId="3" borderId="18" xfId="0" applyNumberFormat="1" applyFont="1" applyFill="1" applyBorder="1" applyAlignment="1" applyProtection="1">
      <alignment horizontal="right" vertical="center"/>
    </xf>
    <xf numFmtId="49" fontId="8" fillId="3" borderId="2" xfId="0" applyNumberFormat="1" applyFont="1" applyFill="1" applyBorder="1" applyAlignment="1" applyProtection="1">
      <alignment horizontal="center" vertical="center"/>
    </xf>
    <xf numFmtId="49" fontId="8" fillId="3" borderId="6" xfId="0" applyNumberFormat="1" applyFont="1" applyFill="1" applyBorder="1" applyAlignment="1" applyProtection="1">
      <alignment horizontal="center" vertical="center"/>
    </xf>
    <xf numFmtId="49" fontId="8" fillId="3" borderId="18" xfId="0" applyNumberFormat="1" applyFont="1" applyFill="1" applyBorder="1" applyAlignment="1" applyProtection="1">
      <alignment horizontal="center" vertical="center"/>
    </xf>
    <xf numFmtId="3" fontId="0" fillId="3" borderId="18" xfId="0" applyNumberFormat="1" applyFill="1" applyBorder="1" applyAlignment="1" applyProtection="1">
      <alignment horizontal="right" vertical="center"/>
    </xf>
    <xf numFmtId="0" fontId="10" fillId="2" borderId="2" xfId="0" applyNumberFormat="1" applyFont="1" applyFill="1" applyBorder="1" applyAlignment="1" applyProtection="1">
      <alignment horizontal="center" vertical="center" wrapText="1"/>
      <protection locked="0"/>
    </xf>
    <xf numFmtId="0" fontId="10" fillId="2" borderId="18" xfId="0" applyNumberFormat="1" applyFont="1" applyFill="1" applyBorder="1" applyAlignment="1" applyProtection="1">
      <alignment horizontal="center" vertical="center" wrapText="1"/>
      <protection locked="0"/>
    </xf>
    <xf numFmtId="0" fontId="9" fillId="2" borderId="2" xfId="3" applyFill="1" applyBorder="1" applyAlignment="1" applyProtection="1">
      <alignment horizontal="left" vertical="center" wrapText="1"/>
    </xf>
    <xf numFmtId="0" fontId="9" fillId="2" borderId="6" xfId="3" applyFill="1" applyBorder="1" applyAlignment="1" applyProtection="1">
      <alignment horizontal="left" vertical="center" wrapText="1"/>
    </xf>
    <xf numFmtId="0" fontId="9" fillId="2" borderId="18" xfId="3" applyFill="1" applyBorder="1" applyAlignment="1" applyProtection="1">
      <alignment horizontal="left" vertical="center" wrapText="1"/>
    </xf>
    <xf numFmtId="0" fontId="4" fillId="2" borderId="0" xfId="0" applyFont="1" applyFill="1" applyBorder="1" applyAlignment="1" applyProtection="1">
      <alignment horizontal="center"/>
    </xf>
    <xf numFmtId="0" fontId="5" fillId="2" borderId="0" xfId="0" applyFont="1" applyFill="1" applyBorder="1" applyAlignment="1" applyProtection="1">
      <alignment horizontal="center"/>
    </xf>
    <xf numFmtId="0" fontId="6" fillId="2" borderId="0" xfId="0" applyFont="1" applyFill="1" applyBorder="1" applyAlignment="1" applyProtection="1">
      <alignment horizontal="center"/>
    </xf>
    <xf numFmtId="0" fontId="7" fillId="4" borderId="0" xfId="0" applyFont="1" applyFill="1" applyBorder="1" applyAlignment="1" applyProtection="1">
      <alignment horizontal="left" vertical="center"/>
    </xf>
    <xf numFmtId="0" fontId="11" fillId="4" borderId="14" xfId="0" applyFont="1" applyFill="1" applyBorder="1" applyAlignment="1" applyProtection="1">
      <alignment horizontal="left" vertical="center" wrapText="1"/>
    </xf>
    <xf numFmtId="0" fontId="12" fillId="0" borderId="13" xfId="0" applyFont="1" applyBorder="1" applyAlignment="1" applyProtection="1">
      <alignment horizontal="left" vertical="center" wrapText="1"/>
    </xf>
    <xf numFmtId="1" fontId="10" fillId="0" borderId="2" xfId="0" applyNumberFormat="1" applyFont="1" applyFill="1" applyBorder="1" applyAlignment="1" applyProtection="1">
      <alignment horizontal="center" vertical="center"/>
      <protection locked="0"/>
    </xf>
    <xf numFmtId="1" fontId="10" fillId="0" borderId="21" xfId="0" applyNumberFormat="1" applyFont="1" applyFill="1" applyBorder="1" applyAlignment="1" applyProtection="1">
      <alignment horizontal="center" vertical="center"/>
      <protection locked="0"/>
    </xf>
    <xf numFmtId="0" fontId="11" fillId="4" borderId="12" xfId="0" applyFont="1" applyFill="1" applyBorder="1" applyAlignment="1" applyProtection="1">
      <alignment horizontal="left" vertical="center" wrapText="1"/>
    </xf>
    <xf numFmtId="49" fontId="0" fillId="2" borderId="2" xfId="0" applyNumberFormat="1" applyFill="1" applyBorder="1" applyAlignment="1" applyProtection="1">
      <alignment horizontal="right" vertical="center" wrapText="1"/>
    </xf>
    <xf numFmtId="49" fontId="0" fillId="2" borderId="18" xfId="0" applyNumberFormat="1" applyFill="1" applyBorder="1" applyAlignment="1" applyProtection="1">
      <alignment horizontal="right" vertical="center" wrapText="1"/>
    </xf>
    <xf numFmtId="0" fontId="8" fillId="4" borderId="0" xfId="0" applyFont="1" applyFill="1" applyBorder="1" applyAlignment="1" applyProtection="1">
      <alignment vertical="center"/>
    </xf>
    <xf numFmtId="0" fontId="13" fillId="2" borderId="32" xfId="0" applyFont="1" applyFill="1" applyBorder="1" applyAlignment="1" applyProtection="1">
      <alignment horizontal="left" vertical="center" wrapText="1"/>
    </xf>
    <xf numFmtId="0" fontId="13" fillId="0" borderId="32" xfId="0" applyFont="1" applyBorder="1" applyAlignment="1">
      <alignment horizontal="left" vertical="center" wrapText="1"/>
    </xf>
    <xf numFmtId="0" fontId="0" fillId="2" borderId="33" xfId="0" applyFill="1" applyBorder="1" applyAlignment="1" applyProtection="1">
      <alignment horizontal="right" vertical="center"/>
    </xf>
    <xf numFmtId="0" fontId="0" fillId="0" borderId="34" xfId="0" applyBorder="1" applyAlignment="1" applyProtection="1">
      <alignment horizontal="right" vertical="center"/>
    </xf>
    <xf numFmtId="0" fontId="0" fillId="2" borderId="35" xfId="0" applyFill="1" applyBorder="1" applyAlignment="1" applyProtection="1">
      <alignment horizontal="right" vertical="center"/>
    </xf>
    <xf numFmtId="0" fontId="0" fillId="0" borderId="18" xfId="0" applyBorder="1" applyAlignment="1" applyProtection="1">
      <alignment horizontal="right" vertical="center"/>
    </xf>
    <xf numFmtId="0" fontId="13" fillId="0" borderId="0" xfId="0" applyFont="1" applyBorder="1" applyAlignment="1">
      <alignment horizontal="left" vertical="center" wrapText="1"/>
    </xf>
    <xf numFmtId="0" fontId="13" fillId="2" borderId="12" xfId="0" applyFont="1" applyFill="1" applyBorder="1" applyAlignment="1" applyProtection="1">
      <alignment horizontal="left" wrapText="1"/>
    </xf>
    <xf numFmtId="0" fontId="13" fillId="2" borderId="0" xfId="0" applyFont="1" applyFill="1" applyBorder="1" applyAlignment="1" applyProtection="1">
      <alignment horizontal="left" wrapText="1"/>
    </xf>
    <xf numFmtId="0" fontId="0" fillId="0" borderId="0" xfId="0" applyAlignment="1" applyProtection="1">
      <alignment horizontal="left" wrapText="1"/>
    </xf>
    <xf numFmtId="49" fontId="0" fillId="2" borderId="2" xfId="0" applyNumberFormat="1" applyFill="1" applyBorder="1" applyAlignment="1" applyProtection="1">
      <alignment horizontal="right" wrapText="1"/>
    </xf>
    <xf numFmtId="49" fontId="0" fillId="2" borderId="18" xfId="0" applyNumberFormat="1" applyFill="1" applyBorder="1" applyAlignment="1" applyProtection="1">
      <alignment horizontal="right" wrapText="1"/>
    </xf>
    <xf numFmtId="3" fontId="3" fillId="0" borderId="2" xfId="0" applyNumberFormat="1" applyFont="1" applyFill="1" applyBorder="1" applyAlignment="1" applyProtection="1">
      <alignment horizontal="center" vertical="center"/>
      <protection locked="0"/>
    </xf>
    <xf numFmtId="3" fontId="0" fillId="0" borderId="18" xfId="0" applyNumberFormat="1" applyBorder="1" applyAlignment="1" applyProtection="1">
      <alignment horizontal="center" vertical="center"/>
      <protection locked="0"/>
    </xf>
    <xf numFmtId="0" fontId="71" fillId="0" borderId="0" xfId="0" applyFont="1" applyAlignment="1">
      <alignment wrapText="1"/>
    </xf>
    <xf numFmtId="49" fontId="3" fillId="2" borderId="2" xfId="0" applyNumberFormat="1" applyFont="1" applyFill="1" applyBorder="1" applyAlignment="1" applyProtection="1">
      <alignment horizontal="right" wrapText="1"/>
    </xf>
    <xf numFmtId="14" fontId="12" fillId="0" borderId="2" xfId="0" applyNumberFormat="1" applyFont="1" applyFill="1" applyBorder="1" applyAlignment="1" applyProtection="1">
      <alignment horizontal="center" vertical="center"/>
      <protection locked="0"/>
    </xf>
    <xf numFmtId="14" fontId="0" fillId="0" borderId="18" xfId="0" applyNumberFormat="1" applyBorder="1" applyAlignment="1" applyProtection="1">
      <alignment horizontal="center" vertical="center"/>
      <protection locked="0"/>
    </xf>
    <xf numFmtId="164" fontId="10" fillId="2" borderId="2" xfId="0" applyNumberFormat="1" applyFont="1" applyFill="1" applyBorder="1" applyAlignment="1" applyProtection="1">
      <alignment horizontal="left" vertical="center"/>
      <protection locked="0"/>
    </xf>
    <xf numFmtId="164" fontId="10" fillId="0" borderId="6" xfId="0" applyNumberFormat="1" applyFont="1" applyBorder="1" applyAlignment="1" applyProtection="1">
      <alignment horizontal="left" vertical="center"/>
      <protection locked="0"/>
    </xf>
    <xf numFmtId="164" fontId="10" fillId="0" borderId="18" xfId="0" applyNumberFormat="1" applyFont="1" applyBorder="1" applyAlignment="1" applyProtection="1">
      <alignment horizontal="left" vertical="center"/>
      <protection locked="0"/>
    </xf>
    <xf numFmtId="49" fontId="8" fillId="3" borderId="2" xfId="0" applyNumberFormat="1" applyFont="1" applyFill="1" applyBorder="1" applyAlignment="1" applyProtection="1">
      <alignment horizontal="center" vertical="center" wrapText="1"/>
    </xf>
    <xf numFmtId="49" fontId="8" fillId="3" borderId="6" xfId="0" applyNumberFormat="1" applyFont="1" applyFill="1" applyBorder="1" applyAlignment="1" applyProtection="1">
      <alignment horizontal="center" vertical="center" wrapText="1"/>
    </xf>
    <xf numFmtId="49" fontId="8" fillId="3" borderId="18" xfId="0" applyNumberFormat="1" applyFont="1" applyFill="1" applyBorder="1" applyAlignment="1" applyProtection="1">
      <alignment horizontal="center" vertical="center" wrapText="1"/>
    </xf>
    <xf numFmtId="0" fontId="9" fillId="2" borderId="2" xfId="3" applyNumberFormat="1" applyFont="1" applyFill="1" applyBorder="1" applyAlignment="1" applyProtection="1">
      <alignment horizontal="left" wrapText="1"/>
      <protection locked="0"/>
    </xf>
    <xf numFmtId="0" fontId="0" fillId="2" borderId="18" xfId="0" applyNumberFormat="1" applyFill="1" applyBorder="1" applyAlignment="1" applyProtection="1">
      <alignment horizontal="left" wrapText="1"/>
      <protection locked="0"/>
    </xf>
    <xf numFmtId="0" fontId="15" fillId="0" borderId="2" xfId="3" applyFont="1" applyBorder="1" applyAlignment="1" applyProtection="1">
      <alignment horizontal="left" vertical="center" wrapText="1"/>
      <protection locked="0"/>
    </xf>
    <xf numFmtId="0" fontId="10" fillId="0" borderId="18" xfId="0" applyFont="1" applyBorder="1" applyAlignment="1" applyProtection="1">
      <alignment horizontal="left" vertical="center" wrapText="1"/>
      <protection locked="0"/>
    </xf>
    <xf numFmtId="0" fontId="8" fillId="4" borderId="0" xfId="0" applyFont="1" applyFill="1" applyBorder="1" applyAlignment="1" applyProtection="1">
      <alignment wrapText="1"/>
    </xf>
    <xf numFmtId="0" fontId="0" fillId="2" borderId="0" xfId="0" applyFill="1" applyBorder="1" applyAlignment="1" applyProtection="1">
      <alignment horizontal="right" vertical="center"/>
    </xf>
    <xf numFmtId="0" fontId="0" fillId="0" borderId="0" xfId="0" applyAlignment="1" applyProtection="1">
      <alignment horizontal="right" vertical="center"/>
    </xf>
    <xf numFmtId="0" fontId="0" fillId="0" borderId="15" xfId="0" applyBorder="1" applyAlignment="1" applyProtection="1">
      <alignment horizontal="right" vertical="center"/>
    </xf>
    <xf numFmtId="0" fontId="0" fillId="2" borderId="2" xfId="0" applyFill="1" applyBorder="1" applyAlignment="1" applyProtection="1">
      <alignment horizontal="left" vertical="center"/>
      <protection locked="0"/>
    </xf>
    <xf numFmtId="0" fontId="0" fillId="2" borderId="6" xfId="0" applyFill="1" applyBorder="1" applyAlignment="1" applyProtection="1">
      <alignment horizontal="left" vertical="center"/>
      <protection locked="0"/>
    </xf>
    <xf numFmtId="0" fontId="0" fillId="2" borderId="18" xfId="0" applyFill="1" applyBorder="1" applyAlignment="1" applyProtection="1">
      <alignment horizontal="left" vertical="center"/>
      <protection locked="0"/>
    </xf>
    <xf numFmtId="0" fontId="10" fillId="0" borderId="6" xfId="0" applyFont="1" applyBorder="1" applyAlignment="1" applyProtection="1">
      <alignment horizontal="left" vertical="center" wrapText="1"/>
      <protection locked="0"/>
    </xf>
    <xf numFmtId="0" fontId="12" fillId="0" borderId="6" xfId="0" applyFont="1"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2" borderId="36" xfId="0" applyFill="1" applyBorder="1" applyAlignment="1" applyProtection="1">
      <alignment horizontal="right" vertical="center"/>
    </xf>
    <xf numFmtId="0" fontId="0" fillId="0" borderId="37" xfId="0" applyBorder="1" applyAlignment="1" applyProtection="1">
      <alignment horizontal="right" vertical="center"/>
    </xf>
    <xf numFmtId="164" fontId="12" fillId="2" borderId="2" xfId="0" applyNumberFormat="1" applyFont="1" applyFill="1" applyBorder="1" applyAlignment="1" applyProtection="1">
      <alignment horizontal="left" vertical="center"/>
      <protection locked="0"/>
    </xf>
    <xf numFmtId="164" fontId="12" fillId="2" borderId="6" xfId="0" applyNumberFormat="1" applyFont="1" applyFill="1" applyBorder="1" applyAlignment="1" applyProtection="1">
      <alignment horizontal="left" vertical="center"/>
      <protection locked="0"/>
    </xf>
    <xf numFmtId="164" fontId="12" fillId="2" borderId="18" xfId="0" applyNumberFormat="1" applyFont="1" applyFill="1" applyBorder="1" applyAlignment="1" applyProtection="1">
      <alignment horizontal="left" vertical="center"/>
      <protection locked="0"/>
    </xf>
    <xf numFmtId="164" fontId="0" fillId="2" borderId="2" xfId="0" applyNumberFormat="1" applyFill="1" applyBorder="1" applyAlignment="1" applyProtection="1">
      <alignment horizontal="left" vertical="center"/>
      <protection locked="0"/>
    </xf>
    <xf numFmtId="164" fontId="0" fillId="2" borderId="6" xfId="0" applyNumberFormat="1" applyFill="1" applyBorder="1" applyAlignment="1" applyProtection="1">
      <alignment horizontal="left" vertical="center"/>
      <protection locked="0"/>
    </xf>
    <xf numFmtId="164" fontId="0" fillId="2" borderId="18" xfId="0" applyNumberFormat="1" applyFill="1" applyBorder="1" applyAlignment="1" applyProtection="1">
      <alignment horizontal="left" vertical="center"/>
      <protection locked="0"/>
    </xf>
    <xf numFmtId="0" fontId="17" fillId="4" borderId="0" xfId="0" applyFont="1" applyFill="1" applyBorder="1" applyAlignment="1" applyProtection="1">
      <alignment horizontal="left" vertical="center"/>
    </xf>
    <xf numFmtId="0" fontId="71" fillId="2" borderId="16" xfId="0" applyFont="1" applyFill="1" applyBorder="1" applyAlignment="1" applyProtection="1">
      <alignment horizontal="center" vertical="center" wrapText="1"/>
    </xf>
    <xf numFmtId="0" fontId="9" fillId="2" borderId="0" xfId="3" applyFont="1" applyFill="1" applyBorder="1" applyAlignment="1" applyProtection="1">
      <alignment horizontal="left" vertical="center" wrapText="1"/>
    </xf>
    <xf numFmtId="166" fontId="19" fillId="3" borderId="2" xfId="0" applyNumberFormat="1" applyFont="1" applyFill="1" applyBorder="1" applyAlignment="1" applyProtection="1">
      <alignment horizontal="right" vertical="center"/>
    </xf>
    <xf numFmtId="166" fontId="19" fillId="3" borderId="18" xfId="0" applyNumberFormat="1" applyFont="1" applyFill="1" applyBorder="1" applyAlignment="1" applyProtection="1">
      <alignment horizontal="right" vertical="center"/>
    </xf>
    <xf numFmtId="166" fontId="0" fillId="14" borderId="2" xfId="0" applyNumberFormat="1" applyFill="1" applyBorder="1" applyAlignment="1" applyProtection="1">
      <alignment horizontal="right" vertical="center"/>
      <protection locked="0"/>
    </xf>
    <xf numFmtId="0" fontId="7" fillId="3" borderId="13" xfId="0" applyFont="1" applyFill="1" applyBorder="1" applyAlignment="1" applyProtection="1">
      <alignment horizontal="center" vertical="center"/>
    </xf>
    <xf numFmtId="5" fontId="14" fillId="4" borderId="2" xfId="0" applyNumberFormat="1" applyFont="1" applyFill="1" applyBorder="1" applyAlignment="1" applyProtection="1">
      <alignment horizontal="left" vertical="center" wrapText="1"/>
    </xf>
    <xf numFmtId="0" fontId="14" fillId="4" borderId="6" xfId="0" applyFont="1" applyFill="1" applyBorder="1" applyAlignment="1" applyProtection="1">
      <alignment horizontal="left" vertical="center" wrapText="1"/>
    </xf>
    <xf numFmtId="0" fontId="14" fillId="0" borderId="18" xfId="0" applyFont="1" applyBorder="1" applyAlignment="1" applyProtection="1">
      <alignment horizontal="left" vertical="center" wrapText="1"/>
    </xf>
    <xf numFmtId="0" fontId="9" fillId="0" borderId="11" xfId="3" applyFill="1" applyBorder="1" applyAlignment="1" applyProtection="1">
      <alignment horizontal="left" vertical="center" wrapText="1"/>
    </xf>
    <xf numFmtId="0" fontId="9" fillId="0" borderId="16" xfId="3" applyFill="1" applyBorder="1" applyAlignment="1" applyProtection="1">
      <alignment horizontal="left" vertical="center" wrapText="1"/>
    </xf>
    <xf numFmtId="0" fontId="9" fillId="0" borderId="16" xfId="3" applyBorder="1" applyAlignment="1" applyProtection="1">
      <alignment horizontal="left" vertical="center" wrapText="1"/>
    </xf>
    <xf numFmtId="166" fontId="0" fillId="3" borderId="2" xfId="0" applyNumberFormat="1" applyFill="1" applyBorder="1" applyAlignment="1" applyProtection="1">
      <alignment horizontal="right" vertical="center"/>
      <protection locked="0"/>
    </xf>
    <xf numFmtId="166" fontId="0" fillId="3" borderId="18" xfId="0" applyNumberFormat="1" applyFill="1" applyBorder="1" applyAlignment="1" applyProtection="1">
      <alignment horizontal="right" vertical="center"/>
      <protection locked="0"/>
    </xf>
    <xf numFmtId="166" fontId="10" fillId="3" borderId="2" xfId="0" applyNumberFormat="1" applyFont="1" applyFill="1" applyBorder="1" applyAlignment="1" applyProtection="1">
      <alignment horizontal="right" vertical="center"/>
    </xf>
    <xf numFmtId="166" fontId="10" fillId="3" borderId="18" xfId="0" applyNumberFormat="1" applyFont="1" applyFill="1" applyBorder="1" applyAlignment="1" applyProtection="1">
      <alignment horizontal="right" vertical="center"/>
    </xf>
    <xf numFmtId="0" fontId="14" fillId="2" borderId="12" xfId="0" applyFont="1" applyFill="1" applyBorder="1" applyAlignment="1" applyProtection="1">
      <alignment horizontal="left" vertical="center" wrapText="1"/>
    </xf>
    <xf numFmtId="0" fontId="0" fillId="0" borderId="0" xfId="0" applyAlignment="1">
      <alignment horizontal="left" vertical="center" wrapText="1"/>
    </xf>
    <xf numFmtId="0" fontId="9" fillId="2" borderId="11" xfId="3" applyFill="1" applyBorder="1" applyAlignment="1" applyProtection="1">
      <alignment horizontal="left" vertical="center" wrapText="1"/>
    </xf>
    <xf numFmtId="0" fontId="9" fillId="2" borderId="16" xfId="3" applyFill="1" applyBorder="1" applyAlignment="1" applyProtection="1">
      <alignment horizontal="left" vertical="center" wrapText="1"/>
    </xf>
    <xf numFmtId="49" fontId="3" fillId="2" borderId="2" xfId="0" applyNumberFormat="1" applyFont="1" applyFill="1" applyBorder="1" applyAlignment="1" applyProtection="1">
      <alignment horizontal="left" vertical="center" wrapText="1"/>
    </xf>
    <xf numFmtId="0" fontId="0" fillId="0" borderId="12" xfId="0" applyBorder="1" applyAlignment="1">
      <alignment horizontal="left" vertical="center" wrapText="1"/>
    </xf>
    <xf numFmtId="41" fontId="0" fillId="3" borderId="2" xfId="0" applyNumberFormat="1" applyFill="1" applyBorder="1" applyAlignment="1" applyProtection="1">
      <alignment horizontal="right" vertical="center"/>
    </xf>
    <xf numFmtId="41" fontId="0" fillId="3" borderId="18" xfId="0" applyNumberFormat="1" applyFill="1" applyBorder="1" applyAlignment="1" applyProtection="1">
      <alignment horizontal="right" vertical="center"/>
    </xf>
    <xf numFmtId="5" fontId="57" fillId="4" borderId="2" xfId="0" applyNumberFormat="1" applyFont="1" applyFill="1" applyBorder="1" applyAlignment="1" applyProtection="1">
      <alignment horizontal="left" vertical="center" wrapText="1"/>
    </xf>
    <xf numFmtId="0" fontId="57" fillId="4" borderId="6" xfId="0" applyFont="1" applyFill="1" applyBorder="1" applyAlignment="1" applyProtection="1">
      <alignment horizontal="left" vertical="center" wrapText="1"/>
    </xf>
    <xf numFmtId="0" fontId="57" fillId="0" borderId="18" xfId="0" applyFont="1" applyBorder="1" applyAlignment="1" applyProtection="1">
      <alignment horizontal="left" vertical="center" wrapText="1"/>
    </xf>
    <xf numFmtId="41" fontId="0" fillId="2" borderId="2" xfId="0" applyNumberFormat="1" applyFill="1" applyBorder="1" applyAlignment="1" applyProtection="1">
      <alignment horizontal="right" vertical="center"/>
      <protection locked="0"/>
    </xf>
    <xf numFmtId="41" fontId="0" fillId="2" borderId="18" xfId="0" applyNumberFormat="1" applyFill="1" applyBorder="1" applyAlignment="1" applyProtection="1">
      <alignment horizontal="right" vertical="center"/>
      <protection locked="0"/>
    </xf>
    <xf numFmtId="5" fontId="14" fillId="4" borderId="11" xfId="0" applyNumberFormat="1" applyFont="1" applyFill="1" applyBorder="1" applyAlignment="1" applyProtection="1">
      <alignment horizontal="left" vertical="center" wrapText="1"/>
    </xf>
    <xf numFmtId="0" fontId="0" fillId="0" borderId="16" xfId="0" applyBorder="1" applyAlignment="1" applyProtection="1">
      <alignment horizontal="left" vertical="center" wrapText="1"/>
    </xf>
    <xf numFmtId="0" fontId="0" fillId="0" borderId="17" xfId="0" applyBorder="1" applyAlignment="1" applyProtection="1">
      <alignment horizontal="left" vertical="center" wrapText="1"/>
    </xf>
    <xf numFmtId="0" fontId="0" fillId="0" borderId="14" xfId="0" applyBorder="1" applyAlignment="1" applyProtection="1">
      <alignment horizontal="left" vertical="center" wrapText="1"/>
    </xf>
    <xf numFmtId="0" fontId="0" fillId="0" borderId="13" xfId="0" applyBorder="1" applyAlignment="1" applyProtection="1">
      <alignment horizontal="left" vertical="center" wrapText="1"/>
    </xf>
    <xf numFmtId="0" fontId="0" fillId="0" borderId="21" xfId="0" applyBorder="1" applyAlignment="1" applyProtection="1">
      <alignment horizontal="left" vertical="center" wrapText="1"/>
    </xf>
    <xf numFmtId="0" fontId="7" fillId="3" borderId="13" xfId="0" applyFont="1" applyFill="1" applyBorder="1" applyAlignment="1" applyProtection="1">
      <alignment vertical="center"/>
    </xf>
    <xf numFmtId="5" fontId="13" fillId="4" borderId="11" xfId="0" applyNumberFormat="1" applyFont="1" applyFill="1" applyBorder="1" applyAlignment="1" applyProtection="1">
      <alignment horizontal="left" vertical="center" wrapText="1"/>
    </xf>
    <xf numFmtId="166" fontId="3" fillId="14" borderId="2" xfId="0" applyNumberFormat="1" applyFont="1" applyFill="1" applyBorder="1" applyAlignment="1" applyProtection="1">
      <alignment horizontal="right" vertical="center"/>
      <protection locked="0"/>
    </xf>
    <xf numFmtId="49" fontId="0" fillId="2" borderId="11" xfId="0" applyNumberFormat="1" applyFill="1" applyBorder="1" applyAlignment="1" applyProtection="1">
      <alignment horizontal="left" vertical="center" wrapText="1"/>
    </xf>
    <xf numFmtId="0" fontId="0" fillId="0" borderId="16" xfId="0" applyBorder="1" applyAlignment="1">
      <alignment horizontal="left" vertical="center" wrapText="1"/>
    </xf>
    <xf numFmtId="0" fontId="0" fillId="0" borderId="14" xfId="0" applyBorder="1" applyAlignment="1">
      <alignment horizontal="left" vertical="center" wrapText="1"/>
    </xf>
    <xf numFmtId="0" fontId="0" fillId="0" borderId="13" xfId="0" applyBorder="1" applyAlignment="1">
      <alignment horizontal="left" vertical="center" wrapText="1"/>
    </xf>
    <xf numFmtId="0" fontId="14" fillId="0" borderId="13" xfId="0" applyFont="1" applyBorder="1" applyAlignment="1">
      <alignment horizontal="left" wrapText="1"/>
    </xf>
    <xf numFmtId="0" fontId="14" fillId="0" borderId="21" xfId="0" applyFont="1" applyBorder="1" applyAlignment="1">
      <alignment horizontal="left" wrapText="1"/>
    </xf>
    <xf numFmtId="0" fontId="12" fillId="2" borderId="2" xfId="0" applyFont="1" applyFill="1" applyBorder="1" applyAlignment="1" applyProtection="1">
      <alignment horizontal="left" vertical="center" wrapText="1"/>
    </xf>
    <xf numFmtId="0" fontId="12" fillId="2" borderId="6" xfId="0" applyFont="1" applyFill="1" applyBorder="1" applyAlignment="1" applyProtection="1">
      <alignment horizontal="left" vertical="center" wrapText="1"/>
    </xf>
    <xf numFmtId="0" fontId="12" fillId="2" borderId="18" xfId="0" applyFont="1" applyFill="1" applyBorder="1" applyAlignment="1" applyProtection="1">
      <alignment horizontal="left" vertical="center" wrapText="1"/>
    </xf>
    <xf numFmtId="5" fontId="14" fillId="4" borderId="6" xfId="0" applyNumberFormat="1" applyFont="1" applyFill="1" applyBorder="1" applyAlignment="1" applyProtection="1">
      <alignment horizontal="left" vertical="center" wrapText="1"/>
    </xf>
    <xf numFmtId="5" fontId="14" fillId="4" borderId="18" xfId="0" applyNumberFormat="1" applyFont="1" applyFill="1" applyBorder="1" applyAlignment="1" applyProtection="1">
      <alignment horizontal="left" vertical="center" wrapText="1"/>
    </xf>
    <xf numFmtId="166" fontId="3" fillId="2" borderId="2" xfId="0" applyNumberFormat="1" applyFont="1" applyFill="1" applyBorder="1" applyAlignment="1" applyProtection="1">
      <alignment horizontal="right" vertical="center"/>
      <protection locked="0"/>
    </xf>
    <xf numFmtId="166" fontId="3" fillId="2" borderId="18" xfId="0" applyNumberFormat="1" applyFont="1" applyFill="1" applyBorder="1" applyAlignment="1" applyProtection="1">
      <alignment horizontal="right" vertical="center"/>
      <protection locked="0"/>
    </xf>
    <xf numFmtId="166" fontId="10" fillId="0" borderId="2" xfId="0" applyNumberFormat="1" applyFont="1" applyFill="1" applyBorder="1" applyAlignment="1" applyProtection="1">
      <alignment horizontal="right" vertical="center"/>
      <protection locked="0"/>
    </xf>
    <xf numFmtId="166" fontId="10" fillId="0" borderId="18" xfId="0" applyNumberFormat="1" applyFont="1" applyFill="1" applyBorder="1" applyAlignment="1" applyProtection="1">
      <alignment horizontal="right" vertical="center"/>
      <protection locked="0"/>
    </xf>
    <xf numFmtId="0" fontId="24" fillId="6" borderId="0" xfId="0" applyFont="1" applyFill="1" applyAlignment="1" applyProtection="1">
      <alignment horizontal="center" vertical="center" textRotation="180"/>
    </xf>
    <xf numFmtId="9" fontId="0" fillId="2" borderId="2" xfId="0" applyNumberFormat="1" applyFill="1" applyBorder="1" applyAlignment="1" applyProtection="1">
      <alignment horizontal="right" vertical="center"/>
      <protection locked="0"/>
    </xf>
    <xf numFmtId="9" fontId="0" fillId="2" borderId="18" xfId="0" applyNumberFormat="1" applyFill="1" applyBorder="1" applyAlignment="1" applyProtection="1">
      <alignment horizontal="right" vertical="center"/>
      <protection locked="0"/>
    </xf>
    <xf numFmtId="0" fontId="24" fillId="6" borderId="11" xfId="0" applyFont="1" applyFill="1" applyBorder="1" applyAlignment="1" applyProtection="1">
      <alignment horizontal="center" vertical="center" textRotation="180"/>
    </xf>
    <xf numFmtId="0" fontId="24" fillId="6" borderId="14" xfId="0" applyFont="1" applyFill="1" applyBorder="1" applyAlignment="1" applyProtection="1">
      <alignment horizontal="center" vertical="center" textRotation="180"/>
    </xf>
    <xf numFmtId="0" fontId="68" fillId="6" borderId="17" xfId="0" applyFont="1" applyFill="1" applyBorder="1" applyAlignment="1" applyProtection="1">
      <alignment horizontal="center" vertical="center" textRotation="180" wrapText="1"/>
    </xf>
    <xf numFmtId="0" fontId="68" fillId="6" borderId="14" xfId="0" applyFont="1" applyFill="1" applyBorder="1" applyAlignment="1" applyProtection="1">
      <alignment horizontal="center" vertical="center" textRotation="180" wrapText="1"/>
    </xf>
    <xf numFmtId="0" fontId="68" fillId="6" borderId="21" xfId="0" applyFont="1" applyFill="1" applyBorder="1" applyAlignment="1" applyProtection="1">
      <alignment horizontal="center" vertical="center" textRotation="180" wrapText="1"/>
    </xf>
    <xf numFmtId="49" fontId="9" fillId="2" borderId="2" xfId="3" applyNumberFormat="1" applyFont="1" applyFill="1" applyBorder="1" applyAlignment="1" applyProtection="1">
      <alignment horizontal="left" vertical="center" wrapText="1"/>
    </xf>
    <xf numFmtId="49" fontId="25" fillId="2" borderId="2" xfId="3" applyNumberFormat="1" applyFont="1" applyFill="1" applyBorder="1" applyAlignment="1" applyProtection="1">
      <alignment horizontal="left" vertical="center" wrapText="1"/>
    </xf>
    <xf numFmtId="49" fontId="25" fillId="2" borderId="6" xfId="3" applyNumberFormat="1" applyFont="1" applyFill="1" applyBorder="1" applyAlignment="1" applyProtection="1">
      <alignment horizontal="left" vertical="center" wrapText="1"/>
    </xf>
    <xf numFmtId="49" fontId="25" fillId="2" borderId="18" xfId="3" applyNumberFormat="1" applyFont="1" applyFill="1" applyBorder="1" applyAlignment="1" applyProtection="1">
      <alignment horizontal="left" vertical="center" wrapText="1"/>
    </xf>
    <xf numFmtId="0" fontId="71" fillId="2" borderId="12" xfId="0" applyFont="1" applyFill="1" applyBorder="1" applyAlignment="1" applyProtection="1">
      <alignment horizontal="left" vertical="center"/>
    </xf>
    <xf numFmtId="0" fontId="71" fillId="2" borderId="0" xfId="0" applyFont="1" applyFill="1" applyBorder="1" applyAlignment="1" applyProtection="1">
      <alignment horizontal="left" vertical="center"/>
    </xf>
    <xf numFmtId="0" fontId="69" fillId="6" borderId="11" xfId="0" applyFont="1" applyFill="1" applyBorder="1" applyAlignment="1" applyProtection="1">
      <alignment horizontal="center" vertical="center" textRotation="180"/>
    </xf>
    <xf numFmtId="0" fontId="69" fillId="6" borderId="17" xfId="0" applyFont="1" applyFill="1" applyBorder="1" applyAlignment="1" applyProtection="1">
      <alignment horizontal="center" vertical="center" textRotation="180"/>
    </xf>
    <xf numFmtId="0" fontId="69" fillId="6" borderId="14" xfId="0" applyFont="1" applyFill="1" applyBorder="1" applyAlignment="1" applyProtection="1">
      <alignment horizontal="center" vertical="center" textRotation="180"/>
    </xf>
    <xf numFmtId="0" fontId="69" fillId="6" borderId="21" xfId="0" applyFont="1" applyFill="1" applyBorder="1" applyAlignment="1" applyProtection="1">
      <alignment horizontal="center" vertical="center" textRotation="180"/>
    </xf>
    <xf numFmtId="0" fontId="9" fillId="0" borderId="6" xfId="3" applyBorder="1" applyAlignment="1" applyProtection="1">
      <alignment horizontal="left" vertical="center" wrapText="1"/>
    </xf>
    <xf numFmtId="0" fontId="9" fillId="0" borderId="18" xfId="3" applyBorder="1" applyAlignment="1" applyProtection="1">
      <alignment horizontal="left" vertical="center" wrapText="1"/>
    </xf>
    <xf numFmtId="10" fontId="0" fillId="2" borderId="2" xfId="0" applyNumberFormat="1" applyFill="1" applyBorder="1" applyAlignment="1" applyProtection="1">
      <alignment horizontal="right" vertical="center"/>
      <protection locked="0"/>
    </xf>
    <xf numFmtId="10" fontId="0" fillId="2" borderId="18" xfId="0" applyNumberFormat="1" applyFill="1" applyBorder="1" applyAlignment="1" applyProtection="1">
      <alignment horizontal="right" vertical="center"/>
      <protection locked="0"/>
    </xf>
    <xf numFmtId="166" fontId="0" fillId="2" borderId="2" xfId="0" applyNumberFormat="1" applyFill="1" applyBorder="1" applyAlignment="1" applyProtection="1">
      <alignment horizontal="right" vertical="center"/>
      <protection locked="0"/>
    </xf>
    <xf numFmtId="166" fontId="0" fillId="2" borderId="18" xfId="0" applyNumberFormat="1" applyFill="1" applyBorder="1" applyAlignment="1" applyProtection="1">
      <alignment horizontal="right" vertical="center"/>
      <protection locked="0"/>
    </xf>
    <xf numFmtId="166" fontId="3" fillId="3" borderId="2" xfId="0" applyNumberFormat="1" applyFont="1" applyFill="1" applyBorder="1" applyAlignment="1" applyProtection="1">
      <alignment horizontal="right" vertical="center"/>
    </xf>
    <xf numFmtId="166" fontId="3" fillId="3" borderId="18" xfId="0" applyNumberFormat="1" applyFont="1" applyFill="1" applyBorder="1" applyAlignment="1" applyProtection="1">
      <alignment horizontal="right" vertical="center"/>
    </xf>
    <xf numFmtId="166" fontId="0" fillId="2" borderId="2" xfId="0" applyNumberFormat="1" applyFill="1" applyBorder="1" applyAlignment="1" applyProtection="1">
      <alignment horizontal="right" vertical="center" wrapText="1"/>
      <protection locked="0"/>
    </xf>
    <xf numFmtId="166" fontId="0" fillId="2" borderId="18" xfId="0" applyNumberFormat="1" applyFill="1" applyBorder="1" applyAlignment="1" applyProtection="1">
      <alignment horizontal="right" vertical="center" wrapText="1"/>
      <protection locked="0"/>
    </xf>
    <xf numFmtId="166" fontId="0" fillId="0" borderId="3" xfId="0" applyNumberFormat="1" applyFill="1" applyBorder="1" applyAlignment="1" applyProtection="1">
      <alignment horizontal="right" vertical="center"/>
      <protection locked="0"/>
    </xf>
    <xf numFmtId="0" fontId="9" fillId="2" borderId="16" xfId="3" applyFont="1" applyFill="1" applyBorder="1" applyAlignment="1" applyProtection="1">
      <alignment horizontal="left" vertical="center" wrapText="1"/>
    </xf>
    <xf numFmtId="0" fontId="9" fillId="2" borderId="17" xfId="3" applyFill="1" applyBorder="1" applyAlignment="1" applyProtection="1">
      <alignment horizontal="left" vertical="center" wrapText="1"/>
    </xf>
    <xf numFmtId="0" fontId="9" fillId="0" borderId="13" xfId="3" applyBorder="1" applyAlignment="1" applyProtection="1">
      <alignment horizontal="left" vertical="center"/>
    </xf>
    <xf numFmtId="0" fontId="9" fillId="0" borderId="21" xfId="3" applyBorder="1" applyAlignment="1" applyProtection="1">
      <alignment horizontal="left" vertical="center"/>
    </xf>
    <xf numFmtId="0" fontId="0" fillId="2" borderId="19" xfId="0" applyFill="1" applyBorder="1" applyAlignment="1" applyProtection="1">
      <alignment horizontal="center" vertical="center"/>
    </xf>
    <xf numFmtId="0" fontId="0" fillId="2" borderId="29" xfId="0" applyFill="1" applyBorder="1" applyAlignment="1" applyProtection="1">
      <alignment horizontal="center" vertical="center"/>
    </xf>
    <xf numFmtId="166" fontId="0" fillId="3" borderId="3" xfId="0" applyNumberFormat="1" applyFill="1" applyBorder="1" applyAlignment="1" applyProtection="1">
      <alignment horizontal="right" vertical="center"/>
    </xf>
    <xf numFmtId="166" fontId="0" fillId="0" borderId="3" xfId="0" applyNumberFormat="1" applyBorder="1" applyAlignment="1" applyProtection="1">
      <alignment horizontal="right" vertical="center"/>
    </xf>
    <xf numFmtId="166" fontId="0" fillId="0" borderId="2" xfId="0" applyNumberFormat="1" applyBorder="1" applyAlignment="1" applyProtection="1">
      <alignment horizontal="right" vertical="center"/>
    </xf>
    <xf numFmtId="0" fontId="10" fillId="2" borderId="6" xfId="0" applyFont="1" applyFill="1" applyBorder="1" applyAlignment="1" applyProtection="1">
      <alignment horizontal="left" vertical="center" wrapText="1"/>
    </xf>
    <xf numFmtId="0" fontId="10" fillId="0" borderId="6" xfId="0" applyFont="1" applyBorder="1" applyAlignment="1" applyProtection="1">
      <alignment horizontal="left" vertical="center" wrapText="1"/>
    </xf>
    <xf numFmtId="0" fontId="10" fillId="0" borderId="18" xfId="0" applyFont="1" applyBorder="1" applyAlignment="1" applyProtection="1">
      <alignment horizontal="left" vertical="center" wrapText="1"/>
    </xf>
    <xf numFmtId="166" fontId="10" fillId="3" borderId="3" xfId="0" applyNumberFormat="1" applyFont="1" applyFill="1" applyBorder="1" applyAlignment="1" applyProtection="1">
      <alignment horizontal="right" vertical="center"/>
    </xf>
    <xf numFmtId="0" fontId="7" fillId="4" borderId="0" xfId="0" applyFont="1" applyFill="1" applyBorder="1" applyAlignment="1" applyProtection="1">
      <alignment horizontal="left" vertical="center" wrapText="1"/>
    </xf>
    <xf numFmtId="0" fontId="15" fillId="2" borderId="6" xfId="3" applyFont="1" applyFill="1" applyBorder="1" applyAlignment="1" applyProtection="1">
      <alignment horizontal="left" vertical="center" wrapText="1"/>
    </xf>
    <xf numFmtId="0" fontId="28" fillId="0" borderId="6" xfId="3" applyFont="1" applyBorder="1" applyAlignment="1" applyProtection="1">
      <alignment horizontal="left" vertical="center" wrapText="1"/>
    </xf>
    <xf numFmtId="0" fontId="28" fillId="0" borderId="18" xfId="3" applyFont="1" applyBorder="1" applyAlignment="1" applyProtection="1">
      <alignment horizontal="left" vertical="center" wrapText="1"/>
    </xf>
    <xf numFmtId="0" fontId="0" fillId="6" borderId="3" xfId="0" applyFill="1" applyBorder="1" applyAlignment="1" applyProtection="1">
      <alignment horizontal="center" vertical="center"/>
    </xf>
    <xf numFmtId="0" fontId="0" fillId="0" borderId="3" xfId="0" applyBorder="1" applyAlignment="1" applyProtection="1">
      <alignment vertical="center"/>
    </xf>
    <xf numFmtId="0" fontId="0" fillId="2" borderId="11" xfId="0" applyFill="1" applyBorder="1" applyAlignment="1" applyProtection="1">
      <alignment horizontal="center" vertical="center"/>
    </xf>
    <xf numFmtId="0" fontId="0" fillId="2" borderId="14" xfId="0" applyFill="1" applyBorder="1" applyAlignment="1" applyProtection="1">
      <alignment horizontal="center" vertical="center"/>
    </xf>
    <xf numFmtId="0" fontId="7" fillId="3" borderId="0" xfId="0" applyFont="1" applyFill="1" applyBorder="1" applyAlignment="1" applyProtection="1">
      <alignment horizontal="center" vertical="center" wrapText="1"/>
    </xf>
    <xf numFmtId="0" fontId="13" fillId="4" borderId="11" xfId="0" applyFont="1" applyFill="1" applyBorder="1" applyAlignment="1" applyProtection="1">
      <alignment horizontal="left" vertical="center" wrapText="1"/>
    </xf>
    <xf numFmtId="0" fontId="13" fillId="4" borderId="16" xfId="0" applyFont="1" applyFill="1" applyBorder="1" applyAlignment="1" applyProtection="1">
      <alignment horizontal="left" vertical="center" wrapText="1"/>
    </xf>
    <xf numFmtId="0" fontId="13" fillId="4" borderId="17" xfId="0" applyFont="1" applyFill="1" applyBorder="1" applyAlignment="1" applyProtection="1">
      <alignment horizontal="left" vertical="center" wrapText="1"/>
    </xf>
    <xf numFmtId="0" fontId="13" fillId="4" borderId="12" xfId="0" applyFont="1" applyFill="1" applyBorder="1" applyAlignment="1" applyProtection="1">
      <alignment horizontal="left" vertical="center" wrapText="1"/>
    </xf>
    <xf numFmtId="0" fontId="13" fillId="4" borderId="0" xfId="0" applyFont="1" applyFill="1" applyBorder="1" applyAlignment="1" applyProtection="1">
      <alignment horizontal="left" vertical="center" wrapText="1"/>
    </xf>
    <xf numFmtId="0" fontId="13" fillId="4" borderId="15" xfId="0" applyFont="1" applyFill="1" applyBorder="1" applyAlignment="1" applyProtection="1">
      <alignment horizontal="left" vertical="center" wrapText="1"/>
    </xf>
    <xf numFmtId="0" fontId="13" fillId="4" borderId="14" xfId="0" applyFont="1" applyFill="1" applyBorder="1" applyAlignment="1" applyProtection="1">
      <alignment horizontal="left" vertical="center" wrapText="1"/>
    </xf>
    <xf numFmtId="0" fontId="13" fillId="4" borderId="13" xfId="0" applyFont="1" applyFill="1" applyBorder="1" applyAlignment="1" applyProtection="1">
      <alignment horizontal="left" vertical="center" wrapText="1"/>
    </xf>
    <xf numFmtId="0" fontId="13" fillId="4" borderId="21" xfId="0" applyFont="1" applyFill="1" applyBorder="1" applyAlignment="1" applyProtection="1">
      <alignment horizontal="left" vertical="center" wrapText="1"/>
    </xf>
    <xf numFmtId="166" fontId="0" fillId="0" borderId="29" xfId="0" applyNumberFormat="1" applyFill="1" applyBorder="1" applyAlignment="1" applyProtection="1">
      <alignment horizontal="right" vertical="center"/>
      <protection locked="0"/>
    </xf>
    <xf numFmtId="166" fontId="3" fillId="0" borderId="3" xfId="0" applyNumberFormat="1" applyFont="1" applyFill="1" applyBorder="1" applyAlignment="1" applyProtection="1">
      <alignment horizontal="right" vertical="center"/>
      <protection locked="0"/>
    </xf>
    <xf numFmtId="0" fontId="0" fillId="0" borderId="12" xfId="0" applyBorder="1" applyAlignment="1" applyProtection="1">
      <alignment horizontal="left" vertical="center" wrapText="1"/>
    </xf>
    <xf numFmtId="0" fontId="0" fillId="0" borderId="15" xfId="0" applyBorder="1" applyAlignment="1" applyProtection="1">
      <alignment horizontal="left" vertical="center" wrapText="1"/>
    </xf>
    <xf numFmtId="0" fontId="0" fillId="5" borderId="11" xfId="0" applyFill="1" applyBorder="1" applyAlignment="1" applyProtection="1">
      <alignment horizontal="center"/>
    </xf>
    <xf numFmtId="0" fontId="0" fillId="5" borderId="17" xfId="0" applyFill="1" applyBorder="1" applyAlignment="1" applyProtection="1">
      <alignment horizontal="center"/>
    </xf>
    <xf numFmtId="0" fontId="0" fillId="5" borderId="12" xfId="0" applyFill="1" applyBorder="1" applyAlignment="1" applyProtection="1">
      <alignment horizontal="center"/>
    </xf>
    <xf numFmtId="0" fontId="0" fillId="5" borderId="15" xfId="0" applyFill="1" applyBorder="1" applyAlignment="1" applyProtection="1">
      <alignment horizontal="center"/>
    </xf>
    <xf numFmtId="0" fontId="0" fillId="5" borderId="14" xfId="0" applyFill="1" applyBorder="1" applyAlignment="1" applyProtection="1">
      <alignment horizontal="center"/>
    </xf>
    <xf numFmtId="0" fontId="0" fillId="5" borderId="21" xfId="0" applyFill="1" applyBorder="1" applyAlignment="1" applyProtection="1">
      <alignment horizontal="center"/>
    </xf>
    <xf numFmtId="0" fontId="7" fillId="4" borderId="0" xfId="0" applyNumberFormat="1" applyFont="1" applyFill="1" applyBorder="1" applyAlignment="1" applyProtection="1">
      <alignment horizontal="left" vertical="center" wrapText="1"/>
    </xf>
    <xf numFmtId="0" fontId="0" fillId="0" borderId="0" xfId="0" applyAlignment="1" applyProtection="1">
      <alignment vertical="center" wrapText="1"/>
    </xf>
    <xf numFmtId="166" fontId="0" fillId="0" borderId="2" xfId="0" applyNumberFormat="1" applyFill="1" applyBorder="1" applyAlignment="1" applyProtection="1">
      <alignment horizontal="right" vertical="center"/>
      <protection locked="0"/>
    </xf>
    <xf numFmtId="166" fontId="0" fillId="0" borderId="18" xfId="0" applyNumberFormat="1" applyFill="1" applyBorder="1" applyAlignment="1" applyProtection="1">
      <alignment horizontal="right" vertical="center"/>
      <protection locked="0"/>
    </xf>
    <xf numFmtId="0" fontId="0" fillId="5" borderId="16" xfId="0" applyFill="1" applyBorder="1" applyAlignment="1" applyProtection="1">
      <alignment horizontal="center"/>
    </xf>
    <xf numFmtId="0" fontId="0" fillId="5" borderId="0" xfId="0" applyFill="1" applyBorder="1" applyAlignment="1" applyProtection="1">
      <alignment horizontal="center"/>
    </xf>
    <xf numFmtId="0" fontId="0" fillId="2" borderId="2" xfId="0" applyFill="1" applyBorder="1" applyAlignment="1" applyProtection="1">
      <alignment horizontal="left" vertical="center"/>
    </xf>
    <xf numFmtId="0" fontId="0" fillId="0" borderId="6" xfId="0" applyBorder="1" applyAlignment="1" applyProtection="1">
      <alignment horizontal="left" vertical="center"/>
    </xf>
    <xf numFmtId="0" fontId="0" fillId="0" borderId="18" xfId="0" applyBorder="1" applyAlignment="1" applyProtection="1">
      <alignment horizontal="left" vertical="center"/>
    </xf>
    <xf numFmtId="168" fontId="0" fillId="2" borderId="2" xfId="0" applyNumberFormat="1" applyFill="1" applyBorder="1" applyAlignment="1" applyProtection="1">
      <alignment horizontal="right" vertical="center"/>
      <protection locked="0"/>
    </xf>
    <xf numFmtId="168" fontId="0" fillId="2" borderId="18" xfId="0" applyNumberFormat="1" applyFill="1" applyBorder="1" applyAlignment="1" applyProtection="1">
      <alignment horizontal="right" vertical="center"/>
      <protection locked="0"/>
    </xf>
    <xf numFmtId="0" fontId="14" fillId="4" borderId="11" xfId="0" applyFont="1" applyFill="1" applyBorder="1" applyAlignment="1" applyProtection="1">
      <alignment horizontal="left" vertical="center" wrapText="1"/>
    </xf>
    <xf numFmtId="0" fontId="14" fillId="4" borderId="16" xfId="0" applyFont="1" applyFill="1" applyBorder="1" applyAlignment="1" applyProtection="1">
      <alignment horizontal="left" vertical="center" wrapText="1"/>
    </xf>
    <xf numFmtId="0" fontId="14" fillId="4" borderId="17" xfId="0" applyFont="1" applyFill="1" applyBorder="1" applyAlignment="1" applyProtection="1">
      <alignment horizontal="left" vertical="center" wrapText="1"/>
    </xf>
    <xf numFmtId="0" fontId="14" fillId="4" borderId="12" xfId="0" applyFont="1" applyFill="1" applyBorder="1" applyAlignment="1" applyProtection="1">
      <alignment horizontal="left" vertical="center" wrapText="1"/>
    </xf>
    <xf numFmtId="0" fontId="14" fillId="4" borderId="0" xfId="0" applyFont="1" applyFill="1" applyBorder="1" applyAlignment="1" applyProtection="1">
      <alignment horizontal="left" vertical="center" wrapText="1"/>
    </xf>
    <xf numFmtId="0" fontId="14" fillId="4" borderId="15" xfId="0" applyFont="1" applyFill="1" applyBorder="1" applyAlignment="1" applyProtection="1">
      <alignment horizontal="left" vertical="center" wrapText="1"/>
    </xf>
    <xf numFmtId="0" fontId="14" fillId="4" borderId="14" xfId="0" applyFont="1" applyFill="1" applyBorder="1" applyAlignment="1" applyProtection="1">
      <alignment horizontal="left" vertical="center" wrapText="1"/>
    </xf>
    <xf numFmtId="0" fontId="14" fillId="4" borderId="13" xfId="0" applyFont="1" applyFill="1" applyBorder="1" applyAlignment="1" applyProtection="1">
      <alignment horizontal="left" vertical="center" wrapText="1"/>
    </xf>
    <xf numFmtId="0" fontId="14" fillId="4" borderId="21" xfId="0" applyFont="1" applyFill="1" applyBorder="1" applyAlignment="1" applyProtection="1">
      <alignment horizontal="left" vertical="center" wrapText="1"/>
    </xf>
    <xf numFmtId="0" fontId="0" fillId="0" borderId="16" xfId="0" applyBorder="1" applyAlignment="1" applyProtection="1"/>
    <xf numFmtId="0" fontId="0" fillId="0" borderId="13" xfId="0" applyBorder="1" applyAlignment="1" applyProtection="1"/>
    <xf numFmtId="0" fontId="0" fillId="3" borderId="0" xfId="0" applyFill="1" applyBorder="1" applyAlignment="1" applyProtection="1">
      <alignment horizontal="left" vertical="center"/>
    </xf>
    <xf numFmtId="0" fontId="0" fillId="2" borderId="6" xfId="0" applyFill="1" applyBorder="1" applyAlignment="1" applyProtection="1">
      <alignment horizontal="left" vertical="center"/>
    </xf>
    <xf numFmtId="167" fontId="0" fillId="0" borderId="3" xfId="0" applyNumberFormat="1" applyFill="1" applyBorder="1" applyAlignment="1" applyProtection="1">
      <alignment horizontal="right" vertical="center"/>
      <protection locked="0"/>
    </xf>
    <xf numFmtId="49" fontId="7" fillId="4" borderId="0" xfId="0" applyNumberFormat="1" applyFont="1" applyFill="1" applyBorder="1" applyAlignment="1" applyProtection="1">
      <alignment horizontal="left" vertical="center" wrapText="1"/>
    </xf>
    <xf numFmtId="167" fontId="0" fillId="3" borderId="3" xfId="0" applyNumberFormat="1" applyFill="1" applyBorder="1" applyAlignment="1" applyProtection="1">
      <alignment horizontal="right" vertical="center"/>
    </xf>
    <xf numFmtId="0" fontId="10" fillId="2" borderId="6" xfId="0" applyFont="1" applyFill="1" applyBorder="1" applyAlignment="1" applyProtection="1">
      <alignment horizontal="left" vertical="center"/>
    </xf>
    <xf numFmtId="0" fontId="10" fillId="0" borderId="6" xfId="0" applyFont="1" applyBorder="1" applyAlignment="1" applyProtection="1">
      <alignment horizontal="left" vertical="center"/>
    </xf>
    <xf numFmtId="0" fontId="10" fillId="0" borderId="18" xfId="0" applyFont="1" applyBorder="1" applyAlignment="1" applyProtection="1">
      <alignment horizontal="left" vertical="center"/>
    </xf>
    <xf numFmtId="167" fontId="10" fillId="0" borderId="3" xfId="0" applyNumberFormat="1" applyFont="1" applyFill="1" applyBorder="1" applyAlignment="1" applyProtection="1">
      <alignment horizontal="right" vertical="center"/>
      <protection locked="0"/>
    </xf>
    <xf numFmtId="166" fontId="10" fillId="3" borderId="3" xfId="0" quotePrefix="1" applyNumberFormat="1" applyFont="1" applyFill="1" applyBorder="1" applyAlignment="1" applyProtection="1">
      <alignment horizontal="right" vertical="center"/>
    </xf>
    <xf numFmtId="0" fontId="9" fillId="2" borderId="3" xfId="3" applyFill="1" applyBorder="1" applyAlignment="1" applyProtection="1">
      <alignment horizontal="left" vertical="center" wrapText="1"/>
    </xf>
    <xf numFmtId="0" fontId="0" fillId="2" borderId="3" xfId="0" quotePrefix="1" applyFill="1" applyBorder="1" applyAlignment="1" applyProtection="1">
      <alignment horizontal="center" vertical="center"/>
    </xf>
    <xf numFmtId="0" fontId="0" fillId="0" borderId="3" xfId="0" applyBorder="1" applyAlignment="1" applyProtection="1">
      <alignment horizontal="center" vertical="center"/>
    </xf>
    <xf numFmtId="0" fontId="0" fillId="2" borderId="3" xfId="0" applyFill="1" applyBorder="1" applyAlignment="1" applyProtection="1">
      <alignment horizontal="left" vertical="center" wrapText="1"/>
    </xf>
    <xf numFmtId="0" fontId="0" fillId="0" borderId="3" xfId="0" applyBorder="1" applyAlignment="1" applyProtection="1">
      <alignment horizontal="left" vertical="center" wrapText="1"/>
    </xf>
    <xf numFmtId="0" fontId="0" fillId="2" borderId="0" xfId="0" applyFill="1" applyBorder="1" applyAlignment="1" applyProtection="1">
      <alignment horizontal="left" vertical="center" wrapText="1"/>
    </xf>
    <xf numFmtId="0" fontId="7" fillId="3"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13" xfId="0" applyBorder="1" applyAlignment="1" applyProtection="1">
      <alignment horizontal="left" vertical="top" wrapText="1"/>
    </xf>
    <xf numFmtId="0" fontId="8" fillId="3" borderId="0" xfId="0" applyFont="1" applyFill="1" applyBorder="1" applyAlignment="1" applyProtection="1">
      <alignment horizontal="center" wrapText="1"/>
    </xf>
    <xf numFmtId="0" fontId="0" fillId="0" borderId="0" xfId="0" applyAlignment="1" applyProtection="1">
      <alignment horizontal="center" wrapText="1"/>
    </xf>
    <xf numFmtId="0" fontId="0" fillId="0" borderId="13" xfId="0" applyBorder="1" applyAlignment="1" applyProtection="1">
      <alignment horizontal="center" wrapText="1"/>
    </xf>
    <xf numFmtId="0" fontId="12" fillId="2" borderId="2" xfId="0" applyFont="1" applyFill="1" applyBorder="1" applyAlignment="1" applyProtection="1">
      <alignment horizontal="left" vertical="center"/>
    </xf>
    <xf numFmtId="3" fontId="0" fillId="6" borderId="6" xfId="0" applyNumberFormat="1" applyFill="1" applyBorder="1" applyAlignment="1" applyProtection="1">
      <alignment horizontal="right" vertical="center"/>
    </xf>
    <xf numFmtId="3" fontId="0" fillId="6" borderId="18" xfId="0" applyNumberFormat="1" applyFill="1" applyBorder="1" applyAlignment="1" applyProtection="1">
      <alignment horizontal="right" vertical="center"/>
    </xf>
    <xf numFmtId="0" fontId="10" fillId="2" borderId="2" xfId="0" applyFont="1" applyFill="1" applyBorder="1" applyAlignment="1" applyProtection="1">
      <alignment horizontal="left" vertical="center"/>
    </xf>
    <xf numFmtId="166" fontId="10" fillId="3" borderId="2" xfId="0" applyNumberFormat="1" applyFont="1" applyFill="1" applyBorder="1" applyAlignment="1" applyProtection="1">
      <alignment horizontal="right" vertical="center"/>
      <protection locked="0"/>
    </xf>
    <xf numFmtId="166" fontId="10" fillId="3" borderId="18" xfId="0" applyNumberFormat="1" applyFont="1" applyFill="1" applyBorder="1" applyAlignment="1" applyProtection="1">
      <alignment horizontal="right" vertical="center"/>
      <protection locked="0"/>
    </xf>
    <xf numFmtId="168" fontId="10" fillId="2" borderId="2" xfId="0" applyNumberFormat="1" applyFont="1" applyFill="1" applyBorder="1" applyAlignment="1" applyProtection="1">
      <alignment horizontal="right" vertical="center"/>
      <protection locked="0"/>
    </xf>
    <xf numFmtId="168" fontId="10" fillId="2" borderId="18" xfId="0" applyNumberFormat="1" applyFont="1" applyFill="1" applyBorder="1" applyAlignment="1" applyProtection="1">
      <alignment horizontal="right" vertical="center"/>
      <protection locked="0"/>
    </xf>
    <xf numFmtId="0" fontId="3" fillId="2" borderId="2" xfId="0" applyFont="1" applyFill="1" applyBorder="1" applyAlignment="1" applyProtection="1">
      <alignment horizontal="left" vertical="center"/>
    </xf>
    <xf numFmtId="168" fontId="0" fillId="3" borderId="2" xfId="0" applyNumberFormat="1" applyFill="1" applyBorder="1" applyAlignment="1" applyProtection="1">
      <alignment horizontal="right" vertical="center"/>
    </xf>
    <xf numFmtId="168" fontId="0" fillId="3" borderId="18" xfId="0" applyNumberFormat="1" applyFill="1" applyBorder="1" applyAlignment="1" applyProtection="1">
      <alignment horizontal="right" vertical="center"/>
    </xf>
    <xf numFmtId="0" fontId="8" fillId="3" borderId="13" xfId="0" applyFont="1" applyFill="1" applyBorder="1" applyAlignment="1" applyProtection="1">
      <alignment horizontal="center" vertical="center" wrapText="1"/>
    </xf>
    <xf numFmtId="0" fontId="8" fillId="3" borderId="0" xfId="0" applyFont="1" applyFill="1" applyBorder="1" applyAlignment="1" applyProtection="1">
      <alignment horizontal="center" vertical="center" wrapText="1"/>
    </xf>
    <xf numFmtId="0" fontId="9" fillId="0" borderId="0" xfId="3" applyFill="1" applyBorder="1" applyAlignment="1" applyProtection="1">
      <alignment horizontal="left" vertical="center" wrapText="1"/>
    </xf>
    <xf numFmtId="3" fontId="0" fillId="2" borderId="2" xfId="0" applyNumberFormat="1" applyFill="1" applyBorder="1" applyAlignment="1" applyProtection="1">
      <alignment horizontal="right" vertical="center"/>
      <protection locked="0"/>
    </xf>
    <xf numFmtId="3" fontId="0" fillId="2" borderId="18" xfId="0" applyNumberFormat="1" applyFill="1" applyBorder="1" applyAlignment="1" applyProtection="1">
      <alignment horizontal="right" vertical="center"/>
      <protection locked="0"/>
    </xf>
    <xf numFmtId="4" fontId="0" fillId="2" borderId="2" xfId="0" applyNumberFormat="1" applyFill="1" applyBorder="1" applyAlignment="1" applyProtection="1">
      <alignment horizontal="right" vertical="center"/>
      <protection locked="0"/>
    </xf>
    <xf numFmtId="4" fontId="0" fillId="2" borderId="18" xfId="0" applyNumberFormat="1" applyFill="1" applyBorder="1" applyAlignment="1" applyProtection="1">
      <alignment horizontal="right" vertical="center"/>
      <protection locked="0"/>
    </xf>
    <xf numFmtId="167" fontId="10" fillId="2" borderId="2" xfId="0" applyNumberFormat="1" applyFont="1" applyFill="1" applyBorder="1" applyAlignment="1" applyProtection="1">
      <alignment horizontal="center" vertical="center"/>
      <protection locked="0"/>
    </xf>
    <xf numFmtId="167" fontId="10" fillId="2" borderId="18" xfId="0" applyNumberFormat="1" applyFont="1" applyFill="1" applyBorder="1" applyAlignment="1" applyProtection="1">
      <alignment horizontal="center" vertical="center"/>
      <protection locked="0"/>
    </xf>
    <xf numFmtId="1" fontId="12" fillId="2" borderId="2" xfId="0" applyNumberFormat="1" applyFont="1" applyFill="1" applyBorder="1" applyAlignment="1" applyProtection="1">
      <alignment horizontal="center" vertical="center" wrapText="1"/>
      <protection locked="0"/>
    </xf>
    <xf numFmtId="1" fontId="12" fillId="2" borderId="18" xfId="0" applyNumberFormat="1" applyFont="1" applyFill="1" applyBorder="1" applyAlignment="1" applyProtection="1">
      <alignment horizontal="center" vertical="center" wrapText="1"/>
      <protection locked="0"/>
    </xf>
    <xf numFmtId="49" fontId="10" fillId="2" borderId="2" xfId="0" applyNumberFormat="1" applyFont="1" applyFill="1" applyBorder="1" applyAlignment="1" applyProtection="1">
      <alignment horizontal="left" vertical="center"/>
    </xf>
    <xf numFmtId="49" fontId="10" fillId="2" borderId="6" xfId="0" applyNumberFormat="1" applyFont="1" applyFill="1" applyBorder="1" applyAlignment="1" applyProtection="1">
      <alignment horizontal="left" vertical="center"/>
    </xf>
    <xf numFmtId="49" fontId="10" fillId="2" borderId="18" xfId="0" applyNumberFormat="1" applyFont="1" applyFill="1" applyBorder="1" applyAlignment="1" applyProtection="1">
      <alignment horizontal="left" vertical="center"/>
    </xf>
    <xf numFmtId="0" fontId="0" fillId="0" borderId="18" xfId="0" applyBorder="1"/>
    <xf numFmtId="49" fontId="10" fillId="6" borderId="12" xfId="0" applyNumberFormat="1" applyFont="1" applyFill="1" applyBorder="1" applyAlignment="1" applyProtection="1">
      <alignment horizontal="center" vertical="center"/>
    </xf>
    <xf numFmtId="49" fontId="10" fillId="6" borderId="0" xfId="0" applyNumberFormat="1" applyFont="1" applyFill="1" applyBorder="1" applyAlignment="1" applyProtection="1">
      <alignment horizontal="center" vertical="center"/>
    </xf>
    <xf numFmtId="49" fontId="10" fillId="6" borderId="15" xfId="0" applyNumberFormat="1" applyFont="1" applyFill="1" applyBorder="1" applyAlignment="1" applyProtection="1">
      <alignment horizontal="center" vertical="center"/>
    </xf>
    <xf numFmtId="3" fontId="10" fillId="2" borderId="2" xfId="0" applyNumberFormat="1" applyFont="1" applyFill="1" applyBorder="1" applyAlignment="1" applyProtection="1">
      <alignment horizontal="right" vertical="center"/>
      <protection locked="0"/>
    </xf>
    <xf numFmtId="3" fontId="10" fillId="2" borderId="18" xfId="0" applyNumberFormat="1" applyFont="1" applyFill="1" applyBorder="1" applyAlignment="1" applyProtection="1">
      <alignment horizontal="right" vertical="center"/>
      <protection locked="0"/>
    </xf>
    <xf numFmtId="49" fontId="10" fillId="2" borderId="12" xfId="0" applyNumberFormat="1" applyFont="1" applyFill="1" applyBorder="1" applyAlignment="1" applyProtection="1">
      <alignment horizontal="left" vertical="center"/>
    </xf>
    <xf numFmtId="49" fontId="10" fillId="2" borderId="0" xfId="0" applyNumberFormat="1" applyFont="1" applyFill="1" applyBorder="1" applyAlignment="1" applyProtection="1">
      <alignment horizontal="left" vertical="center"/>
    </xf>
    <xf numFmtId="49" fontId="10" fillId="2" borderId="15" xfId="0" applyNumberFormat="1" applyFont="1" applyFill="1" applyBorder="1" applyAlignment="1" applyProtection="1">
      <alignment horizontal="left" vertical="center"/>
    </xf>
    <xf numFmtId="49" fontId="0" fillId="2" borderId="6" xfId="0" applyNumberFormat="1" applyFill="1" applyBorder="1" applyAlignment="1" applyProtection="1">
      <alignment horizontal="left" vertical="center"/>
    </xf>
    <xf numFmtId="49" fontId="0" fillId="2" borderId="18" xfId="0" applyNumberFormat="1" applyFill="1" applyBorder="1" applyAlignment="1" applyProtection="1">
      <alignment horizontal="left" vertical="center"/>
    </xf>
    <xf numFmtId="49" fontId="10" fillId="2" borderId="14" xfId="0" applyNumberFormat="1" applyFont="1" applyFill="1" applyBorder="1" applyAlignment="1" applyProtection="1">
      <alignment horizontal="left" vertical="center"/>
    </xf>
    <xf numFmtId="49" fontId="10" fillId="2" borderId="13" xfId="0" applyNumberFormat="1" applyFont="1" applyFill="1" applyBorder="1" applyAlignment="1" applyProtection="1">
      <alignment horizontal="left" vertical="center"/>
    </xf>
    <xf numFmtId="49" fontId="10" fillId="2" borderId="21" xfId="0" applyNumberFormat="1" applyFont="1" applyFill="1" applyBorder="1" applyAlignment="1" applyProtection="1">
      <alignment horizontal="left" vertical="center"/>
    </xf>
    <xf numFmtId="1" fontId="11" fillId="5" borderId="14" xfId="0" applyNumberFormat="1" applyFont="1" applyFill="1" applyBorder="1" applyAlignment="1" applyProtection="1">
      <alignment horizontal="center" vertical="center"/>
    </xf>
    <xf numFmtId="1" fontId="11" fillId="5" borderId="13" xfId="0" applyNumberFormat="1" applyFont="1" applyFill="1" applyBorder="1" applyAlignment="1" applyProtection="1">
      <alignment horizontal="center" vertical="center"/>
    </xf>
    <xf numFmtId="1" fontId="11" fillId="5" borderId="21" xfId="0" applyNumberFormat="1" applyFont="1" applyFill="1" applyBorder="1" applyAlignment="1" applyProtection="1">
      <alignment horizontal="center" vertical="center"/>
    </xf>
    <xf numFmtId="49" fontId="12" fillId="2" borderId="6" xfId="0" applyNumberFormat="1" applyFont="1" applyFill="1" applyBorder="1" applyAlignment="1" applyProtection="1">
      <alignment horizontal="left" vertical="center"/>
    </xf>
    <xf numFmtId="49" fontId="0" fillId="6" borderId="12" xfId="0" applyNumberFormat="1" applyFill="1" applyBorder="1" applyAlignment="1" applyProtection="1">
      <alignment horizontal="center" vertical="center"/>
    </xf>
    <xf numFmtId="49" fontId="0" fillId="6" borderId="0" xfId="0" applyNumberFormat="1" applyFill="1" applyBorder="1" applyAlignment="1" applyProtection="1">
      <alignment horizontal="center" vertical="center"/>
    </xf>
    <xf numFmtId="49" fontId="0" fillId="6" borderId="15" xfId="0" applyNumberFormat="1" applyFill="1" applyBorder="1" applyAlignment="1" applyProtection="1">
      <alignment horizontal="center" vertical="center"/>
    </xf>
    <xf numFmtId="0" fontId="69" fillId="6" borderId="11" xfId="0" applyFont="1" applyFill="1" applyBorder="1" applyAlignment="1" applyProtection="1">
      <alignment horizontal="center" vertical="center" textRotation="180" wrapText="1"/>
    </xf>
    <xf numFmtId="0" fontId="71" fillId="2" borderId="12" xfId="0" applyFont="1" applyFill="1" applyBorder="1" applyAlignment="1" applyProtection="1">
      <alignment horizontal="center" wrapText="1"/>
    </xf>
    <xf numFmtId="0" fontId="71" fillId="2" borderId="0" xfId="0" applyFont="1" applyFill="1" applyBorder="1" applyAlignment="1" applyProtection="1">
      <alignment horizontal="center" wrapText="1"/>
    </xf>
    <xf numFmtId="4" fontId="0" fillId="3" borderId="2" xfId="0" applyNumberFormat="1" applyFill="1" applyBorder="1" applyAlignment="1" applyProtection="1">
      <alignment horizontal="right" vertical="center"/>
    </xf>
    <xf numFmtId="4" fontId="0" fillId="3" borderId="18" xfId="0" applyNumberFormat="1" applyFill="1" applyBorder="1" applyAlignment="1" applyProtection="1">
      <alignment horizontal="right" vertical="center"/>
    </xf>
    <xf numFmtId="0" fontId="71" fillId="2" borderId="12" xfId="0" applyFont="1" applyFill="1" applyBorder="1" applyAlignment="1" applyProtection="1">
      <alignment horizontal="center" vertical="center" wrapText="1"/>
    </xf>
    <xf numFmtId="0" fontId="71" fillId="2" borderId="0" xfId="0" applyFont="1" applyFill="1" applyBorder="1" applyAlignment="1" applyProtection="1">
      <alignment horizontal="center" vertical="center" wrapText="1"/>
    </xf>
    <xf numFmtId="49" fontId="16" fillId="4" borderId="0" xfId="0" applyNumberFormat="1" applyFont="1" applyFill="1" applyBorder="1" applyAlignment="1" applyProtection="1">
      <alignment horizontal="left" vertical="center" wrapText="1"/>
    </xf>
    <xf numFmtId="49" fontId="16" fillId="4" borderId="0" xfId="0" applyNumberFormat="1" applyFont="1" applyFill="1" applyAlignment="1" applyProtection="1">
      <alignment horizontal="left" vertical="center" wrapText="1"/>
    </xf>
    <xf numFmtId="0" fontId="7" fillId="3" borderId="13" xfId="0" applyFont="1" applyFill="1" applyBorder="1" applyAlignment="1" applyProtection="1">
      <alignment horizontal="left" vertical="center" wrapText="1"/>
    </xf>
    <xf numFmtId="0" fontId="8" fillId="3" borderId="13" xfId="0" applyFont="1" applyFill="1" applyBorder="1" applyAlignment="1" applyProtection="1">
      <alignment horizontal="left" vertical="center" wrapText="1"/>
    </xf>
    <xf numFmtId="167" fontId="0" fillId="0" borderId="2" xfId="0" applyNumberFormat="1" applyFill="1" applyBorder="1" applyAlignment="1" applyProtection="1">
      <alignment horizontal="right" vertical="center"/>
      <protection locked="0"/>
    </xf>
    <xf numFmtId="167" fontId="0" fillId="0" borderId="18" xfId="0" applyNumberFormat="1" applyFill="1" applyBorder="1" applyAlignment="1" applyProtection="1">
      <alignment horizontal="right" vertical="center"/>
      <protection locked="0"/>
    </xf>
    <xf numFmtId="0" fontId="8" fillId="4" borderId="0" xfId="0" applyNumberFormat="1" applyFont="1" applyFill="1" applyBorder="1" applyAlignment="1" applyProtection="1">
      <alignment horizontal="left" vertical="center" wrapText="1"/>
    </xf>
    <xf numFmtId="0" fontId="32" fillId="2" borderId="0" xfId="0" applyFont="1" applyFill="1" applyBorder="1" applyAlignment="1" applyProtection="1">
      <alignment horizontal="left" vertical="center" wrapText="1"/>
    </xf>
    <xf numFmtId="0" fontId="0" fillId="2" borderId="18" xfId="0" applyFill="1" applyBorder="1" applyAlignment="1" applyProtection="1">
      <alignment horizontal="left" vertical="center"/>
    </xf>
    <xf numFmtId="0" fontId="3" fillId="2" borderId="2" xfId="0" applyFont="1" applyFill="1" applyBorder="1" applyAlignment="1" applyProtection="1">
      <alignment horizontal="left" vertical="center" wrapText="1"/>
    </xf>
    <xf numFmtId="0" fontId="14" fillId="0" borderId="12" xfId="0" applyFont="1" applyFill="1" applyBorder="1" applyAlignment="1" applyProtection="1">
      <alignment horizontal="left" vertical="center" wrapText="1"/>
    </xf>
    <xf numFmtId="0" fontId="14" fillId="0" borderId="0" xfId="0" applyFont="1" applyFill="1" applyBorder="1" applyAlignment="1" applyProtection="1">
      <alignment horizontal="left" vertical="center" wrapText="1"/>
    </xf>
    <xf numFmtId="0" fontId="10" fillId="0" borderId="0" xfId="0" applyFont="1" applyFill="1" applyBorder="1" applyAlignment="1" applyProtection="1">
      <alignment horizontal="left" vertical="center" wrapText="1"/>
    </xf>
    <xf numFmtId="49" fontId="7" fillId="3" borderId="2" xfId="0" applyNumberFormat="1" applyFont="1" applyFill="1" applyBorder="1" applyAlignment="1" applyProtection="1">
      <alignment horizontal="left"/>
    </xf>
    <xf numFmtId="49" fontId="7" fillId="3" borderId="6" xfId="0" applyNumberFormat="1" applyFont="1" applyFill="1" applyBorder="1" applyAlignment="1" applyProtection="1">
      <alignment horizontal="left"/>
    </xf>
    <xf numFmtId="49" fontId="7" fillId="3" borderId="18" xfId="0" applyNumberFormat="1" applyFont="1" applyFill="1" applyBorder="1" applyAlignment="1" applyProtection="1">
      <alignment horizontal="left"/>
    </xf>
    <xf numFmtId="0" fontId="7" fillId="3" borderId="2" xfId="0" applyFont="1" applyFill="1" applyBorder="1" applyAlignment="1" applyProtection="1">
      <alignment horizontal="center"/>
    </xf>
    <xf numFmtId="0" fontId="7" fillId="3" borderId="6" xfId="0" applyFont="1" applyFill="1" applyBorder="1" applyAlignment="1" applyProtection="1">
      <alignment horizontal="center"/>
    </xf>
    <xf numFmtId="0" fontId="7" fillId="3" borderId="18" xfId="0" applyFont="1" applyFill="1" applyBorder="1" applyAlignment="1" applyProtection="1">
      <alignment horizontal="center"/>
    </xf>
    <xf numFmtId="49" fontId="18" fillId="3" borderId="2" xfId="0" applyNumberFormat="1" applyFont="1" applyFill="1" applyBorder="1" applyAlignment="1" applyProtection="1">
      <alignment horizontal="left"/>
    </xf>
    <xf numFmtId="49" fontId="18" fillId="3" borderId="6" xfId="0" applyNumberFormat="1" applyFont="1" applyFill="1" applyBorder="1" applyAlignment="1" applyProtection="1">
      <alignment horizontal="left"/>
    </xf>
    <xf numFmtId="49" fontId="18" fillId="3" borderId="18" xfId="0" applyNumberFormat="1" applyFont="1" applyFill="1" applyBorder="1" applyAlignment="1" applyProtection="1">
      <alignment horizontal="left"/>
    </xf>
    <xf numFmtId="49" fontId="7" fillId="3" borderId="2" xfId="0" applyNumberFormat="1" applyFont="1" applyFill="1" applyBorder="1" applyAlignment="1" applyProtection="1">
      <alignment horizontal="center"/>
    </xf>
    <xf numFmtId="49" fontId="7" fillId="3" borderId="6" xfId="0" applyNumberFormat="1" applyFont="1" applyFill="1" applyBorder="1" applyAlignment="1" applyProtection="1">
      <alignment horizontal="center"/>
    </xf>
    <xf numFmtId="49" fontId="7" fillId="3" borderId="18" xfId="0" applyNumberFormat="1" applyFont="1" applyFill="1" applyBorder="1" applyAlignment="1" applyProtection="1">
      <alignment horizontal="center"/>
    </xf>
    <xf numFmtId="169" fontId="7" fillId="3" borderId="2" xfId="0" applyNumberFormat="1" applyFont="1" applyFill="1" applyBorder="1" applyAlignment="1" applyProtection="1">
      <alignment horizontal="right"/>
    </xf>
    <xf numFmtId="169" fontId="7" fillId="3" borderId="6" xfId="0" applyNumberFormat="1" applyFont="1" applyFill="1" applyBorder="1" applyAlignment="1" applyProtection="1">
      <alignment horizontal="right"/>
    </xf>
    <xf numFmtId="169" fontId="7" fillId="3" borderId="18" xfId="0" applyNumberFormat="1" applyFont="1" applyFill="1" applyBorder="1" applyAlignment="1" applyProtection="1">
      <alignment horizontal="right"/>
    </xf>
    <xf numFmtId="0" fontId="7" fillId="3" borderId="0" xfId="0" applyFont="1" applyFill="1" applyBorder="1" applyAlignment="1" applyProtection="1">
      <alignment vertical="center"/>
    </xf>
    <xf numFmtId="49" fontId="0" fillId="2" borderId="2" xfId="0" applyNumberFormat="1" applyFill="1" applyBorder="1" applyAlignment="1" applyProtection="1">
      <alignment horizontal="left"/>
      <protection locked="0"/>
    </xf>
    <xf numFmtId="49" fontId="0" fillId="0" borderId="6" xfId="0" applyNumberFormat="1" applyBorder="1" applyAlignment="1" applyProtection="1">
      <alignment horizontal="left"/>
      <protection locked="0"/>
    </xf>
    <xf numFmtId="49" fontId="0" fillId="0" borderId="18" xfId="0" applyNumberFormat="1" applyBorder="1" applyAlignment="1" applyProtection="1">
      <alignment horizontal="left"/>
      <protection locked="0"/>
    </xf>
    <xf numFmtId="49" fontId="0" fillId="2" borderId="2" xfId="0" applyNumberFormat="1" applyFill="1" applyBorder="1" applyAlignment="1" applyProtection="1">
      <alignment horizontal="center"/>
      <protection locked="0"/>
    </xf>
    <xf numFmtId="49" fontId="0" fillId="0" borderId="6" xfId="0" applyNumberFormat="1" applyBorder="1" applyAlignment="1" applyProtection="1">
      <alignment horizontal="center"/>
      <protection locked="0"/>
    </xf>
    <xf numFmtId="49" fontId="0" fillId="0" borderId="18" xfId="0" applyNumberFormat="1" applyBorder="1" applyAlignment="1" applyProtection="1">
      <alignment horizontal="center"/>
      <protection locked="0"/>
    </xf>
    <xf numFmtId="169" fontId="0" fillId="2" borderId="2" xfId="0" applyNumberFormat="1" applyFill="1" applyBorder="1" applyAlignment="1" applyProtection="1">
      <alignment horizontal="right"/>
      <protection locked="0"/>
    </xf>
    <xf numFmtId="169" fontId="0" fillId="0" borderId="6" xfId="0" applyNumberFormat="1" applyBorder="1" applyAlignment="1" applyProtection="1">
      <alignment horizontal="right"/>
      <protection locked="0"/>
    </xf>
    <xf numFmtId="169" fontId="0" fillId="0" borderId="18" xfId="0" applyNumberFormat="1" applyBorder="1" applyAlignment="1" applyProtection="1">
      <alignment horizontal="right"/>
      <protection locked="0"/>
    </xf>
    <xf numFmtId="0" fontId="7" fillId="3" borderId="3" xfId="0" applyFont="1" applyFill="1" applyBorder="1" applyAlignment="1" applyProtection="1">
      <alignment horizontal="center" vertical="center"/>
    </xf>
    <xf numFmtId="0" fontId="12" fillId="2" borderId="6" xfId="0" applyFont="1" applyFill="1" applyBorder="1" applyAlignment="1" applyProtection="1">
      <alignment vertical="center" wrapText="1"/>
    </xf>
    <xf numFmtId="0" fontId="12" fillId="2" borderId="18" xfId="0" applyFont="1" applyFill="1" applyBorder="1" applyAlignment="1" applyProtection="1">
      <alignment vertical="center" wrapText="1"/>
    </xf>
    <xf numFmtId="167" fontId="12" fillId="2" borderId="2" xfId="0" applyNumberFormat="1" applyFont="1" applyFill="1" applyBorder="1" applyAlignment="1" applyProtection="1">
      <alignment horizontal="right" vertical="center" wrapText="1"/>
      <protection locked="0"/>
    </xf>
    <xf numFmtId="167" fontId="0" fillId="2" borderId="18" xfId="0" applyNumberFormat="1" applyFill="1" applyBorder="1" applyAlignment="1" applyProtection="1">
      <alignment horizontal="right" vertical="center" wrapText="1"/>
      <protection locked="0"/>
    </xf>
    <xf numFmtId="167" fontId="12" fillId="0" borderId="2" xfId="0" applyNumberFormat="1" applyFont="1" applyFill="1" applyBorder="1" applyAlignment="1" applyProtection="1">
      <alignment horizontal="right" vertical="center"/>
      <protection locked="0"/>
    </xf>
    <xf numFmtId="167" fontId="0" fillId="0" borderId="18" xfId="0" applyNumberFormat="1" applyBorder="1" applyAlignment="1" applyProtection="1">
      <alignment horizontal="right" vertical="center"/>
      <protection locked="0"/>
    </xf>
    <xf numFmtId="167" fontId="12" fillId="0" borderId="18" xfId="0" applyNumberFormat="1" applyFont="1" applyFill="1" applyBorder="1" applyAlignment="1" applyProtection="1">
      <alignment horizontal="right" vertical="center"/>
      <protection locked="0"/>
    </xf>
    <xf numFmtId="0" fontId="7" fillId="3" borderId="3" xfId="0" applyFont="1" applyFill="1" applyBorder="1" applyAlignment="1" applyProtection="1">
      <alignment horizontal="center" vertical="center" wrapText="1"/>
    </xf>
    <xf numFmtId="0" fontId="7" fillId="3" borderId="2" xfId="0" applyFont="1" applyFill="1" applyBorder="1" applyAlignment="1" applyProtection="1">
      <alignment horizontal="center" vertical="center" wrapText="1"/>
    </xf>
    <xf numFmtId="0" fontId="7" fillId="3" borderId="6" xfId="0" applyFont="1" applyFill="1" applyBorder="1" applyAlignment="1" applyProtection="1">
      <alignment horizontal="center" vertical="center" wrapText="1"/>
    </xf>
    <xf numFmtId="0" fontId="7" fillId="3" borderId="18" xfId="0" applyFont="1" applyFill="1" applyBorder="1" applyAlignment="1" applyProtection="1">
      <alignment horizontal="center" vertical="center" wrapText="1"/>
    </xf>
    <xf numFmtId="167" fontId="12" fillId="0" borderId="3" xfId="0" applyNumberFormat="1" applyFont="1" applyFill="1" applyBorder="1" applyAlignment="1" applyProtection="1">
      <alignment horizontal="right" vertical="center"/>
      <protection locked="0"/>
    </xf>
    <xf numFmtId="167" fontId="0" fillId="0" borderId="3" xfId="0" applyNumberFormat="1" applyBorder="1" applyAlignment="1" applyProtection="1">
      <alignment horizontal="right" vertical="center"/>
      <protection locked="0"/>
    </xf>
    <xf numFmtId="0" fontId="9" fillId="2" borderId="6" xfId="3" applyFill="1" applyBorder="1" applyAlignment="1" applyProtection="1">
      <alignment vertical="center" wrapText="1"/>
    </xf>
    <xf numFmtId="0" fontId="9" fillId="2" borderId="18" xfId="3" applyFill="1" applyBorder="1" applyAlignment="1" applyProtection="1">
      <alignment vertical="center" wrapText="1"/>
    </xf>
    <xf numFmtId="3" fontId="23" fillId="5" borderId="6" xfId="0" applyNumberFormat="1" applyFont="1" applyFill="1" applyBorder="1" applyAlignment="1" applyProtection="1">
      <alignment vertical="center"/>
    </xf>
    <xf numFmtId="167" fontId="0" fillId="0" borderId="6" xfId="0" applyNumberFormat="1" applyBorder="1" applyAlignment="1" applyProtection="1">
      <alignment horizontal="right" vertical="center"/>
      <protection locked="0"/>
    </xf>
    <xf numFmtId="49" fontId="10" fillId="2" borderId="11" xfId="0" applyNumberFormat="1" applyFont="1" applyFill="1" applyBorder="1" applyAlignment="1" applyProtection="1">
      <alignment horizontal="left" vertical="center"/>
    </xf>
    <xf numFmtId="49" fontId="10" fillId="2" borderId="16" xfId="0" applyNumberFormat="1" applyFont="1" applyFill="1" applyBorder="1" applyAlignment="1" applyProtection="1">
      <alignment horizontal="left" vertical="center"/>
    </xf>
    <xf numFmtId="49" fontId="10" fillId="2" borderId="17" xfId="0" applyNumberFormat="1" applyFont="1" applyFill="1" applyBorder="1" applyAlignment="1" applyProtection="1">
      <alignment horizontal="left" vertical="center"/>
    </xf>
    <xf numFmtId="0" fontId="10" fillId="2" borderId="6" xfId="0" applyFont="1" applyFill="1" applyBorder="1" applyAlignment="1" applyProtection="1">
      <alignment vertical="center" wrapText="1"/>
    </xf>
    <xf numFmtId="0" fontId="10" fillId="2" borderId="18" xfId="0" applyFont="1" applyFill="1" applyBorder="1" applyAlignment="1" applyProtection="1">
      <alignment vertical="center" wrapText="1"/>
    </xf>
    <xf numFmtId="167" fontId="10" fillId="3" borderId="2" xfId="0" applyNumberFormat="1" applyFont="1" applyFill="1" applyBorder="1" applyAlignment="1" applyProtection="1">
      <alignment horizontal="right" vertical="center" wrapText="1"/>
    </xf>
    <xf numFmtId="167" fontId="0" fillId="0" borderId="6" xfId="0" applyNumberFormat="1" applyBorder="1" applyAlignment="1" applyProtection="1">
      <alignment horizontal="right" vertical="center"/>
    </xf>
    <xf numFmtId="0" fontId="0" fillId="5" borderId="12" xfId="0" applyFill="1" applyBorder="1" applyAlignment="1">
      <alignment horizontal="center"/>
    </xf>
    <xf numFmtId="0" fontId="0" fillId="5" borderId="0" xfId="0" applyFill="1" applyBorder="1" applyAlignment="1">
      <alignment horizontal="center"/>
    </xf>
    <xf numFmtId="0" fontId="0" fillId="5" borderId="15" xfId="0" applyFill="1" applyBorder="1" applyAlignment="1">
      <alignment horizontal="center"/>
    </xf>
    <xf numFmtId="167" fontId="0" fillId="2" borderId="3" xfId="0" applyNumberFormat="1" applyFill="1" applyBorder="1" applyAlignment="1" applyProtection="1">
      <alignment horizontal="right" vertical="center"/>
      <protection locked="0"/>
    </xf>
    <xf numFmtId="0" fontId="3" fillId="2" borderId="3" xfId="0" applyFont="1" applyFill="1" applyBorder="1" applyAlignment="1" applyProtection="1">
      <alignment horizontal="left" vertical="center" wrapText="1"/>
    </xf>
    <xf numFmtId="0" fontId="16" fillId="4" borderId="0" xfId="0" applyFont="1" applyFill="1" applyAlignment="1" applyProtection="1">
      <alignment horizontal="left" vertical="center" wrapText="1"/>
    </xf>
    <xf numFmtId="0" fontId="7" fillId="3" borderId="0" xfId="0" applyFont="1" applyFill="1" applyAlignment="1" applyProtection="1">
      <alignment horizontal="left" vertical="center"/>
    </xf>
    <xf numFmtId="0" fontId="0" fillId="2" borderId="3" xfId="0" applyFill="1" applyBorder="1" applyAlignment="1" applyProtection="1">
      <alignment horizontal="center" vertical="center"/>
    </xf>
    <xf numFmtId="0" fontId="20" fillId="2" borderId="3" xfId="3" applyFont="1" applyFill="1" applyBorder="1" applyAlignment="1" applyProtection="1">
      <alignment horizontal="left" vertical="center" wrapText="1"/>
    </xf>
    <xf numFmtId="0" fontId="26" fillId="0" borderId="3" xfId="3" applyFont="1" applyBorder="1" applyAlignment="1" applyProtection="1">
      <alignment horizontal="left" vertical="center" wrapText="1"/>
    </xf>
    <xf numFmtId="166" fontId="0" fillId="2" borderId="3" xfId="0" applyNumberFormat="1" applyFill="1" applyBorder="1" applyAlignment="1" applyProtection="1">
      <alignment horizontal="right" vertical="center"/>
      <protection locked="0"/>
    </xf>
    <xf numFmtId="0" fontId="61" fillId="2" borderId="16" xfId="0" applyFont="1" applyFill="1" applyBorder="1" applyAlignment="1" applyProtection="1">
      <alignment horizontal="left" vertical="center" wrapText="1"/>
    </xf>
    <xf numFmtId="0" fontId="61" fillId="0" borderId="16" xfId="0" applyFont="1" applyBorder="1" applyAlignment="1">
      <alignment horizontal="left" vertical="center" wrapText="1"/>
    </xf>
    <xf numFmtId="0" fontId="7" fillId="3" borderId="13" xfId="0" applyFont="1" applyFill="1" applyBorder="1" applyAlignment="1" applyProtection="1">
      <alignment horizontal="center" vertical="center" wrapText="1"/>
    </xf>
    <xf numFmtId="0" fontId="0" fillId="0" borderId="13" xfId="0" applyBorder="1" applyAlignment="1" applyProtection="1">
      <alignment horizontal="center" vertical="center" wrapText="1"/>
    </xf>
    <xf numFmtId="0" fontId="9" fillId="3" borderId="13" xfId="3" applyFill="1" applyBorder="1" applyAlignment="1" applyProtection="1">
      <alignment horizontal="center" vertical="center" wrapText="1"/>
    </xf>
    <xf numFmtId="0" fontId="9" fillId="0" borderId="13" xfId="3" applyBorder="1" applyAlignment="1" applyProtection="1">
      <alignment horizontal="center" vertical="center" wrapText="1"/>
    </xf>
    <xf numFmtId="0" fontId="36" fillId="2" borderId="0" xfId="0" applyFont="1" applyFill="1" applyBorder="1" applyAlignment="1" applyProtection="1">
      <alignment horizontal="left" vertical="center" wrapText="1"/>
    </xf>
    <xf numFmtId="0" fontId="36" fillId="0" borderId="0" xfId="0" applyFont="1" applyAlignment="1">
      <alignment horizontal="left" vertical="center"/>
    </xf>
    <xf numFmtId="166" fontId="12" fillId="2" borderId="2" xfId="0" applyNumberFormat="1" applyFont="1" applyFill="1" applyBorder="1" applyAlignment="1" applyProtection="1">
      <alignment horizontal="right" vertical="center" wrapText="1"/>
      <protection locked="0"/>
    </xf>
    <xf numFmtId="166" fontId="12" fillId="2" borderId="18" xfId="0" applyNumberFormat="1" applyFont="1" applyFill="1" applyBorder="1" applyAlignment="1" applyProtection="1">
      <alignment horizontal="right" vertical="center" wrapText="1"/>
      <protection locked="0"/>
    </xf>
    <xf numFmtId="166" fontId="12" fillId="3" borderId="2" xfId="0" applyNumberFormat="1" applyFont="1" applyFill="1" applyBorder="1" applyAlignment="1" applyProtection="1">
      <alignment horizontal="right" vertical="center" wrapText="1"/>
    </xf>
    <xf numFmtId="166" fontId="0" fillId="3" borderId="18" xfId="0" applyNumberFormat="1" applyFill="1" applyBorder="1" applyAlignment="1" applyProtection="1">
      <alignment horizontal="right" vertical="center" wrapText="1"/>
    </xf>
    <xf numFmtId="0" fontId="10" fillId="2" borderId="2" xfId="0" applyFont="1" applyFill="1" applyBorder="1" applyAlignment="1" applyProtection="1">
      <alignment horizontal="left" vertical="center" wrapText="1"/>
    </xf>
    <xf numFmtId="0" fontId="10" fillId="2" borderId="18" xfId="0" applyFont="1" applyFill="1" applyBorder="1" applyAlignment="1" applyProtection="1">
      <alignment horizontal="left" vertical="center" wrapText="1"/>
    </xf>
    <xf numFmtId="166" fontId="10" fillId="3" borderId="2" xfId="0" applyNumberFormat="1" applyFont="1" applyFill="1" applyBorder="1" applyAlignment="1" applyProtection="1">
      <alignment horizontal="right" vertical="center" wrapText="1"/>
    </xf>
    <xf numFmtId="166" fontId="10" fillId="3" borderId="18" xfId="0" applyNumberFormat="1" applyFont="1" applyFill="1" applyBorder="1" applyAlignment="1" applyProtection="1">
      <alignment horizontal="right" vertical="center" wrapText="1"/>
    </xf>
    <xf numFmtId="166" fontId="0" fillId="0" borderId="18" xfId="0" applyNumberFormat="1" applyBorder="1" applyAlignment="1" applyProtection="1">
      <alignment horizontal="right" vertical="center" wrapText="1"/>
    </xf>
    <xf numFmtId="0" fontId="0" fillId="2" borderId="13" xfId="0" applyFill="1" applyBorder="1" applyAlignment="1" applyProtection="1">
      <alignment horizontal="left" vertical="center" wrapText="1"/>
    </xf>
    <xf numFmtId="166" fontId="0" fillId="0" borderId="18" xfId="0" applyNumberFormat="1" applyBorder="1" applyAlignment="1" applyProtection="1">
      <alignment horizontal="right" vertical="center" wrapText="1"/>
      <protection locked="0"/>
    </xf>
    <xf numFmtId="49" fontId="0" fillId="2" borderId="2" xfId="0" applyNumberFormat="1" applyFill="1" applyBorder="1" applyAlignment="1" applyProtection="1">
      <alignment horizontal="left" vertical="center" wrapText="1"/>
      <protection locked="0"/>
    </xf>
    <xf numFmtId="49" fontId="0" fillId="2" borderId="6" xfId="0" applyNumberFormat="1" applyFill="1" applyBorder="1" applyAlignment="1" applyProtection="1">
      <alignment horizontal="left" vertical="center" wrapText="1"/>
      <protection locked="0"/>
    </xf>
    <xf numFmtId="49" fontId="0" fillId="2" borderId="18" xfId="0" applyNumberFormat="1" applyFill="1" applyBorder="1" applyAlignment="1" applyProtection="1">
      <alignment horizontal="left" vertical="center" wrapText="1"/>
      <protection locked="0"/>
    </xf>
    <xf numFmtId="49" fontId="34" fillId="3" borderId="2" xfId="0" applyNumberFormat="1" applyFont="1" applyFill="1" applyBorder="1" applyAlignment="1" applyProtection="1">
      <alignment horizontal="center" vertical="center" wrapText="1"/>
    </xf>
    <xf numFmtId="49" fontId="34" fillId="3" borderId="6" xfId="0" applyNumberFormat="1" applyFont="1" applyFill="1" applyBorder="1" applyAlignment="1" applyProtection="1">
      <alignment horizontal="center" vertical="center" wrapText="1"/>
    </xf>
    <xf numFmtId="49" fontId="34" fillId="3" borderId="18" xfId="0" applyNumberFormat="1" applyFont="1" applyFill="1" applyBorder="1" applyAlignment="1" applyProtection="1">
      <alignment horizontal="center" vertical="center" wrapText="1"/>
    </xf>
    <xf numFmtId="0" fontId="8" fillId="3" borderId="11" xfId="0" applyFont="1" applyFill="1" applyBorder="1" applyAlignment="1" applyProtection="1">
      <alignment horizontal="center" wrapText="1"/>
    </xf>
    <xf numFmtId="0" fontId="8" fillId="3" borderId="17" xfId="0" applyFont="1" applyFill="1" applyBorder="1" applyAlignment="1" applyProtection="1">
      <alignment horizontal="center" wrapText="1"/>
    </xf>
    <xf numFmtId="0" fontId="8" fillId="3" borderId="14" xfId="0" applyFont="1" applyFill="1" applyBorder="1" applyAlignment="1" applyProtection="1">
      <alignment horizontal="center" wrapText="1"/>
    </xf>
    <xf numFmtId="0" fontId="8" fillId="3" borderId="21" xfId="0" applyFont="1" applyFill="1" applyBorder="1" applyAlignment="1" applyProtection="1">
      <alignment horizontal="center" wrapText="1"/>
    </xf>
    <xf numFmtId="0" fontId="17" fillId="4" borderId="2" xfId="0" applyFont="1" applyFill="1" applyBorder="1" applyAlignment="1" applyProtection="1">
      <alignment horizontal="left" vertical="center" wrapText="1"/>
    </xf>
    <xf numFmtId="0" fontId="17" fillId="4" borderId="6" xfId="0" applyFont="1" applyFill="1" applyBorder="1" applyAlignment="1" applyProtection="1">
      <alignment horizontal="left" vertical="center" wrapText="1"/>
    </xf>
    <xf numFmtId="0" fontId="17" fillId="4" borderId="18" xfId="0" applyFont="1" applyFill="1" applyBorder="1" applyAlignment="1" applyProtection="1">
      <alignment horizontal="left" vertical="center" wrapText="1"/>
    </xf>
    <xf numFmtId="0" fontId="10" fillId="0" borderId="6" xfId="0" applyFont="1" applyBorder="1" applyAlignment="1" applyProtection="1">
      <alignment wrapText="1"/>
    </xf>
    <xf numFmtId="0" fontId="10" fillId="0" borderId="18" xfId="0" applyFont="1" applyBorder="1" applyAlignment="1" applyProtection="1">
      <alignment wrapText="1"/>
    </xf>
    <xf numFmtId="0" fontId="13" fillId="4" borderId="11" xfId="0" applyFont="1" applyFill="1" applyBorder="1" applyAlignment="1" applyProtection="1">
      <alignment horizontal="center" vertical="center" wrapText="1"/>
    </xf>
    <xf numFmtId="0" fontId="13" fillId="4" borderId="1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14" xfId="0" applyFont="1" applyFill="1" applyBorder="1" applyAlignment="1" applyProtection="1">
      <alignment horizontal="center" vertical="center" wrapText="1"/>
    </xf>
    <xf numFmtId="0" fontId="13" fillId="4" borderId="13" xfId="0" applyFont="1" applyFill="1" applyBorder="1" applyAlignment="1" applyProtection="1">
      <alignment horizontal="center" vertical="center" wrapText="1"/>
    </xf>
    <xf numFmtId="0" fontId="13" fillId="4" borderId="21" xfId="0" applyFont="1" applyFill="1" applyBorder="1" applyAlignment="1" applyProtection="1">
      <alignment horizontal="center" vertical="center" wrapText="1"/>
    </xf>
    <xf numFmtId="0" fontId="14" fillId="2" borderId="12" xfId="0" applyFont="1" applyFill="1" applyBorder="1" applyAlignment="1">
      <alignment horizontal="left" vertical="center" wrapText="1"/>
    </xf>
    <xf numFmtId="0" fontId="14" fillId="2" borderId="0" xfId="0" applyFont="1" applyFill="1" applyAlignment="1">
      <alignment horizontal="left" vertical="center" wrapText="1"/>
    </xf>
    <xf numFmtId="0" fontId="26" fillId="2" borderId="0" xfId="0" applyFont="1" applyFill="1" applyBorder="1" applyAlignment="1" applyProtection="1">
      <alignment horizontal="left" vertical="center" wrapText="1"/>
    </xf>
    <xf numFmtId="0" fontId="14" fillId="5" borderId="14" xfId="0" applyFont="1" applyFill="1" applyBorder="1" applyAlignment="1" applyProtection="1">
      <alignment vertical="center" wrapText="1"/>
    </xf>
    <xf numFmtId="0" fontId="9" fillId="0" borderId="6" xfId="3" applyFill="1" applyBorder="1" applyAlignment="1" applyProtection="1">
      <alignment horizontal="right" vertical="center" wrapText="1"/>
    </xf>
    <xf numFmtId="0" fontId="9" fillId="2" borderId="6" xfId="3" applyFill="1" applyBorder="1" applyAlignment="1" applyProtection="1">
      <alignment horizontal="center" vertical="center" wrapText="1"/>
    </xf>
    <xf numFmtId="0" fontId="9" fillId="0" borderId="6" xfId="3" applyBorder="1" applyAlignment="1" applyProtection="1">
      <alignment vertical="center" wrapText="1"/>
    </xf>
    <xf numFmtId="0" fontId="55" fillId="0" borderId="0" xfId="0" applyFont="1" applyAlignment="1">
      <alignment horizontal="center" vertical="top" textRotation="180" wrapText="1"/>
    </xf>
    <xf numFmtId="0" fontId="9" fillId="2" borderId="0" xfId="3" applyFill="1" applyAlignment="1" applyProtection="1"/>
    <xf numFmtId="0" fontId="13" fillId="4" borderId="2" xfId="0" applyFont="1" applyFill="1" applyBorder="1" applyAlignment="1" applyProtection="1">
      <alignment horizontal="left" vertical="center" wrapText="1"/>
    </xf>
    <xf numFmtId="0" fontId="13" fillId="4" borderId="6" xfId="0" applyFont="1" applyFill="1" applyBorder="1" applyAlignment="1" applyProtection="1">
      <alignment horizontal="left" vertical="center" wrapText="1"/>
    </xf>
    <xf numFmtId="0" fontId="13" fillId="4" borderId="18" xfId="0" applyFont="1" applyFill="1" applyBorder="1" applyAlignment="1" applyProtection="1">
      <alignment horizontal="left" vertical="center" wrapText="1"/>
    </xf>
    <xf numFmtId="0" fontId="27" fillId="6" borderId="2" xfId="0" applyFont="1" applyFill="1" applyBorder="1" applyAlignment="1" applyProtection="1">
      <alignment wrapText="1"/>
    </xf>
    <xf numFmtId="0" fontId="27" fillId="0" borderId="18" xfId="0" applyFont="1" applyBorder="1" applyAlignment="1">
      <alignment wrapText="1"/>
    </xf>
    <xf numFmtId="0" fontId="68" fillId="6" borderId="11" xfId="0" applyFont="1" applyFill="1" applyBorder="1" applyAlignment="1" applyProtection="1">
      <alignment horizontal="center" vertical="center" textRotation="180"/>
    </xf>
    <xf numFmtId="0" fontId="68" fillId="6" borderId="12" xfId="0" applyFont="1" applyFill="1" applyBorder="1" applyAlignment="1" applyProtection="1">
      <alignment horizontal="center" vertical="center" textRotation="180"/>
    </xf>
    <xf numFmtId="0" fontId="68" fillId="6" borderId="15" xfId="0" applyFont="1" applyFill="1" applyBorder="1" applyAlignment="1" applyProtection="1">
      <alignment horizontal="center" vertical="center" textRotation="180"/>
    </xf>
    <xf numFmtId="167" fontId="23" fillId="5" borderId="0" xfId="0" applyNumberFormat="1" applyFont="1" applyFill="1" applyBorder="1" applyAlignment="1" applyProtection="1">
      <alignment vertical="center"/>
    </xf>
    <xf numFmtId="0" fontId="23" fillId="0" borderId="15" xfId="0" applyFont="1" applyBorder="1" applyAlignment="1" applyProtection="1">
      <alignment vertical="center"/>
    </xf>
    <xf numFmtId="3" fontId="11" fillId="5" borderId="13" xfId="0" applyNumberFormat="1" applyFont="1" applyFill="1" applyBorder="1" applyAlignment="1" applyProtection="1">
      <alignment vertical="center"/>
    </xf>
    <xf numFmtId="0" fontId="0" fillId="0" borderId="21" xfId="0" applyBorder="1" applyAlignment="1" applyProtection="1">
      <alignment vertical="center"/>
    </xf>
    <xf numFmtId="0" fontId="0" fillId="0" borderId="0" xfId="0" applyAlignment="1">
      <alignment wrapText="1"/>
    </xf>
    <xf numFmtId="0" fontId="0" fillId="0" borderId="13" xfId="0" applyBorder="1" applyAlignment="1" applyProtection="1">
      <alignment vertical="center"/>
    </xf>
    <xf numFmtId="0" fontId="0" fillId="0" borderId="13" xfId="0" applyBorder="1" applyAlignment="1"/>
    <xf numFmtId="0" fontId="7" fillId="3" borderId="0" xfId="0" applyFont="1" applyFill="1" applyBorder="1" applyAlignment="1" applyProtection="1">
      <alignment vertical="center" wrapText="1"/>
    </xf>
    <xf numFmtId="0" fontId="0" fillId="0" borderId="0" xfId="0" applyAlignment="1" applyProtection="1">
      <alignment vertical="center"/>
    </xf>
    <xf numFmtId="0" fontId="0" fillId="0" borderId="0" xfId="0" applyAlignment="1" applyProtection="1"/>
    <xf numFmtId="0" fontId="0" fillId="0" borderId="0" xfId="0" applyAlignment="1"/>
    <xf numFmtId="166" fontId="12" fillId="0" borderId="2" xfId="0" applyNumberFormat="1" applyFont="1" applyFill="1" applyBorder="1" applyAlignment="1" applyProtection="1">
      <alignment horizontal="right" vertical="center"/>
      <protection locked="0"/>
    </xf>
    <xf numFmtId="166" fontId="0" fillId="0" borderId="18" xfId="0" applyNumberFormat="1" applyBorder="1" applyAlignment="1" applyProtection="1">
      <alignment horizontal="right" vertical="center"/>
      <protection locked="0"/>
    </xf>
    <xf numFmtId="166" fontId="12" fillId="0" borderId="3" xfId="0" applyNumberFormat="1" applyFont="1" applyFill="1" applyBorder="1" applyAlignment="1" applyProtection="1">
      <alignment horizontal="right" vertical="center"/>
      <protection locked="0"/>
    </xf>
    <xf numFmtId="166" fontId="0" fillId="0" borderId="3" xfId="0" applyNumberFormat="1" applyBorder="1" applyAlignment="1" applyProtection="1">
      <alignment horizontal="right" vertical="center"/>
      <protection locked="0"/>
    </xf>
    <xf numFmtId="3" fontId="23" fillId="6" borderId="0" xfId="0" applyNumberFormat="1" applyFont="1" applyFill="1" applyBorder="1" applyAlignment="1" applyProtection="1">
      <alignment vertical="center"/>
    </xf>
    <xf numFmtId="0" fontId="23" fillId="2" borderId="15" xfId="0" applyFont="1" applyFill="1" applyBorder="1" applyAlignment="1" applyProtection="1">
      <alignment vertical="center"/>
    </xf>
    <xf numFmtId="0" fontId="23" fillId="2" borderId="0" xfId="0" applyFont="1" applyFill="1" applyBorder="1" applyAlignment="1" applyProtection="1">
      <alignment vertical="center"/>
    </xf>
    <xf numFmtId="1" fontId="23" fillId="5" borderId="0" xfId="0" applyNumberFormat="1" applyFont="1" applyFill="1" applyBorder="1" applyAlignment="1" applyProtection="1">
      <alignment vertical="center"/>
    </xf>
    <xf numFmtId="1" fontId="23" fillId="0" borderId="15" xfId="0" applyNumberFormat="1" applyFont="1" applyBorder="1" applyAlignment="1" applyProtection="1">
      <alignment vertical="center"/>
    </xf>
    <xf numFmtId="3" fontId="23" fillId="5" borderId="0" xfId="0" applyNumberFormat="1" applyFont="1" applyFill="1" applyBorder="1" applyAlignment="1" applyProtection="1">
      <alignment vertical="center"/>
    </xf>
    <xf numFmtId="0" fontId="23" fillId="0" borderId="0" xfId="0" applyFont="1" applyBorder="1" applyAlignment="1" applyProtection="1">
      <alignment vertical="center"/>
    </xf>
    <xf numFmtId="1" fontId="23" fillId="0" borderId="0" xfId="0" applyNumberFormat="1" applyFont="1" applyBorder="1" applyAlignment="1" applyProtection="1">
      <alignment vertical="center"/>
    </xf>
    <xf numFmtId="166" fontId="10" fillId="3" borderId="2" xfId="0" applyNumberFormat="1" applyFont="1" applyFill="1" applyBorder="1" applyAlignment="1" applyProtection="1">
      <alignment horizontal="right" vertical="center" wrapText="1"/>
      <protection locked="0"/>
    </xf>
    <xf numFmtId="166" fontId="10" fillId="3" borderId="6" xfId="0" applyNumberFormat="1" applyFont="1" applyFill="1" applyBorder="1" applyAlignment="1" applyProtection="1">
      <alignment horizontal="right" vertical="center" wrapText="1"/>
      <protection locked="0"/>
    </xf>
    <xf numFmtId="0" fontId="0" fillId="4" borderId="0" xfId="0" applyFill="1" applyBorder="1" applyAlignment="1" applyProtection="1">
      <alignment horizontal="left" vertical="center" wrapText="1"/>
    </xf>
    <xf numFmtId="165" fontId="53" fillId="5" borderId="11" xfId="3" applyNumberFormat="1" applyFont="1" applyFill="1" applyBorder="1" applyAlignment="1" applyProtection="1">
      <alignment horizontal="center" vertical="center" wrapText="1"/>
    </xf>
    <xf numFmtId="165" fontId="53" fillId="5" borderId="16" xfId="3" applyNumberFormat="1" applyFont="1" applyFill="1" applyBorder="1" applyAlignment="1" applyProtection="1">
      <alignment horizontal="center" vertical="center" wrapText="1"/>
    </xf>
    <xf numFmtId="0" fontId="53" fillId="0" borderId="16" xfId="3" applyFont="1" applyBorder="1" applyAlignment="1" applyProtection="1">
      <alignment horizontal="center" vertical="center" wrapText="1"/>
    </xf>
    <xf numFmtId="0" fontId="53" fillId="0" borderId="12" xfId="3" applyFont="1" applyBorder="1" applyAlignment="1" applyProtection="1">
      <alignment horizontal="center" vertical="center" wrapText="1"/>
    </xf>
    <xf numFmtId="0" fontId="53" fillId="0" borderId="0" xfId="3" applyFont="1" applyAlignment="1" applyProtection="1">
      <alignment horizontal="center" vertical="center" wrapText="1"/>
    </xf>
    <xf numFmtId="0" fontId="53" fillId="0" borderId="14" xfId="3" applyFont="1" applyBorder="1" applyAlignment="1" applyProtection="1">
      <alignment horizontal="center" vertical="center" wrapText="1"/>
    </xf>
    <xf numFmtId="0" fontId="53" fillId="0" borderId="13" xfId="3" applyFont="1" applyBorder="1" applyAlignment="1" applyProtection="1">
      <alignment horizontal="center" vertical="center" wrapText="1"/>
    </xf>
    <xf numFmtId="3" fontId="11" fillId="6" borderId="0" xfId="0" applyNumberFormat="1" applyFont="1" applyFill="1" applyBorder="1" applyAlignment="1" applyProtection="1">
      <alignment vertical="center"/>
    </xf>
    <xf numFmtId="0" fontId="0" fillId="2" borderId="0" xfId="0" applyFill="1" applyBorder="1" applyAlignment="1" applyProtection="1">
      <alignment vertical="center"/>
    </xf>
    <xf numFmtId="167" fontId="10" fillId="3" borderId="2" xfId="0" applyNumberFormat="1" applyFont="1" applyFill="1" applyBorder="1" applyAlignment="1" applyProtection="1">
      <alignment horizontal="right" vertical="center" wrapText="1"/>
      <protection locked="0"/>
    </xf>
    <xf numFmtId="167" fontId="10" fillId="3" borderId="6" xfId="0" applyNumberFormat="1" applyFont="1" applyFill="1" applyBorder="1" applyAlignment="1" applyProtection="1">
      <alignment horizontal="right" vertical="center" wrapText="1"/>
      <protection locked="0"/>
    </xf>
    <xf numFmtId="167" fontId="10" fillId="3" borderId="18" xfId="0" applyNumberFormat="1" applyFont="1" applyFill="1" applyBorder="1" applyAlignment="1" applyProtection="1">
      <alignment horizontal="right" vertical="center" wrapText="1"/>
      <protection locked="0"/>
    </xf>
    <xf numFmtId="167" fontId="12" fillId="3" borderId="2" xfId="0" applyNumberFormat="1" applyFont="1" applyFill="1" applyBorder="1" applyAlignment="1" applyProtection="1">
      <alignment horizontal="right" vertical="center" wrapText="1"/>
    </xf>
    <xf numFmtId="167" fontId="0" fillId="3" borderId="18" xfId="0" applyNumberFormat="1" applyFill="1" applyBorder="1" applyAlignment="1" applyProtection="1">
      <alignment horizontal="right" vertical="center" wrapText="1"/>
    </xf>
    <xf numFmtId="0" fontId="9" fillId="2" borderId="6" xfId="3" applyFont="1" applyFill="1" applyBorder="1" applyAlignment="1" applyProtection="1">
      <alignment vertical="center" wrapText="1"/>
    </xf>
    <xf numFmtId="3" fontId="11" fillId="5" borderId="0" xfId="0" applyNumberFormat="1" applyFont="1" applyFill="1" applyBorder="1" applyAlignment="1" applyProtection="1">
      <alignment vertical="center"/>
    </xf>
    <xf numFmtId="0" fontId="0" fillId="0" borderId="0" xfId="0" applyBorder="1" applyAlignment="1" applyProtection="1">
      <alignment vertical="center"/>
    </xf>
    <xf numFmtId="166" fontId="10" fillId="3" borderId="18" xfId="0" applyNumberFormat="1" applyFont="1" applyFill="1" applyBorder="1" applyAlignment="1" applyProtection="1">
      <alignment horizontal="right" vertical="center" wrapText="1"/>
      <protection locked="0"/>
    </xf>
    <xf numFmtId="167" fontId="12" fillId="3" borderId="2" xfId="0" applyNumberFormat="1" applyFont="1" applyFill="1" applyBorder="1" applyAlignment="1" applyProtection="1">
      <alignment horizontal="right" vertical="center"/>
      <protection locked="0"/>
    </xf>
    <xf numFmtId="167" fontId="0" fillId="3" borderId="18" xfId="0" applyNumberFormat="1" applyFill="1" applyBorder="1" applyAlignment="1" applyProtection="1">
      <alignment horizontal="right" vertical="center"/>
      <protection locked="0"/>
    </xf>
    <xf numFmtId="0" fontId="0" fillId="0" borderId="0" xfId="0" applyFill="1" applyBorder="1" applyAlignment="1" applyProtection="1">
      <alignment horizontal="left" vertical="center" wrapText="1"/>
    </xf>
    <xf numFmtId="167" fontId="0" fillId="3" borderId="2" xfId="0" applyNumberFormat="1" applyFill="1" applyBorder="1" applyAlignment="1" applyProtection="1">
      <alignment horizontal="right" vertical="center"/>
      <protection locked="0"/>
    </xf>
    <xf numFmtId="0" fontId="7" fillId="3" borderId="13" xfId="0" applyFont="1" applyFill="1" applyBorder="1" applyAlignment="1" applyProtection="1">
      <alignment horizontal="right" vertical="center" wrapText="1"/>
    </xf>
    <xf numFmtId="0" fontId="0" fillId="0" borderId="13" xfId="0" applyBorder="1" applyAlignment="1">
      <alignment horizontal="right" vertical="center" wrapText="1"/>
    </xf>
    <xf numFmtId="0" fontId="0" fillId="0" borderId="0" xfId="0" applyAlignment="1" applyProtection="1">
      <alignment horizontal="center" vertical="center" wrapText="1"/>
    </xf>
    <xf numFmtId="0" fontId="7" fillId="3" borderId="13" xfId="0" applyFont="1" applyFill="1" applyBorder="1" applyAlignment="1" applyProtection="1">
      <alignment horizontal="left" vertical="center"/>
    </xf>
    <xf numFmtId="0" fontId="8" fillId="3" borderId="13" xfId="0" applyFont="1" applyFill="1" applyBorder="1" applyAlignment="1" applyProtection="1">
      <alignment horizontal="left" vertical="center"/>
    </xf>
    <xf numFmtId="0" fontId="0" fillId="0" borderId="13" xfId="0" applyBorder="1" applyAlignment="1" applyProtection="1">
      <alignment horizontal="left" vertical="center"/>
    </xf>
    <xf numFmtId="49" fontId="0" fillId="3" borderId="2" xfId="0" applyNumberFormat="1" applyFill="1" applyBorder="1" applyAlignment="1" applyProtection="1">
      <alignment horizontal="left" vertical="center"/>
      <protection locked="0"/>
    </xf>
    <xf numFmtId="49" fontId="0" fillId="3" borderId="6" xfId="0" applyNumberFormat="1" applyFill="1" applyBorder="1" applyAlignment="1" applyProtection="1">
      <alignment horizontal="left" vertical="center"/>
      <protection locked="0"/>
    </xf>
    <xf numFmtId="49" fontId="0" fillId="3" borderId="18" xfId="0" applyNumberFormat="1" applyFill="1" applyBorder="1" applyAlignment="1" applyProtection="1">
      <alignment horizontal="left" vertical="center"/>
      <protection locked="0"/>
    </xf>
    <xf numFmtId="0" fontId="52" fillId="2" borderId="0" xfId="3" applyFont="1" applyFill="1" applyAlignment="1" applyProtection="1">
      <alignment horizontal="left" vertical="center" wrapText="1"/>
    </xf>
    <xf numFmtId="0" fontId="52" fillId="0" borderId="0" xfId="3" applyFont="1" applyAlignment="1" applyProtection="1">
      <alignment horizontal="left" vertical="center" wrapText="1"/>
    </xf>
    <xf numFmtId="170" fontId="10" fillId="2" borderId="23" xfId="0" applyNumberFormat="1" applyFont="1" applyFill="1" applyBorder="1" applyAlignment="1" applyProtection="1">
      <alignment horizontal="right" indent="1"/>
    </xf>
    <xf numFmtId="170" fontId="10" fillId="2" borderId="38" xfId="0" applyNumberFormat="1" applyFont="1" applyFill="1" applyBorder="1" applyAlignment="1" applyProtection="1">
      <alignment horizontal="right" indent="1"/>
    </xf>
    <xf numFmtId="0" fontId="7" fillId="3" borderId="30" xfId="0" applyFont="1" applyFill="1" applyBorder="1" applyAlignment="1" applyProtection="1">
      <alignment horizontal="left" vertical="center"/>
    </xf>
    <xf numFmtId="0" fontId="0" fillId="0" borderId="39" xfId="0" applyBorder="1" applyAlignment="1" applyProtection="1">
      <alignment horizontal="left" vertical="center"/>
    </xf>
    <xf numFmtId="0" fontId="9" fillId="3" borderId="39" xfId="3" applyFill="1" applyBorder="1" applyAlignment="1" applyProtection="1">
      <alignment horizontal="left" vertical="center"/>
    </xf>
    <xf numFmtId="0" fontId="72" fillId="3" borderId="39" xfId="0" applyFont="1" applyFill="1" applyBorder="1" applyAlignment="1" applyProtection="1">
      <alignment horizontal="center" vertical="center"/>
    </xf>
    <xf numFmtId="0" fontId="72" fillId="3" borderId="40" xfId="0" applyFont="1" applyFill="1" applyBorder="1" applyAlignment="1" applyProtection="1">
      <alignment horizontal="center" vertical="center"/>
    </xf>
    <xf numFmtId="0" fontId="7" fillId="4" borderId="11" xfId="0" applyNumberFormat="1" applyFont="1" applyFill="1" applyBorder="1" applyAlignment="1" applyProtection="1">
      <alignment horizontal="left" vertical="center" wrapText="1"/>
    </xf>
    <xf numFmtId="0" fontId="7" fillId="4" borderId="16" xfId="0" applyNumberFormat="1" applyFont="1" applyFill="1" applyBorder="1" applyAlignment="1" applyProtection="1">
      <alignment horizontal="left" vertical="center" wrapText="1"/>
    </xf>
    <xf numFmtId="0" fontId="7" fillId="4" borderId="17" xfId="0" applyNumberFormat="1" applyFont="1" applyFill="1" applyBorder="1" applyAlignment="1" applyProtection="1">
      <alignment horizontal="left" vertical="center" wrapText="1"/>
    </xf>
    <xf numFmtId="0" fontId="7" fillId="4" borderId="14" xfId="0" applyNumberFormat="1" applyFont="1" applyFill="1" applyBorder="1" applyAlignment="1" applyProtection="1">
      <alignment horizontal="left" vertical="center" wrapText="1"/>
    </xf>
    <xf numFmtId="0" fontId="7" fillId="4" borderId="13" xfId="0" applyNumberFormat="1" applyFont="1" applyFill="1" applyBorder="1" applyAlignment="1" applyProtection="1">
      <alignment horizontal="left" vertical="center" wrapText="1"/>
    </xf>
    <xf numFmtId="0" fontId="7" fillId="20" borderId="13" xfId="0" applyNumberFormat="1" applyFont="1" applyFill="1" applyBorder="1" applyAlignment="1" applyProtection="1">
      <alignment horizontal="left" vertical="center" wrapText="1"/>
    </xf>
    <xf numFmtId="0" fontId="7" fillId="20" borderId="21" xfId="0" applyNumberFormat="1" applyFont="1" applyFill="1" applyBorder="1" applyAlignment="1" applyProtection="1">
      <alignment horizontal="left" vertical="center" wrapText="1"/>
    </xf>
    <xf numFmtId="0" fontId="7" fillId="3" borderId="44" xfId="0" applyFont="1" applyFill="1" applyBorder="1" applyAlignment="1" applyProtection="1">
      <alignment horizontal="left" vertical="center"/>
    </xf>
    <xf numFmtId="0" fontId="7" fillId="3" borderId="6" xfId="0" applyFont="1" applyFill="1" applyBorder="1" applyAlignment="1" applyProtection="1">
      <alignment horizontal="left" vertical="center"/>
    </xf>
    <xf numFmtId="0" fontId="72" fillId="3" borderId="13" xfId="0" applyFont="1" applyFill="1" applyBorder="1" applyAlignment="1" applyProtection="1">
      <alignment horizontal="center" vertical="center"/>
    </xf>
    <xf numFmtId="0" fontId="72" fillId="3" borderId="47" xfId="0" applyFont="1" applyFill="1" applyBorder="1" applyAlignment="1" applyProtection="1">
      <alignment horizontal="center" vertical="center"/>
    </xf>
    <xf numFmtId="0" fontId="9" fillId="2" borderId="46" xfId="3" applyFill="1" applyBorder="1" applyAlignment="1" applyProtection="1">
      <alignment horizontal="center" vertical="center" wrapText="1"/>
    </xf>
    <xf numFmtId="0" fontId="9" fillId="2" borderId="0" xfId="3" applyFill="1" applyBorder="1" applyAlignment="1" applyProtection="1">
      <alignment horizontal="center" vertical="center" wrapText="1"/>
    </xf>
    <xf numFmtId="0" fontId="76" fillId="18" borderId="14" xfId="0" applyFont="1" applyFill="1" applyBorder="1" applyAlignment="1" applyProtection="1">
      <alignment horizontal="center" vertical="center"/>
    </xf>
    <xf numFmtId="0" fontId="76" fillId="18" borderId="47" xfId="0" applyFont="1" applyFill="1" applyBorder="1" applyAlignment="1" applyProtection="1">
      <alignment horizontal="center" vertical="center"/>
    </xf>
    <xf numFmtId="0" fontId="7" fillId="19" borderId="48" xfId="0" applyFont="1" applyFill="1" applyBorder="1" applyAlignment="1" applyProtection="1">
      <alignment horizontal="right" vertical="center" wrapText="1"/>
    </xf>
    <xf numFmtId="0" fontId="7" fillId="19" borderId="3" xfId="0" applyFont="1" applyFill="1" applyBorder="1" applyAlignment="1" applyProtection="1">
      <alignment horizontal="right" vertical="center" wrapText="1"/>
    </xf>
    <xf numFmtId="0" fontId="10" fillId="0" borderId="2" xfId="0" applyNumberFormat="1" applyFont="1" applyBorder="1" applyAlignment="1" applyProtection="1">
      <alignment horizontal="left" vertical="center" indent="1"/>
      <protection locked="0"/>
    </xf>
    <xf numFmtId="0" fontId="10" fillId="0" borderId="6" xfId="0" applyNumberFormat="1" applyFont="1" applyBorder="1" applyAlignment="1" applyProtection="1">
      <alignment horizontal="left" vertical="center" indent="1"/>
      <protection locked="0"/>
    </xf>
    <xf numFmtId="0" fontId="10" fillId="0" borderId="18" xfId="0" applyNumberFormat="1" applyFont="1" applyBorder="1" applyAlignment="1" applyProtection="1">
      <alignment horizontal="left" vertical="center" indent="1"/>
      <protection locked="0"/>
    </xf>
    <xf numFmtId="0" fontId="12" fillId="18" borderId="49" xfId="0" applyFont="1" applyFill="1" applyBorder="1" applyAlignment="1" applyProtection="1">
      <alignment horizontal="center" vertical="center"/>
    </xf>
    <xf numFmtId="0" fontId="0" fillId="18" borderId="50" xfId="0" applyFill="1" applyBorder="1" applyAlignment="1" applyProtection="1">
      <alignment horizontal="center" vertical="center"/>
    </xf>
    <xf numFmtId="0" fontId="0" fillId="18" borderId="51" xfId="0" applyFill="1" applyBorder="1" applyAlignment="1" applyProtection="1">
      <alignment horizontal="center" vertical="center"/>
    </xf>
    <xf numFmtId="0" fontId="12" fillId="2" borderId="41" xfId="0" applyFont="1" applyFill="1" applyBorder="1" applyAlignment="1" applyProtection="1">
      <alignment horizontal="right" vertical="center" wrapText="1"/>
    </xf>
    <xf numFmtId="0" fontId="12" fillId="2" borderId="16" xfId="0" applyFont="1" applyFill="1" applyBorder="1" applyAlignment="1" applyProtection="1">
      <alignment horizontal="right" vertical="center" wrapText="1"/>
    </xf>
    <xf numFmtId="0" fontId="12" fillId="2" borderId="17" xfId="0" applyFont="1" applyFill="1" applyBorder="1" applyAlignment="1" applyProtection="1">
      <alignment horizontal="right" vertical="center" wrapText="1"/>
    </xf>
    <xf numFmtId="0" fontId="3" fillId="0" borderId="2" xfId="0" applyNumberFormat="1" applyFont="1" applyBorder="1" applyAlignment="1" applyProtection="1">
      <alignment horizontal="left" vertical="center" indent="1"/>
      <protection locked="0"/>
    </xf>
    <xf numFmtId="0" fontId="12" fillId="0" borderId="6" xfId="0" applyNumberFormat="1" applyFont="1" applyBorder="1" applyAlignment="1" applyProtection="1">
      <alignment horizontal="left" vertical="center" indent="1"/>
      <protection locked="0"/>
    </xf>
    <xf numFmtId="0" fontId="12" fillId="0" borderId="18" xfId="0" applyNumberFormat="1" applyFont="1" applyBorder="1" applyAlignment="1" applyProtection="1">
      <alignment horizontal="left" vertical="center" indent="1"/>
      <protection locked="0"/>
    </xf>
    <xf numFmtId="0" fontId="13" fillId="14" borderId="12" xfId="0" applyFont="1" applyFill="1" applyBorder="1" applyAlignment="1" applyProtection="1">
      <alignment horizontal="left" vertical="center"/>
    </xf>
    <xf numFmtId="0" fontId="13" fillId="14" borderId="0" xfId="0" applyFont="1" applyFill="1" applyBorder="1" applyAlignment="1" applyProtection="1">
      <alignment horizontal="left" vertical="center"/>
    </xf>
    <xf numFmtId="0" fontId="12" fillId="2" borderId="46" xfId="0" applyFont="1" applyFill="1" applyBorder="1" applyAlignment="1" applyProtection="1">
      <alignment horizontal="right" vertical="center" wrapText="1"/>
    </xf>
    <xf numFmtId="0" fontId="12" fillId="2" borderId="0" xfId="0" applyFont="1" applyFill="1" applyBorder="1" applyAlignment="1" applyProtection="1">
      <alignment horizontal="right" vertical="center" wrapText="1"/>
    </xf>
    <xf numFmtId="0" fontId="12" fillId="2" borderId="15" xfId="0" applyFont="1" applyFill="1" applyBorder="1" applyAlignment="1" applyProtection="1">
      <alignment horizontal="right" vertical="center" wrapText="1"/>
    </xf>
    <xf numFmtId="5" fontId="12" fillId="14" borderId="46" xfId="0" applyNumberFormat="1" applyFont="1" applyFill="1" applyBorder="1" applyAlignment="1" applyProtection="1">
      <alignment horizontal="right" vertical="center" wrapText="1"/>
    </xf>
    <xf numFmtId="5" fontId="12" fillId="14" borderId="0" xfId="0" applyNumberFormat="1" applyFont="1" applyFill="1" applyBorder="1" applyAlignment="1" applyProtection="1">
      <alignment horizontal="right" vertical="center" wrapText="1"/>
    </xf>
    <xf numFmtId="5" fontId="12" fillId="14" borderId="15" xfId="0" applyNumberFormat="1" applyFont="1" applyFill="1" applyBorder="1" applyAlignment="1" applyProtection="1">
      <alignment horizontal="right" vertical="center" wrapText="1"/>
    </xf>
    <xf numFmtId="0" fontId="12" fillId="0" borderId="2" xfId="0" applyNumberFormat="1" applyFont="1" applyBorder="1" applyAlignment="1" applyProtection="1">
      <alignment horizontal="left" vertical="center" indent="1"/>
      <protection locked="0"/>
    </xf>
    <xf numFmtId="0" fontId="25" fillId="2" borderId="3" xfId="3" applyFont="1" applyFill="1" applyBorder="1" applyAlignment="1" applyProtection="1">
      <alignment horizontal="center" vertical="center" wrapText="1"/>
    </xf>
    <xf numFmtId="166" fontId="12" fillId="0" borderId="2" xfId="0" applyNumberFormat="1" applyFont="1" applyBorder="1" applyAlignment="1" applyProtection="1">
      <alignment horizontal="left" vertical="center" indent="1"/>
      <protection locked="0"/>
    </xf>
    <xf numFmtId="166" fontId="12" fillId="0" borderId="18" xfId="0" applyNumberFormat="1" applyFont="1" applyBorder="1" applyAlignment="1" applyProtection="1">
      <alignment horizontal="left" vertical="center" indent="1"/>
      <protection locked="0"/>
    </xf>
    <xf numFmtId="0" fontId="12" fillId="2" borderId="52" xfId="0" applyFont="1" applyFill="1" applyBorder="1" applyAlignment="1" applyProtection="1">
      <alignment horizontal="center" vertical="center" wrapText="1"/>
    </xf>
    <xf numFmtId="0" fontId="12" fillId="2" borderId="53" xfId="0" applyFont="1" applyFill="1" applyBorder="1" applyAlignment="1" applyProtection="1">
      <alignment horizontal="center" vertical="center" wrapText="1"/>
    </xf>
    <xf numFmtId="0" fontId="12" fillId="2" borderId="54" xfId="0" applyFont="1" applyFill="1" applyBorder="1" applyAlignment="1" applyProtection="1">
      <alignment horizontal="center" vertical="center" wrapText="1"/>
    </xf>
    <xf numFmtId="3" fontId="12" fillId="2" borderId="54" xfId="0" applyNumberFormat="1" applyFont="1" applyFill="1" applyBorder="1" applyAlignment="1" applyProtection="1">
      <alignment horizontal="center" vertical="center"/>
      <protection locked="0"/>
    </xf>
    <xf numFmtId="3" fontId="0" fillId="2" borderId="54" xfId="0" applyNumberFormat="1" applyFill="1" applyBorder="1" applyAlignment="1" applyProtection="1">
      <alignment horizontal="center" vertical="center"/>
      <protection locked="0"/>
    </xf>
    <xf numFmtId="3" fontId="0" fillId="2" borderId="55" xfId="0" applyNumberFormat="1" applyFill="1" applyBorder="1" applyAlignment="1" applyProtection="1">
      <alignment horizontal="left" vertical="center" indent="1"/>
    </xf>
    <xf numFmtId="3" fontId="0" fillId="2" borderId="56" xfId="0" applyNumberFormat="1" applyFill="1" applyBorder="1" applyAlignment="1" applyProtection="1">
      <alignment horizontal="left" vertical="center" indent="1"/>
    </xf>
    <xf numFmtId="0" fontId="13" fillId="2" borderId="57" xfId="0" applyFont="1" applyFill="1" applyBorder="1" applyAlignment="1" applyProtection="1">
      <alignment horizontal="left" vertical="center" wrapText="1"/>
    </xf>
    <xf numFmtId="0" fontId="72" fillId="15" borderId="30" xfId="0" applyFont="1" applyFill="1" applyBorder="1" applyAlignment="1" applyProtection="1">
      <alignment horizontal="left" vertical="center"/>
    </xf>
    <xf numFmtId="0" fontId="72" fillId="15" borderId="39" xfId="0" applyFont="1" applyFill="1" applyBorder="1" applyAlignment="1" applyProtection="1">
      <alignment horizontal="left" vertical="center"/>
    </xf>
    <xf numFmtId="0" fontId="72" fillId="15" borderId="58" xfId="0" applyFont="1" applyFill="1" applyBorder="1" applyAlignment="1" applyProtection="1">
      <alignment horizontal="left" vertical="center"/>
    </xf>
    <xf numFmtId="0" fontId="72" fillId="15" borderId="59" xfId="0" applyFont="1" applyFill="1" applyBorder="1" applyAlignment="1" applyProtection="1">
      <alignment horizontal="center" vertical="center" wrapText="1"/>
    </xf>
    <xf numFmtId="0" fontId="72" fillId="15" borderId="13" xfId="0" applyFont="1" applyFill="1" applyBorder="1" applyAlignment="1" applyProtection="1">
      <alignment horizontal="center" vertical="center" wrapText="1"/>
    </xf>
    <xf numFmtId="0" fontId="9" fillId="15" borderId="59" xfId="3" applyFill="1" applyBorder="1" applyAlignment="1" applyProtection="1">
      <alignment horizontal="center" vertical="center" wrapText="1"/>
    </xf>
    <xf numFmtId="0" fontId="9" fillId="15" borderId="60" xfId="3" applyFill="1" applyBorder="1" applyAlignment="1" applyProtection="1">
      <alignment horizontal="center" vertical="center" wrapText="1"/>
    </xf>
    <xf numFmtId="0" fontId="3" fillId="14" borderId="41" xfId="0" applyFont="1" applyFill="1" applyBorder="1" applyAlignment="1" applyProtection="1">
      <alignment horizontal="left" vertical="top" wrapText="1"/>
      <protection locked="0"/>
    </xf>
    <xf numFmtId="0" fontId="12" fillId="14" borderId="16" xfId="0" applyFont="1" applyFill="1" applyBorder="1" applyAlignment="1" applyProtection="1">
      <alignment horizontal="left" vertical="top" wrapText="1"/>
      <protection locked="0"/>
    </xf>
    <xf numFmtId="0" fontId="12" fillId="14" borderId="17" xfId="0" applyFont="1" applyFill="1" applyBorder="1" applyAlignment="1" applyProtection="1">
      <alignment horizontal="left" vertical="top" wrapText="1"/>
      <protection locked="0"/>
    </xf>
    <xf numFmtId="0" fontId="12" fillId="14" borderId="43" xfId="0" applyFont="1" applyFill="1" applyBorder="1" applyAlignment="1" applyProtection="1">
      <alignment horizontal="left" vertical="top" wrapText="1"/>
      <protection locked="0"/>
    </xf>
    <xf numFmtId="0" fontId="12" fillId="14" borderId="13" xfId="0" applyFont="1" applyFill="1" applyBorder="1" applyAlignment="1" applyProtection="1">
      <alignment horizontal="left" vertical="top" wrapText="1"/>
      <protection locked="0"/>
    </xf>
    <xf numFmtId="0" fontId="12" fillId="14" borderId="21" xfId="0" applyFont="1" applyFill="1" applyBorder="1" applyAlignment="1" applyProtection="1">
      <alignment horizontal="left" vertical="top" wrapText="1"/>
      <protection locked="0"/>
    </xf>
    <xf numFmtId="0" fontId="10" fillId="14" borderId="2" xfId="0" applyFont="1" applyFill="1" applyBorder="1" applyAlignment="1" applyProtection="1">
      <alignment horizontal="center" vertical="center" wrapText="1"/>
    </xf>
    <xf numFmtId="0" fontId="10" fillId="14" borderId="6" xfId="0" applyFont="1" applyFill="1" applyBorder="1" applyAlignment="1" applyProtection="1">
      <alignment horizontal="center" vertical="center" wrapText="1"/>
    </xf>
    <xf numFmtId="0" fontId="10" fillId="14" borderId="18" xfId="0" applyFont="1" applyFill="1" applyBorder="1" applyAlignment="1" applyProtection="1">
      <alignment horizontal="center" vertical="center" wrapText="1"/>
    </xf>
    <xf numFmtId="0" fontId="72" fillId="15" borderId="2" xfId="0" applyFont="1" applyFill="1" applyBorder="1" applyAlignment="1" applyProtection="1">
      <alignment horizontal="left" vertical="center"/>
    </xf>
    <xf numFmtId="0" fontId="72" fillId="15" borderId="6" xfId="0" applyFont="1" applyFill="1" applyBorder="1" applyAlignment="1" applyProtection="1">
      <alignment horizontal="left" vertical="center"/>
    </xf>
    <xf numFmtId="0" fontId="72" fillId="15" borderId="18" xfId="0" applyFont="1" applyFill="1" applyBorder="1" applyAlignment="1" applyProtection="1">
      <alignment horizontal="left" vertical="center"/>
    </xf>
    <xf numFmtId="0" fontId="12" fillId="14" borderId="41" xfId="0" applyFont="1" applyFill="1" applyBorder="1" applyAlignment="1" applyProtection="1">
      <alignment horizontal="left" vertical="top" wrapText="1"/>
      <protection locked="0"/>
    </xf>
    <xf numFmtId="0" fontId="72" fillId="15" borderId="48" xfId="0" applyFont="1" applyFill="1" applyBorder="1" applyAlignment="1" applyProtection="1">
      <alignment horizontal="left" vertical="center" wrapText="1"/>
    </xf>
    <xf numFmtId="0" fontId="72" fillId="15" borderId="3" xfId="0" applyFont="1" applyFill="1" applyBorder="1" applyAlignment="1" applyProtection="1">
      <alignment horizontal="left" vertical="center" wrapText="1"/>
    </xf>
    <xf numFmtId="0" fontId="72" fillId="15" borderId="27" xfId="0" applyFont="1" applyFill="1" applyBorder="1" applyAlignment="1" applyProtection="1">
      <alignment horizontal="left" vertical="center" wrapText="1"/>
    </xf>
    <xf numFmtId="0" fontId="72" fillId="15" borderId="31" xfId="0" applyFont="1" applyFill="1" applyBorder="1" applyAlignment="1" applyProtection="1">
      <alignment horizontal="center" vertical="center" wrapText="1"/>
    </xf>
    <xf numFmtId="0" fontId="72" fillId="15" borderId="29" xfId="0" applyFont="1" applyFill="1" applyBorder="1" applyAlignment="1" applyProtection="1">
      <alignment horizontal="center" vertical="center" wrapText="1"/>
    </xf>
    <xf numFmtId="0" fontId="72" fillId="15" borderId="21" xfId="0" applyFont="1" applyFill="1" applyBorder="1" applyAlignment="1" applyProtection="1">
      <alignment horizontal="center" vertical="center" wrapText="1"/>
    </xf>
    <xf numFmtId="0" fontId="72" fillId="15" borderId="61" xfId="0" applyFont="1" applyFill="1" applyBorder="1" applyAlignment="1" applyProtection="1">
      <alignment horizontal="center" vertical="center" wrapText="1"/>
    </xf>
    <xf numFmtId="0" fontId="12" fillId="2" borderId="62" xfId="0" applyFont="1" applyFill="1" applyBorder="1" applyAlignment="1" applyProtection="1">
      <alignment horizontal="left" vertical="center" wrapText="1"/>
      <protection locked="0"/>
    </xf>
    <xf numFmtId="0" fontId="12" fillId="2" borderId="54" xfId="0" applyFont="1" applyFill="1" applyBorder="1" applyAlignment="1" applyProtection="1">
      <alignment horizontal="left" vertical="center" wrapText="1"/>
      <protection locked="0"/>
    </xf>
    <xf numFmtId="0" fontId="12" fillId="2" borderId="55" xfId="0" applyFont="1" applyFill="1" applyBorder="1" applyAlignment="1" applyProtection="1">
      <alignment horizontal="left" vertical="center" wrapText="1"/>
      <protection locked="0"/>
    </xf>
    <xf numFmtId="0" fontId="12" fillId="2" borderId="50" xfId="0" applyFont="1" applyFill="1" applyBorder="1" applyAlignment="1" applyProtection="1">
      <alignment horizontal="left" vertical="center" wrapText="1"/>
      <protection locked="0"/>
    </xf>
    <xf numFmtId="0" fontId="12" fillId="2" borderId="56" xfId="0" applyFont="1" applyFill="1" applyBorder="1" applyAlignment="1" applyProtection="1">
      <alignment horizontal="left" vertical="center" wrapText="1"/>
      <protection locked="0"/>
    </xf>
    <xf numFmtId="0" fontId="0" fillId="2" borderId="54" xfId="0" applyFill="1" applyBorder="1" applyAlignment="1" applyProtection="1">
      <alignment horizontal="left" vertical="center"/>
      <protection locked="0"/>
    </xf>
    <xf numFmtId="0" fontId="0" fillId="2" borderId="63" xfId="0" applyFill="1" applyBorder="1" applyAlignment="1" applyProtection="1">
      <alignment horizontal="left" vertical="center"/>
      <protection locked="0"/>
    </xf>
    <xf numFmtId="0" fontId="7" fillId="15" borderId="64" xfId="0" applyFont="1" applyFill="1" applyBorder="1" applyAlignment="1" applyProtection="1">
      <alignment vertical="center" wrapText="1"/>
    </xf>
    <xf numFmtId="0" fontId="7" fillId="15" borderId="65" xfId="0" applyFont="1" applyFill="1" applyBorder="1" applyAlignment="1" applyProtection="1">
      <alignment vertical="center" wrapText="1"/>
    </xf>
    <xf numFmtId="0" fontId="7" fillId="15" borderId="66" xfId="0" applyFont="1" applyFill="1" applyBorder="1" applyAlignment="1" applyProtection="1">
      <alignment vertical="center" wrapText="1"/>
    </xf>
    <xf numFmtId="0" fontId="12" fillId="14" borderId="44" xfId="0" applyFont="1" applyFill="1" applyBorder="1" applyAlignment="1" applyProtection="1">
      <alignment horizontal="left" vertical="center" wrapText="1"/>
    </xf>
    <xf numFmtId="0" fontId="12" fillId="14" borderId="6" xfId="0" applyFont="1" applyFill="1" applyBorder="1" applyAlignment="1" applyProtection="1">
      <alignment horizontal="left" vertical="center" wrapText="1"/>
    </xf>
    <xf numFmtId="0" fontId="12" fillId="14" borderId="18" xfId="0" applyFont="1" applyFill="1" applyBorder="1" applyAlignment="1" applyProtection="1">
      <alignment horizontal="left" vertical="center" wrapText="1"/>
    </xf>
    <xf numFmtId="0" fontId="12" fillId="14" borderId="2" xfId="0" applyFont="1" applyFill="1" applyBorder="1" applyAlignment="1" applyProtection="1">
      <alignment horizontal="center" vertical="center" wrapText="1"/>
      <protection locked="0"/>
    </xf>
    <xf numFmtId="0" fontId="12" fillId="14" borderId="6" xfId="0" applyFont="1" applyFill="1" applyBorder="1" applyAlignment="1" applyProtection="1">
      <alignment horizontal="center" vertical="center" wrapText="1"/>
      <protection locked="0"/>
    </xf>
    <xf numFmtId="0" fontId="12" fillId="14" borderId="45" xfId="0" applyFont="1" applyFill="1" applyBorder="1" applyAlignment="1" applyProtection="1">
      <alignment horizontal="center" vertical="center" wrapText="1"/>
      <protection locked="0"/>
    </xf>
    <xf numFmtId="0" fontId="0" fillId="14" borderId="6" xfId="0" applyFill="1" applyBorder="1" applyAlignment="1" applyProtection="1">
      <alignment horizontal="left" vertical="center" wrapText="1"/>
    </xf>
    <xf numFmtId="0" fontId="0" fillId="14" borderId="2" xfId="0" applyFill="1" applyBorder="1" applyAlignment="1" applyProtection="1">
      <alignment horizontal="center" vertical="center" wrapText="1"/>
      <protection locked="0"/>
    </xf>
    <xf numFmtId="0" fontId="0" fillId="14" borderId="6" xfId="0" applyFill="1" applyBorder="1" applyAlignment="1" applyProtection="1">
      <alignment horizontal="center" vertical="center" wrapText="1"/>
      <protection locked="0"/>
    </xf>
    <xf numFmtId="0" fontId="0" fillId="14" borderId="45" xfId="0" applyFill="1" applyBorder="1" applyAlignment="1" applyProtection="1">
      <alignment horizontal="center" vertical="center" wrapText="1"/>
      <protection locked="0"/>
    </xf>
    <xf numFmtId="0" fontId="12" fillId="0" borderId="67" xfId="0" applyFont="1" applyFill="1" applyBorder="1" applyAlignment="1" applyProtection="1">
      <alignment vertical="center" wrapText="1"/>
    </xf>
    <xf numFmtId="0" fontId="12" fillId="0" borderId="68" xfId="0" applyFont="1" applyFill="1" applyBorder="1" applyAlignment="1" applyProtection="1">
      <alignment vertical="center" wrapText="1"/>
    </xf>
    <xf numFmtId="0" fontId="12" fillId="0" borderId="69" xfId="0" applyFont="1" applyFill="1" applyBorder="1" applyAlignment="1" applyProtection="1">
      <alignment vertical="center" wrapText="1"/>
    </xf>
    <xf numFmtId="0" fontId="12" fillId="14" borderId="46" xfId="0" applyFont="1" applyFill="1" applyBorder="1" applyAlignment="1" applyProtection="1">
      <alignment horizontal="left" vertical="top" wrapText="1"/>
      <protection locked="0"/>
    </xf>
    <xf numFmtId="0" fontId="0" fillId="14" borderId="0" xfId="0" applyFill="1" applyBorder="1" applyAlignment="1" applyProtection="1">
      <alignment horizontal="left" vertical="top" wrapText="1"/>
      <protection locked="0"/>
    </xf>
    <xf numFmtId="0" fontId="0" fillId="2" borderId="25" xfId="0" applyFill="1" applyBorder="1" applyAlignment="1" applyProtection="1">
      <alignment horizontal="left" vertical="top" wrapText="1"/>
      <protection locked="0"/>
    </xf>
    <xf numFmtId="0" fontId="0" fillId="2" borderId="43" xfId="0" applyFill="1" applyBorder="1" applyAlignment="1" applyProtection="1">
      <alignment horizontal="left" vertical="top" wrapText="1"/>
      <protection locked="0"/>
    </xf>
    <xf numFmtId="0" fontId="0" fillId="2" borderId="13" xfId="0" applyFill="1" applyBorder="1" applyAlignment="1" applyProtection="1">
      <alignment horizontal="left" vertical="top" wrapText="1"/>
      <protection locked="0"/>
    </xf>
    <xf numFmtId="0" fontId="0" fillId="2" borderId="47" xfId="0" applyFill="1" applyBorder="1" applyAlignment="1" applyProtection="1">
      <alignment horizontal="left" vertical="top" wrapText="1"/>
      <protection locked="0"/>
    </xf>
    <xf numFmtId="0" fontId="12" fillId="14" borderId="67" xfId="0" applyFont="1" applyFill="1" applyBorder="1" applyAlignment="1" applyProtection="1">
      <alignment vertical="center"/>
    </xf>
    <xf numFmtId="0" fontId="12" fillId="14" borderId="68" xfId="0" applyFont="1" applyFill="1" applyBorder="1" applyAlignment="1" applyProtection="1">
      <alignment vertical="center"/>
    </xf>
    <xf numFmtId="0" fontId="12" fillId="14" borderId="69" xfId="0" applyFont="1" applyFill="1" applyBorder="1" applyAlignment="1" applyProtection="1">
      <alignment vertical="center"/>
    </xf>
    <xf numFmtId="0" fontId="12" fillId="14" borderId="0" xfId="0" applyFont="1" applyFill="1" applyBorder="1" applyAlignment="1" applyProtection="1">
      <alignment horizontal="left" vertical="top" wrapText="1"/>
      <protection locked="0"/>
    </xf>
    <xf numFmtId="0" fontId="12" fillId="14" borderId="25" xfId="0" applyFont="1" applyFill="1" applyBorder="1" applyAlignment="1" applyProtection="1">
      <alignment horizontal="left" vertical="top" wrapText="1"/>
      <protection locked="0"/>
    </xf>
    <xf numFmtId="0" fontId="12" fillId="14" borderId="70" xfId="0" applyFont="1" applyFill="1" applyBorder="1" applyAlignment="1" applyProtection="1">
      <alignment horizontal="left" vertical="top" wrapText="1"/>
      <protection locked="0"/>
    </xf>
    <xf numFmtId="0" fontId="12" fillId="14" borderId="57" xfId="0" applyFont="1" applyFill="1" applyBorder="1" applyAlignment="1" applyProtection="1">
      <alignment horizontal="left" vertical="top" wrapText="1"/>
      <protection locked="0"/>
    </xf>
    <xf numFmtId="0" fontId="12" fillId="14" borderId="26" xfId="0" applyFont="1" applyFill="1" applyBorder="1" applyAlignment="1" applyProtection="1">
      <alignment horizontal="left" vertical="top" wrapText="1"/>
      <protection locked="0"/>
    </xf>
    <xf numFmtId="0" fontId="7" fillId="15" borderId="30" xfId="0" applyFont="1" applyFill="1" applyBorder="1" applyAlignment="1" applyProtection="1">
      <alignment horizontal="left" vertical="center" wrapText="1"/>
    </xf>
    <xf numFmtId="0" fontId="7" fillId="15" borderId="39" xfId="0" applyFont="1" applyFill="1" applyBorder="1" applyAlignment="1" applyProtection="1">
      <alignment horizontal="left" vertical="center" wrapText="1"/>
    </xf>
    <xf numFmtId="0" fontId="7" fillId="15" borderId="40" xfId="0" applyFont="1" applyFill="1" applyBorder="1" applyAlignment="1" applyProtection="1">
      <alignment horizontal="left" vertical="center" wrapText="1"/>
    </xf>
    <xf numFmtId="0" fontId="12" fillId="14" borderId="41" xfId="0" applyFont="1" applyFill="1" applyBorder="1" applyAlignment="1" applyProtection="1">
      <alignment horizontal="left" vertical="center" wrapText="1"/>
    </xf>
    <xf numFmtId="0" fontId="12" fillId="14" borderId="16" xfId="0" applyFont="1" applyFill="1" applyBorder="1" applyAlignment="1" applyProtection="1">
      <alignment horizontal="left" vertical="center" wrapText="1"/>
    </xf>
    <xf numFmtId="0" fontId="12" fillId="14" borderId="17" xfId="0" applyFont="1" applyFill="1" applyBorder="1" applyAlignment="1" applyProtection="1">
      <alignment horizontal="left" vertical="center" wrapText="1"/>
    </xf>
    <xf numFmtId="0" fontId="12" fillId="14" borderId="67" xfId="0" applyFont="1" applyFill="1" applyBorder="1" applyAlignment="1" applyProtection="1">
      <alignment vertical="center" wrapText="1"/>
    </xf>
    <xf numFmtId="0" fontId="12" fillId="14" borderId="68" xfId="0" applyFont="1" applyFill="1" applyBorder="1" applyAlignment="1" applyProtection="1">
      <alignment vertical="center" wrapText="1"/>
    </xf>
    <xf numFmtId="0" fontId="12" fillId="14" borderId="69" xfId="0" applyFont="1" applyFill="1" applyBorder="1" applyAlignment="1" applyProtection="1">
      <alignment vertical="center" wrapText="1"/>
    </xf>
    <xf numFmtId="0" fontId="0" fillId="14" borderId="25" xfId="0" applyFill="1" applyBorder="1" applyAlignment="1" applyProtection="1">
      <alignment horizontal="left" vertical="top" wrapText="1"/>
      <protection locked="0"/>
    </xf>
    <xf numFmtId="0" fontId="0" fillId="14" borderId="43" xfId="0" applyFill="1" applyBorder="1" applyAlignment="1" applyProtection="1">
      <alignment horizontal="left" vertical="top" wrapText="1"/>
      <protection locked="0"/>
    </xf>
    <xf numFmtId="0" fontId="0" fillId="14" borderId="13" xfId="0" applyFill="1" applyBorder="1" applyAlignment="1" applyProtection="1">
      <alignment horizontal="left" vertical="top" wrapText="1"/>
      <protection locked="0"/>
    </xf>
    <xf numFmtId="0" fontId="0" fillId="14" borderId="47" xfId="0" applyFill="1" applyBorder="1" applyAlignment="1" applyProtection="1">
      <alignment horizontal="left" vertical="top" wrapText="1"/>
      <protection locked="0"/>
    </xf>
    <xf numFmtId="0" fontId="12" fillId="14" borderId="67" xfId="0" applyFont="1" applyFill="1" applyBorder="1" applyAlignment="1" applyProtection="1">
      <alignment horizontal="left" vertical="center" wrapText="1"/>
    </xf>
    <xf numFmtId="0" fontId="12" fillId="14" borderId="68" xfId="0" applyFont="1" applyFill="1" applyBorder="1" applyAlignment="1" applyProtection="1">
      <alignment horizontal="left" vertical="center" wrapText="1"/>
    </xf>
    <xf numFmtId="0" fontId="12" fillId="14" borderId="69" xfId="0" applyFont="1" applyFill="1" applyBorder="1" applyAlignment="1" applyProtection="1">
      <alignment horizontal="left" vertical="center" wrapText="1"/>
    </xf>
    <xf numFmtId="0" fontId="0" fillId="2" borderId="70" xfId="0" applyFill="1" applyBorder="1" applyAlignment="1" applyProtection="1">
      <alignment horizontal="left" vertical="top" wrapText="1"/>
      <protection locked="0"/>
    </xf>
    <xf numFmtId="0" fontId="0" fillId="2" borderId="57" xfId="0" applyFill="1" applyBorder="1" applyAlignment="1" applyProtection="1">
      <alignment horizontal="left" vertical="top" wrapText="1"/>
      <protection locked="0"/>
    </xf>
    <xf numFmtId="0" fontId="0" fillId="2" borderId="26" xfId="0" applyFill="1" applyBorder="1" applyAlignment="1" applyProtection="1">
      <alignment horizontal="left" vertical="top" wrapText="1"/>
      <protection locked="0"/>
    </xf>
    <xf numFmtId="0" fontId="72" fillId="15" borderId="40" xfId="0" applyFont="1" applyFill="1" applyBorder="1" applyAlignment="1" applyProtection="1">
      <alignment horizontal="left" vertical="center"/>
    </xf>
    <xf numFmtId="0" fontId="0" fillId="2" borderId="46" xfId="0" applyFill="1" applyBorder="1" applyAlignment="1" applyProtection="1">
      <alignment horizontal="left" vertical="top" wrapText="1"/>
      <protection locked="0"/>
    </xf>
    <xf numFmtId="0" fontId="12" fillId="14" borderId="42" xfId="0" applyFont="1" applyFill="1" applyBorder="1" applyAlignment="1" applyProtection="1">
      <alignment horizontal="left" vertical="top" wrapText="1"/>
      <protection locked="0"/>
    </xf>
    <xf numFmtId="0" fontId="10" fillId="14" borderId="0" xfId="0" applyFont="1" applyFill="1" applyBorder="1" applyAlignment="1" applyProtection="1">
      <alignment horizontal="left" vertical="center"/>
    </xf>
    <xf numFmtId="0" fontId="72" fillId="3" borderId="6" xfId="0" applyFont="1" applyFill="1" applyBorder="1" applyAlignment="1" applyProtection="1">
      <alignment horizontal="center" vertical="center"/>
    </xf>
    <xf numFmtId="0" fontId="72" fillId="3" borderId="45" xfId="0" applyFont="1" applyFill="1" applyBorder="1" applyAlignment="1" applyProtection="1">
      <alignment horizontal="center" vertical="center"/>
    </xf>
    <xf numFmtId="0" fontId="0" fillId="14" borderId="0" xfId="0" applyFill="1" applyBorder="1" applyAlignment="1" applyProtection="1">
      <alignment horizontal="left" vertical="top" wrapText="1"/>
    </xf>
    <xf numFmtId="14" fontId="12" fillId="0" borderId="2" xfId="0" applyNumberFormat="1" applyFont="1" applyBorder="1" applyAlignment="1" applyProtection="1">
      <alignment horizontal="left" vertical="center" indent="1"/>
      <protection locked="0"/>
    </xf>
    <xf numFmtId="0" fontId="7" fillId="14" borderId="0" xfId="0" applyFont="1" applyFill="1" applyBorder="1" applyAlignment="1" applyProtection="1">
      <alignment vertical="center" wrapText="1"/>
    </xf>
    <xf numFmtId="0" fontId="7" fillId="14" borderId="0" xfId="0" applyFont="1" applyFill="1" applyBorder="1" applyAlignment="1" applyProtection="1">
      <alignment vertical="center"/>
    </xf>
    <xf numFmtId="0" fontId="7" fillId="14" borderId="0" xfId="0" applyFont="1" applyFill="1" applyBorder="1" applyAlignment="1" applyProtection="1">
      <alignment horizontal="left" vertical="center"/>
    </xf>
    <xf numFmtId="0" fontId="7" fillId="14" borderId="0" xfId="0" applyFont="1" applyFill="1" applyBorder="1" applyAlignment="1" applyProtection="1">
      <alignment horizontal="center" vertical="center"/>
    </xf>
    <xf numFmtId="0" fontId="9" fillId="14" borderId="0" xfId="3" applyFill="1" applyBorder="1" applyAlignment="1" applyProtection="1">
      <alignment horizontal="left" vertical="center" wrapText="1"/>
    </xf>
    <xf numFmtId="0" fontId="16" fillId="14" borderId="0" xfId="0" applyFont="1" applyFill="1" applyBorder="1" applyAlignment="1" applyProtection="1">
      <alignment vertical="center" wrapText="1"/>
    </xf>
    <xf numFmtId="0" fontId="0" fillId="14" borderId="0" xfId="0" applyFill="1" applyBorder="1" applyAlignment="1" applyProtection="1">
      <alignment vertical="center"/>
    </xf>
    <xf numFmtId="0" fontId="10" fillId="14" borderId="0" xfId="0" applyFont="1" applyFill="1" applyBorder="1" applyAlignment="1" applyProtection="1">
      <alignment horizontal="left" vertical="center" wrapText="1"/>
    </xf>
    <xf numFmtId="0" fontId="12" fillId="14" borderId="0" xfId="0" applyNumberFormat="1" applyFont="1" applyFill="1" applyBorder="1" applyAlignment="1" applyProtection="1">
      <alignment horizontal="left" vertical="center"/>
    </xf>
    <xf numFmtId="0" fontId="13" fillId="14" borderId="0" xfId="0" applyFont="1" applyFill="1" applyBorder="1" applyAlignment="1" applyProtection="1">
      <alignment vertical="center"/>
    </xf>
    <xf numFmtId="0" fontId="25" fillId="14" borderId="0" xfId="3" applyFont="1" applyFill="1" applyBorder="1" applyAlignment="1" applyProtection="1">
      <alignment horizontal="left" vertical="center" wrapText="1"/>
    </xf>
    <xf numFmtId="14" fontId="0" fillId="14" borderId="0" xfId="0" applyNumberFormat="1" applyFill="1" applyBorder="1" applyAlignment="1" applyProtection="1">
      <alignment horizontal="right" vertical="center"/>
    </xf>
    <xf numFmtId="5" fontId="13" fillId="14" borderId="0" xfId="0" applyNumberFormat="1" applyFont="1" applyFill="1" applyBorder="1" applyAlignment="1" applyProtection="1">
      <alignment horizontal="left" vertical="center" wrapText="1"/>
    </xf>
    <xf numFmtId="0" fontId="13" fillId="14" borderId="0" xfId="0" applyFont="1" applyFill="1" applyBorder="1" applyAlignment="1" applyProtection="1">
      <alignment vertical="center" wrapText="1"/>
    </xf>
    <xf numFmtId="42" fontId="0" fillId="14" borderId="0" xfId="0" applyNumberFormat="1" applyFill="1" applyBorder="1" applyAlignment="1" applyProtection="1">
      <alignment horizontal="right" vertical="center"/>
    </xf>
    <xf numFmtId="0" fontId="10" fillId="14" borderId="0" xfId="0" applyFont="1" applyFill="1" applyBorder="1" applyAlignment="1" applyProtection="1">
      <alignment horizontal="left" wrapText="1"/>
    </xf>
    <xf numFmtId="0" fontId="0" fillId="14" borderId="0" xfId="0" applyFill="1" applyBorder="1" applyAlignment="1" applyProtection="1">
      <alignment wrapText="1"/>
    </xf>
    <xf numFmtId="170" fontId="53" fillId="2" borderId="0" xfId="3" applyNumberFormat="1" applyFont="1" applyFill="1" applyBorder="1" applyAlignment="1" applyProtection="1">
      <alignment horizontal="center" vertical="center" wrapText="1"/>
    </xf>
    <xf numFmtId="0" fontId="62" fillId="2" borderId="0" xfId="0" applyFont="1" applyFill="1" applyBorder="1" applyAlignment="1" applyProtection="1">
      <alignment horizontal="left" vertical="center"/>
    </xf>
    <xf numFmtId="0" fontId="0" fillId="2" borderId="0" xfId="0" applyFill="1" applyAlignment="1">
      <alignment vertical="center"/>
    </xf>
    <xf numFmtId="165" fontId="7" fillId="3" borderId="19" xfId="0" applyNumberFormat="1" applyFont="1" applyFill="1" applyBorder="1" applyAlignment="1" applyProtection="1">
      <alignment horizontal="center" vertical="center"/>
    </xf>
    <xf numFmtId="0" fontId="0" fillId="3" borderId="29" xfId="0" applyFill="1" applyBorder="1" applyAlignment="1">
      <alignment horizontal="center" vertical="center"/>
    </xf>
    <xf numFmtId="0" fontId="65" fillId="3" borderId="12" xfId="0" applyFont="1" applyFill="1" applyBorder="1" applyAlignment="1" applyProtection="1">
      <alignment horizontal="left" vertical="center"/>
    </xf>
    <xf numFmtId="0" fontId="65" fillId="3" borderId="0" xfId="0" applyFont="1" applyFill="1" applyBorder="1" applyAlignment="1" applyProtection="1">
      <alignment horizontal="left" vertical="center"/>
    </xf>
    <xf numFmtId="0" fontId="64" fillId="4" borderId="0" xfId="0" applyFont="1" applyFill="1" applyBorder="1" applyAlignment="1" applyProtection="1">
      <alignment horizontal="left" vertical="center" wrapText="1"/>
    </xf>
    <xf numFmtId="165" fontId="7" fillId="3" borderId="19" xfId="0" applyNumberFormat="1" applyFont="1" applyFill="1" applyBorder="1" applyAlignment="1" applyProtection="1">
      <alignment horizontal="center" vertical="center" wrapText="1"/>
    </xf>
    <xf numFmtId="0" fontId="0" fillId="3" borderId="29" xfId="0" applyFill="1" applyBorder="1" applyAlignment="1">
      <alignment horizontal="center" vertical="center" wrapText="1"/>
    </xf>
    <xf numFmtId="0" fontId="0" fillId="2" borderId="0" xfId="0" applyFill="1" applyAlignment="1" applyProtection="1">
      <protection locked="0"/>
    </xf>
    <xf numFmtId="165" fontId="7" fillId="3" borderId="2" xfId="0" applyNumberFormat="1" applyFont="1" applyFill="1" applyBorder="1" applyAlignment="1" applyProtection="1">
      <alignment horizontal="left" vertical="center" wrapText="1"/>
    </xf>
    <xf numFmtId="0" fontId="0" fillId="3" borderId="18" xfId="0" applyFill="1" applyBorder="1" applyAlignment="1">
      <alignment wrapText="1"/>
    </xf>
    <xf numFmtId="0" fontId="9" fillId="0" borderId="16" xfId="3" applyBorder="1" applyAlignment="1" applyProtection="1">
      <alignment horizontal="left" vertical="center"/>
    </xf>
    <xf numFmtId="0" fontId="14" fillId="4" borderId="12" xfId="6" applyFont="1" applyFill="1" applyBorder="1" applyAlignment="1">
      <alignment horizontal="left"/>
    </xf>
    <xf numFmtId="0" fontId="14" fillId="4" borderId="0" xfId="6" applyFont="1" applyFill="1" applyBorder="1" applyAlignment="1">
      <alignment horizontal="left"/>
    </xf>
    <xf numFmtId="44" fontId="3" fillId="15" borderId="3" xfId="6" applyNumberFormat="1" applyFill="1" applyBorder="1" applyAlignment="1" applyProtection="1">
      <alignment horizontal="center"/>
    </xf>
    <xf numFmtId="172" fontId="0" fillId="15" borderId="3" xfId="9" applyNumberFormat="1" applyFont="1" applyFill="1" applyBorder="1" applyAlignment="1">
      <alignment horizontal="center"/>
    </xf>
    <xf numFmtId="0" fontId="10" fillId="15" borderId="3" xfId="0" applyFont="1" applyFill="1" applyBorder="1" applyAlignment="1">
      <alignment horizontal="center"/>
    </xf>
    <xf numFmtId="0" fontId="10" fillId="15" borderId="3" xfId="0" applyFont="1" applyFill="1" applyBorder="1" applyAlignment="1">
      <alignment horizontal="center" wrapText="1"/>
    </xf>
    <xf numFmtId="0" fontId="10" fillId="4" borderId="3" xfId="6" applyFont="1" applyFill="1" applyBorder="1" applyAlignment="1">
      <alignment horizontal="left"/>
    </xf>
    <xf numFmtId="0" fontId="10" fillId="15" borderId="3" xfId="0" applyFont="1" applyFill="1" applyBorder="1" applyAlignment="1">
      <alignment horizontal="left" vertical="top" wrapText="1"/>
    </xf>
    <xf numFmtId="0" fontId="3" fillId="0" borderId="3" xfId="0" applyFont="1" applyBorder="1" applyAlignment="1" applyProtection="1">
      <alignment horizontal="left" vertical="top"/>
      <protection locked="0"/>
    </xf>
    <xf numFmtId="9" fontId="0" fillId="0" borderId="3" xfId="9" applyFont="1" applyBorder="1" applyAlignment="1">
      <alignment horizontal="center"/>
    </xf>
    <xf numFmtId="0" fontId="0" fillId="0" borderId="12" xfId="0" applyBorder="1" applyAlignment="1">
      <alignment horizontal="left"/>
    </xf>
    <xf numFmtId="0" fontId="0" fillId="0" borderId="0" xfId="0" applyAlignment="1">
      <alignment horizontal="left"/>
    </xf>
    <xf numFmtId="0" fontId="3" fillId="0" borderId="2" xfId="0" applyFont="1" applyBorder="1" applyAlignment="1" applyProtection="1">
      <alignment horizontal="center"/>
      <protection locked="0"/>
    </xf>
    <xf numFmtId="0" fontId="0" fillId="0" borderId="6" xfId="0" applyBorder="1" applyAlignment="1" applyProtection="1">
      <alignment horizontal="center"/>
      <protection locked="0"/>
    </xf>
    <xf numFmtId="0" fontId="0" fillId="0" borderId="18" xfId="0" applyBorder="1" applyAlignment="1" applyProtection="1">
      <alignment horizontal="center"/>
      <protection locked="0"/>
    </xf>
    <xf numFmtId="0" fontId="0" fillId="0" borderId="3" xfId="0" applyBorder="1" applyAlignment="1">
      <alignment horizontal="center"/>
    </xf>
    <xf numFmtId="44" fontId="0" fillId="0" borderId="3" xfId="2" applyFont="1" applyBorder="1" applyAlignment="1">
      <alignment horizontal="center"/>
    </xf>
    <xf numFmtId="0" fontId="3" fillId="0" borderId="3" xfId="0" applyFont="1" applyBorder="1" applyAlignment="1" applyProtection="1">
      <alignment horizontal="center"/>
      <protection locked="0"/>
    </xf>
    <xf numFmtId="44" fontId="0" fillId="15" borderId="3" xfId="0" applyNumberFormat="1" applyFill="1" applyBorder="1" applyAlignment="1">
      <alignment horizontal="center"/>
    </xf>
    <xf numFmtId="0" fontId="0" fillId="0" borderId="3" xfId="0" applyBorder="1" applyAlignment="1" applyProtection="1">
      <alignment horizontal="center"/>
      <protection locked="0"/>
    </xf>
    <xf numFmtId="0" fontId="3" fillId="0" borderId="3" xfId="0" applyFont="1" applyBorder="1" applyAlignment="1">
      <alignment horizontal="left"/>
    </xf>
    <xf numFmtId="0" fontId="0" fillId="0" borderId="3" xfId="0" applyBorder="1" applyAlignment="1">
      <alignment horizontal="left"/>
    </xf>
    <xf numFmtId="44" fontId="0" fillId="15" borderId="3" xfId="2" applyFont="1" applyFill="1" applyBorder="1" applyAlignment="1">
      <alignment horizontal="center"/>
    </xf>
    <xf numFmtId="0" fontId="10" fillId="15" borderId="3" xfId="0" applyFont="1" applyFill="1" applyBorder="1" applyAlignment="1">
      <alignment horizontal="left" wrapText="1"/>
    </xf>
    <xf numFmtId="0" fontId="0" fillId="0" borderId="3" xfId="0" applyBorder="1" applyAlignment="1" applyProtection="1">
      <alignment horizontal="left" vertical="top"/>
      <protection locked="0"/>
    </xf>
    <xf numFmtId="0" fontId="3" fillId="0" borderId="3" xfId="0" applyFont="1" applyBorder="1" applyAlignment="1" applyProtection="1">
      <alignment horizontal="left" vertical="top" wrapText="1"/>
      <protection locked="0"/>
    </xf>
    <xf numFmtId="0" fontId="10" fillId="19" borderId="3" xfId="0" applyFont="1" applyFill="1" applyBorder="1" applyAlignment="1">
      <alignment horizontal="left"/>
    </xf>
    <xf numFmtId="0" fontId="3" fillId="0" borderId="0" xfId="0" applyFont="1" applyAlignment="1">
      <alignment horizontal="center" vertical="center" wrapText="1"/>
    </xf>
    <xf numFmtId="0" fontId="10" fillId="18" borderId="3" xfId="0" applyFont="1" applyFill="1" applyBorder="1" applyAlignment="1">
      <alignment horizontal="center"/>
    </xf>
    <xf numFmtId="0" fontId="45" fillId="2" borderId="0" xfId="0" applyFont="1" applyFill="1" applyBorder="1" applyAlignment="1" applyProtection="1">
      <alignment horizontal="center" wrapText="1"/>
    </xf>
    <xf numFmtId="44" fontId="0" fillId="16" borderId="2" xfId="0" applyNumberFormat="1" applyFill="1" applyBorder="1" applyAlignment="1" applyProtection="1">
      <alignment horizontal="right" vertical="center"/>
      <protection locked="0"/>
    </xf>
    <xf numFmtId="44" fontId="0" fillId="16" borderId="18" xfId="0" applyNumberFormat="1" applyFill="1" applyBorder="1" applyAlignment="1" applyProtection="1">
      <alignment horizontal="right" vertical="center"/>
      <protection locked="0"/>
    </xf>
    <xf numFmtId="0" fontId="60" fillId="2" borderId="0" xfId="0" applyFont="1" applyFill="1" applyBorder="1" applyAlignment="1" applyProtection="1">
      <alignment horizontal="center"/>
    </xf>
    <xf numFmtId="44" fontId="0" fillId="3" borderId="2" xfId="0" applyNumberFormat="1" applyFill="1" applyBorder="1" applyAlignment="1" applyProtection="1">
      <alignment horizontal="right" vertical="center"/>
    </xf>
    <xf numFmtId="44" fontId="0" fillId="3" borderId="18" xfId="0" applyNumberFormat="1" applyFill="1" applyBorder="1" applyAlignment="1" applyProtection="1">
      <alignment horizontal="right" vertical="center"/>
    </xf>
    <xf numFmtId="0" fontId="77" fillId="14" borderId="49" xfId="0" applyFont="1" applyFill="1" applyBorder="1" applyAlignment="1">
      <alignment horizontal="right" vertical="center"/>
    </xf>
    <xf numFmtId="0" fontId="77" fillId="14" borderId="56" xfId="0" applyFont="1" applyFill="1" applyBorder="1" applyAlignment="1">
      <alignment horizontal="right" vertical="center"/>
    </xf>
    <xf numFmtId="0" fontId="0" fillId="14" borderId="55" xfId="0" applyFill="1" applyBorder="1" applyAlignment="1">
      <alignment horizontal="left" vertical="top" wrapText="1"/>
    </xf>
    <xf numFmtId="0" fontId="0" fillId="14" borderId="50" xfId="0" applyFill="1" applyBorder="1" applyAlignment="1">
      <alignment horizontal="left" vertical="top" wrapText="1"/>
    </xf>
    <xf numFmtId="0" fontId="0" fillId="14" borderId="51" xfId="0" applyFill="1" applyBorder="1" applyAlignment="1">
      <alignment horizontal="left" vertical="top" wrapText="1"/>
    </xf>
    <xf numFmtId="0" fontId="77" fillId="14" borderId="48" xfId="0" applyFont="1" applyFill="1" applyBorder="1" applyAlignment="1">
      <alignment horizontal="right" vertical="center"/>
    </xf>
    <xf numFmtId="0" fontId="77" fillId="14" borderId="3" xfId="0" applyFont="1" applyFill="1" applyBorder="1" applyAlignment="1">
      <alignment horizontal="right" vertical="center"/>
    </xf>
    <xf numFmtId="14" fontId="0" fillId="14" borderId="3" xfId="0" applyNumberFormat="1" applyFill="1" applyBorder="1" applyAlignment="1">
      <alignment horizontal="right" vertical="center"/>
    </xf>
    <xf numFmtId="14" fontId="0" fillId="14" borderId="6" xfId="0" applyNumberFormat="1" applyFill="1" applyBorder="1" applyAlignment="1">
      <alignment horizontal="left" vertical="center"/>
    </xf>
    <xf numFmtId="14" fontId="0" fillId="14" borderId="45" xfId="0" applyNumberFormat="1" applyFill="1" applyBorder="1" applyAlignment="1">
      <alignment horizontal="left" vertical="center"/>
    </xf>
    <xf numFmtId="166" fontId="0" fillId="14" borderId="3" xfId="2" applyNumberFormat="1" applyFont="1" applyFill="1" applyBorder="1" applyAlignment="1">
      <alignment horizontal="right" vertical="center"/>
    </xf>
    <xf numFmtId="0" fontId="0" fillId="14" borderId="6" xfId="0" applyFill="1" applyBorder="1" applyAlignment="1">
      <alignment horizontal="left" vertical="center"/>
    </xf>
    <xf numFmtId="0" fontId="0" fillId="14" borderId="45" xfId="0" applyFill="1" applyBorder="1" applyAlignment="1">
      <alignment horizontal="left" vertical="center"/>
    </xf>
    <xf numFmtId="0" fontId="80" fillId="15" borderId="39" xfId="0" applyFont="1" applyFill="1" applyBorder="1" applyAlignment="1">
      <alignment horizontal="right" vertical="center"/>
    </xf>
    <xf numFmtId="0" fontId="80" fillId="15" borderId="39" xfId="0" applyFont="1" applyFill="1" applyBorder="1" applyAlignment="1">
      <alignment horizontal="center" vertical="center"/>
    </xf>
    <xf numFmtId="0" fontId="80" fillId="15" borderId="40" xfId="0" applyFont="1" applyFill="1" applyBorder="1" applyAlignment="1">
      <alignment horizontal="center" vertical="center"/>
    </xf>
    <xf numFmtId="0" fontId="81" fillId="14" borderId="44" xfId="0" applyFont="1" applyFill="1" applyBorder="1" applyAlignment="1">
      <alignment horizontal="right" vertical="center"/>
    </xf>
    <xf numFmtId="0" fontId="81" fillId="14" borderId="6" xfId="0" applyFont="1" applyFill="1" applyBorder="1" applyAlignment="1">
      <alignment horizontal="right" vertical="center"/>
    </xf>
    <xf numFmtId="0" fontId="82" fillId="14" borderId="2" xfId="0" applyFont="1" applyFill="1" applyBorder="1" applyAlignment="1">
      <alignment vertical="center"/>
    </xf>
    <xf numFmtId="0" fontId="82" fillId="14" borderId="18" xfId="0" applyFont="1" applyFill="1" applyBorder="1" applyAlignment="1">
      <alignment vertical="center"/>
    </xf>
    <xf numFmtId="0" fontId="81" fillId="14" borderId="6" xfId="0" applyFont="1" applyFill="1" applyBorder="1" applyAlignment="1">
      <alignment horizontal="left" vertical="center"/>
    </xf>
    <xf numFmtId="0" fontId="81" fillId="14" borderId="45" xfId="0" applyFont="1" applyFill="1" applyBorder="1" applyAlignment="1">
      <alignment horizontal="left" vertical="center"/>
    </xf>
    <xf numFmtId="0" fontId="78" fillId="15" borderId="2" xfId="0" applyFont="1" applyFill="1" applyBorder="1" applyAlignment="1">
      <alignment horizontal="center" vertical="center"/>
    </xf>
    <xf numFmtId="0" fontId="78" fillId="15" borderId="6" xfId="0" applyFont="1" applyFill="1" applyBorder="1" applyAlignment="1">
      <alignment horizontal="center" vertical="center"/>
    </xf>
    <xf numFmtId="0" fontId="78" fillId="15" borderId="18" xfId="0" applyFont="1" applyFill="1" applyBorder="1" applyAlignment="1">
      <alignment horizontal="center" vertical="center"/>
    </xf>
    <xf numFmtId="0" fontId="79" fillId="19" borderId="11" xfId="0" applyFont="1" applyFill="1" applyBorder="1" applyAlignment="1">
      <alignment horizontal="left" vertical="center" wrapText="1"/>
    </xf>
    <xf numFmtId="0" fontId="79" fillId="19" borderId="16" xfId="0" applyFont="1" applyFill="1" applyBorder="1" applyAlignment="1">
      <alignment horizontal="left" vertical="center" wrapText="1"/>
    </xf>
    <xf numFmtId="0" fontId="79" fillId="19" borderId="17" xfId="0" applyFont="1" applyFill="1" applyBorder="1" applyAlignment="1">
      <alignment horizontal="left" vertical="center" wrapText="1"/>
    </xf>
    <xf numFmtId="0" fontId="79" fillId="19" borderId="14" xfId="0" applyFont="1" applyFill="1" applyBorder="1" applyAlignment="1">
      <alignment horizontal="left" vertical="center" wrapText="1"/>
    </xf>
    <xf numFmtId="0" fontId="79" fillId="19" borderId="13" xfId="0" applyFont="1" applyFill="1" applyBorder="1" applyAlignment="1">
      <alignment horizontal="left" vertical="center" wrapText="1"/>
    </xf>
    <xf numFmtId="0" fontId="79" fillId="19" borderId="21" xfId="0" applyFont="1" applyFill="1" applyBorder="1" applyAlignment="1">
      <alignment horizontal="left" vertical="center" wrapText="1"/>
    </xf>
    <xf numFmtId="0" fontId="79" fillId="19" borderId="2" xfId="0" applyFont="1" applyFill="1" applyBorder="1" applyAlignment="1">
      <alignment horizontal="left" vertical="center" wrapText="1"/>
    </xf>
    <xf numFmtId="0" fontId="79" fillId="19" borderId="6" xfId="0" applyFont="1" applyFill="1" applyBorder="1" applyAlignment="1">
      <alignment horizontal="left" vertical="center" wrapText="1"/>
    </xf>
    <xf numFmtId="0" fontId="79" fillId="19" borderId="18" xfId="0" applyFont="1" applyFill="1" applyBorder="1" applyAlignment="1">
      <alignment horizontal="left" vertical="center" wrapText="1"/>
    </xf>
    <xf numFmtId="0" fontId="9" fillId="0" borderId="0" xfId="3" applyAlignment="1" applyProtection="1">
      <alignment horizontal="center" vertical="center" wrapText="1"/>
    </xf>
    <xf numFmtId="0" fontId="41" fillId="13" borderId="0" xfId="7" applyFont="1" applyFill="1" applyAlignment="1" applyProtection="1">
      <alignment vertical="top" wrapText="1"/>
    </xf>
    <xf numFmtId="0" fontId="20" fillId="13" borderId="0" xfId="7" applyFont="1" applyFill="1" applyAlignment="1" applyProtection="1">
      <alignment vertical="top" wrapText="1"/>
    </xf>
    <xf numFmtId="0" fontId="45" fillId="2" borderId="0" xfId="0" applyFont="1" applyFill="1" applyBorder="1" applyAlignment="1">
      <alignment horizontal="center" wrapText="1"/>
    </xf>
    <xf numFmtId="0" fontId="46" fillId="0" borderId="0" xfId="0" applyFont="1" applyAlignment="1">
      <alignment horizontal="center" wrapText="1"/>
    </xf>
    <xf numFmtId="0" fontId="10" fillId="2" borderId="16" xfId="0" applyFont="1" applyFill="1" applyBorder="1" applyAlignment="1">
      <alignment horizontal="left" vertical="top" wrapText="1"/>
    </xf>
    <xf numFmtId="0" fontId="10" fillId="2" borderId="0" xfId="0" applyFont="1" applyFill="1" applyBorder="1" applyAlignment="1">
      <alignment horizontal="left" vertical="top" wrapText="1"/>
    </xf>
    <xf numFmtId="0" fontId="10" fillId="2" borderId="13" xfId="0" applyFont="1" applyFill="1" applyBorder="1" applyAlignment="1">
      <alignment horizontal="left" vertical="top" wrapText="1"/>
    </xf>
    <xf numFmtId="165" fontId="15" fillId="2" borderId="11" xfId="3" applyNumberFormat="1" applyFont="1" applyFill="1" applyBorder="1" applyAlignment="1" applyProtection="1">
      <alignment horizontal="left" vertical="top"/>
    </xf>
    <xf numFmtId="165" fontId="15" fillId="2" borderId="12" xfId="3" applyNumberFormat="1" applyFont="1" applyFill="1" applyBorder="1" applyAlignment="1" applyProtection="1">
      <alignment horizontal="left" vertical="top"/>
    </xf>
    <xf numFmtId="165" fontId="15" fillId="2" borderId="14" xfId="3" applyNumberFormat="1" applyFont="1" applyFill="1" applyBorder="1" applyAlignment="1" applyProtection="1">
      <alignment horizontal="left" vertical="top"/>
    </xf>
    <xf numFmtId="0" fontId="12" fillId="2" borderId="17" xfId="0" applyFont="1" applyFill="1" applyBorder="1" applyAlignment="1">
      <alignment horizontal="left" vertical="top" wrapText="1"/>
    </xf>
    <xf numFmtId="0" fontId="12" fillId="2" borderId="15" xfId="0" applyFont="1" applyFill="1" applyBorder="1" applyAlignment="1">
      <alignment horizontal="left" vertical="top" wrapText="1"/>
    </xf>
    <xf numFmtId="0" fontId="12" fillId="2" borderId="15" xfId="0" applyFont="1" applyFill="1" applyBorder="1" applyAlignment="1">
      <alignment horizontal="left" wrapText="1"/>
    </xf>
    <xf numFmtId="0" fontId="12" fillId="2" borderId="21" xfId="0" applyFont="1" applyFill="1" applyBorder="1" applyAlignment="1">
      <alignment horizontal="left" wrapText="1"/>
    </xf>
    <xf numFmtId="0" fontId="3" fillId="2" borderId="17" xfId="0" applyFont="1" applyFill="1" applyBorder="1" applyAlignment="1">
      <alignment horizontal="left" vertical="top" wrapText="1"/>
    </xf>
    <xf numFmtId="0" fontId="12" fillId="2" borderId="21" xfId="0" applyFont="1" applyFill="1" applyBorder="1" applyAlignment="1">
      <alignment horizontal="left" vertical="top" wrapText="1"/>
    </xf>
    <xf numFmtId="0" fontId="12" fillId="0" borderId="0" xfId="4" applyFont="1" applyFill="1" applyBorder="1" applyAlignment="1">
      <alignment horizontal="left" vertical="top" wrapText="1"/>
    </xf>
  </cellXfs>
  <cellStyles count="16">
    <cellStyle name="Comma" xfId="1" builtinId="3"/>
    <cellStyle name="Comma 2" xfId="10" xr:uid="{00000000-0005-0000-0000-000001000000}"/>
    <cellStyle name="Comma 2 2" xfId="15" xr:uid="{00000000-0005-0000-0000-000002000000}"/>
    <cellStyle name="Comma 3" xfId="13" xr:uid="{00000000-0005-0000-0000-000003000000}"/>
    <cellStyle name="Currency" xfId="2" builtinId="4"/>
    <cellStyle name="Hyperlink" xfId="3" builtinId="8"/>
    <cellStyle name="Normal" xfId="0" builtinId="0"/>
    <cellStyle name="Normal 2" xfId="11" xr:uid="{00000000-0005-0000-0000-000007000000}"/>
    <cellStyle name="Normal 2 2" xfId="4" xr:uid="{00000000-0005-0000-0000-000008000000}"/>
    <cellStyle name="Normal 2 3" xfId="14" xr:uid="{00000000-0005-0000-0000-000009000000}"/>
    <cellStyle name="Normal 3" xfId="12" xr:uid="{00000000-0005-0000-0000-00000A000000}"/>
    <cellStyle name="Normal_Audit_Tab_Data" xfId="5" xr:uid="{00000000-0005-0000-0000-00000B000000}"/>
    <cellStyle name="Normal_har2006" xfId="6" xr:uid="{00000000-0005-0000-0000-00000C000000}"/>
    <cellStyle name="Normal_Reclassification_Worksheet_Template_2005" xfId="7" xr:uid="{00000000-0005-0000-0000-00000D000000}"/>
    <cellStyle name="Normal_Sheet1" xfId="8" xr:uid="{00000000-0005-0000-0000-00000E000000}"/>
    <cellStyle name="Percent" xfId="9" builtinId="5"/>
  </cellStyles>
  <dxfs count="196">
    <dxf>
      <font>
        <color rgb="FF9C0006"/>
      </font>
      <fill>
        <patternFill>
          <bgColor rgb="FFFFC7CE"/>
        </patternFill>
      </fill>
    </dxf>
    <dxf>
      <font>
        <b val="0"/>
        <i/>
        <condense val="0"/>
        <extend val="0"/>
        <color indexed="10"/>
      </font>
      <fill>
        <patternFill>
          <bgColor indexed="13"/>
        </patternFill>
      </fill>
    </dxf>
    <dxf>
      <font>
        <b val="0"/>
        <i/>
        <condense val="0"/>
        <extend val="0"/>
        <color indexed="10"/>
      </font>
      <fill>
        <patternFill>
          <bgColor indexed="13"/>
        </patternFill>
      </fill>
    </dxf>
    <dxf>
      <font>
        <b val="0"/>
        <i/>
        <condense val="0"/>
        <extend val="0"/>
        <color indexed="10"/>
      </font>
      <fill>
        <patternFill>
          <bgColor indexed="13"/>
        </patternFill>
      </fill>
    </dxf>
    <dxf>
      <font>
        <b val="0"/>
        <i/>
        <condense val="0"/>
        <extend val="0"/>
        <color indexed="10"/>
      </font>
      <fill>
        <patternFill>
          <bgColor indexed="13"/>
        </patternFill>
      </fill>
    </dxf>
    <dxf>
      <font>
        <b val="0"/>
        <i/>
        <condense val="0"/>
        <extend val="0"/>
        <color indexed="10"/>
      </font>
      <fill>
        <patternFill>
          <bgColor indexed="13"/>
        </patternFill>
      </fill>
    </dxf>
    <dxf>
      <fill>
        <patternFill>
          <bgColor indexed="31"/>
        </patternFill>
      </fill>
    </dxf>
    <dxf>
      <fill>
        <patternFill>
          <bgColor indexed="43"/>
        </patternFill>
      </fill>
    </dxf>
    <dxf>
      <fill>
        <patternFill>
          <bgColor indexed="43"/>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theme="6" tint="0.59996337778862885"/>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ont>
        <color rgb="FFFF0000"/>
      </font>
      <fill>
        <patternFill>
          <bgColor rgb="FFFFFF00"/>
        </patternFill>
      </fill>
    </dxf>
    <dxf>
      <font>
        <b/>
        <i val="0"/>
        <condense val="0"/>
        <extend val="0"/>
        <color indexed="10"/>
      </font>
      <fill>
        <patternFill>
          <bgColor indexed="13"/>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ont>
        <condense val="0"/>
        <extend val="0"/>
        <color indexed="12"/>
      </font>
      <fill>
        <patternFill>
          <bgColor indexed="42"/>
        </patternFill>
      </fill>
      <border>
        <left style="thin">
          <color indexed="64"/>
        </left>
        <right/>
        <top/>
        <bottom/>
      </border>
    </dxf>
    <dxf>
      <font>
        <condense val="0"/>
        <extend val="0"/>
        <color indexed="12"/>
      </font>
      <fill>
        <patternFill>
          <bgColor indexed="42"/>
        </patternFill>
      </fill>
      <border>
        <left style="thin">
          <color indexed="64"/>
        </left>
        <right/>
        <top/>
        <bottom/>
      </border>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ont>
        <condense val="0"/>
        <extend val="0"/>
        <color indexed="12"/>
      </font>
      <fill>
        <patternFill>
          <bgColor indexed="42"/>
        </patternFill>
      </fill>
      <border>
        <left style="thin">
          <color indexed="64"/>
        </left>
        <right/>
        <top/>
        <bottom/>
      </border>
    </dxf>
    <dxf>
      <fill>
        <patternFill>
          <bgColor indexed="22"/>
        </patternFill>
      </fill>
    </dxf>
    <dxf>
      <font>
        <condense val="0"/>
        <extend val="0"/>
        <color indexed="12"/>
      </font>
      <fill>
        <patternFill>
          <bgColor indexed="42"/>
        </patternFill>
      </fill>
      <border>
        <left style="thin">
          <color indexed="64"/>
        </left>
        <right/>
        <top/>
        <bottom/>
      </border>
    </dxf>
    <dxf>
      <font>
        <condense val="0"/>
        <extend val="0"/>
        <color indexed="12"/>
      </font>
      <fill>
        <patternFill>
          <bgColor indexed="42"/>
        </patternFill>
      </fill>
      <border>
        <left style="thin">
          <color indexed="64"/>
        </left>
        <right/>
        <top/>
        <bottom/>
      </border>
    </dxf>
    <dxf>
      <fill>
        <patternFill>
          <bgColor indexed="22"/>
        </patternFill>
      </fill>
    </dxf>
    <dxf>
      <fill>
        <patternFill>
          <bgColor rgb="FFFFFF00"/>
        </patternFill>
      </fill>
    </dxf>
    <dxf>
      <fill>
        <patternFill>
          <bgColor rgb="FFFFFF00"/>
        </patternFill>
      </fill>
    </dxf>
    <dxf>
      <fill>
        <patternFill>
          <bgColor rgb="FFFFFF00"/>
        </patternFill>
      </fill>
    </dxf>
    <dxf>
      <fill>
        <patternFill>
          <bgColor rgb="FFFFFF00"/>
        </patternFill>
      </fill>
    </dxf>
    <dxf>
      <font>
        <u/>
        <color rgb="FFFF0000"/>
      </font>
      <fill>
        <patternFill>
          <fgColor rgb="FFC0C0C0"/>
          <bgColor rgb="FFFFFF00"/>
        </patternFill>
      </fill>
    </dxf>
    <dxf>
      <fill>
        <patternFill>
          <bgColor indexed="22"/>
        </patternFill>
      </fill>
    </dxf>
    <dxf>
      <fill>
        <patternFill>
          <bgColor indexed="22"/>
        </patternFill>
      </fill>
    </dxf>
    <dxf>
      <font>
        <b/>
        <i val="0"/>
        <condense val="0"/>
        <extend val="0"/>
        <color indexed="10"/>
      </font>
      <fill>
        <patternFill>
          <bgColor indexed="13"/>
        </patternFill>
      </fill>
      <border>
        <left style="thin">
          <color indexed="64"/>
        </left>
        <right/>
        <top/>
        <bottom/>
      </border>
    </dxf>
    <dxf>
      <font>
        <b/>
        <i val="0"/>
        <condense val="0"/>
        <extend val="0"/>
        <color indexed="10"/>
      </font>
      <fill>
        <patternFill>
          <bgColor indexed="13"/>
        </patternFill>
      </fill>
      <border>
        <left style="thin">
          <color indexed="64"/>
        </left>
        <right/>
        <top/>
        <bottom/>
      </border>
    </dxf>
    <dxf>
      <font>
        <b/>
        <i val="0"/>
        <condense val="0"/>
        <extend val="0"/>
        <color indexed="10"/>
      </font>
      <fill>
        <patternFill>
          <bgColor indexed="13"/>
        </patternFill>
      </fill>
      <border>
        <left style="thin">
          <color indexed="64"/>
        </left>
        <right/>
        <top/>
        <bottom/>
      </border>
    </dxf>
    <dxf>
      <font>
        <b/>
        <i val="0"/>
        <condense val="0"/>
        <extend val="0"/>
        <color indexed="10"/>
      </font>
      <fill>
        <patternFill>
          <bgColor indexed="13"/>
        </patternFill>
      </fill>
      <border>
        <left style="thin">
          <color indexed="64"/>
        </left>
        <right/>
        <top/>
        <bottom/>
      </border>
    </dxf>
    <dxf>
      <font>
        <b/>
        <i val="0"/>
        <condense val="0"/>
        <extend val="0"/>
        <color indexed="10"/>
      </font>
      <fill>
        <patternFill>
          <bgColor indexed="13"/>
        </patternFill>
      </fill>
      <border>
        <left style="thin">
          <color indexed="64"/>
        </left>
        <right/>
        <top/>
        <bottom/>
      </border>
    </dxf>
    <dxf>
      <font>
        <b/>
        <i val="0"/>
        <condense val="0"/>
        <extend val="0"/>
        <color indexed="10"/>
      </font>
      <fill>
        <patternFill>
          <bgColor indexed="13"/>
        </patternFill>
      </fill>
      <border>
        <left style="thin">
          <color indexed="64"/>
        </left>
        <right/>
        <top/>
        <bottom/>
      </border>
    </dxf>
    <dxf>
      <font>
        <b/>
        <i val="0"/>
        <condense val="0"/>
        <extend val="0"/>
        <color indexed="10"/>
      </font>
      <fill>
        <patternFill>
          <bgColor indexed="13"/>
        </patternFill>
      </fill>
      <border>
        <left style="thin">
          <color indexed="64"/>
        </left>
        <right/>
        <top/>
        <bottom/>
      </border>
    </dxf>
    <dxf>
      <font>
        <b/>
        <i val="0"/>
        <condense val="0"/>
        <extend val="0"/>
        <color indexed="10"/>
      </font>
      <fill>
        <patternFill>
          <bgColor indexed="13"/>
        </patternFill>
      </fill>
      <border>
        <left style="thin">
          <color indexed="64"/>
        </left>
        <right/>
        <top/>
        <bottom/>
      </border>
    </dxf>
    <dxf>
      <font>
        <b/>
        <i val="0"/>
        <condense val="0"/>
        <extend val="0"/>
        <color indexed="10"/>
      </font>
      <fill>
        <patternFill>
          <bgColor indexed="13"/>
        </patternFill>
      </fill>
      <border>
        <left style="thin">
          <color indexed="64"/>
        </left>
        <right/>
        <top/>
        <bottom/>
      </border>
    </dxf>
    <dxf>
      <font>
        <b/>
        <i val="0"/>
        <condense val="0"/>
        <extend val="0"/>
        <color indexed="10"/>
      </font>
      <fill>
        <patternFill>
          <bgColor indexed="13"/>
        </patternFill>
      </fill>
      <border>
        <left style="thin">
          <color indexed="64"/>
        </left>
        <right/>
        <top/>
        <bottom/>
      </border>
    </dxf>
    <dxf>
      <fill>
        <patternFill>
          <bgColor indexed="22"/>
        </patternFill>
      </fill>
    </dxf>
    <dxf>
      <fill>
        <patternFill>
          <bgColor indexed="22"/>
        </patternFill>
      </fill>
    </dxf>
    <dxf>
      <font>
        <b/>
        <i val="0"/>
        <condense val="0"/>
        <extend val="0"/>
        <color indexed="10"/>
      </font>
      <fill>
        <patternFill>
          <bgColor indexed="13"/>
        </patternFill>
      </fill>
      <border>
        <left style="thin">
          <color indexed="64"/>
        </left>
        <right/>
        <top/>
        <bottom/>
      </border>
    </dxf>
    <dxf>
      <font>
        <color rgb="FFFF0000"/>
      </font>
      <fill>
        <patternFill>
          <bgColor rgb="FFFFFF00"/>
        </patternFill>
      </fill>
    </dxf>
    <dxf>
      <font>
        <condense val="0"/>
        <extend val="0"/>
        <color indexed="12"/>
      </font>
    </dxf>
    <dxf>
      <font>
        <b/>
        <i val="0"/>
        <strike val="0"/>
        <condense val="0"/>
        <extend val="0"/>
        <color indexed="10"/>
      </font>
      <fill>
        <patternFill patternType="solid">
          <bgColor indexed="13"/>
        </patternFill>
      </fill>
    </dxf>
    <dxf>
      <font>
        <b/>
        <i val="0"/>
        <strike val="0"/>
        <condense val="0"/>
        <extend val="0"/>
        <color indexed="10"/>
      </font>
      <fill>
        <patternFill patternType="solid">
          <bgColor indexed="13"/>
        </patternFill>
      </fill>
    </dxf>
    <dxf>
      <font>
        <b/>
        <i val="0"/>
        <strike val="0"/>
        <condense val="0"/>
        <extend val="0"/>
        <color indexed="10"/>
      </font>
      <fill>
        <patternFill patternType="solid">
          <bgColor indexed="13"/>
        </patternFill>
      </fill>
    </dxf>
    <dxf>
      <font>
        <b/>
        <i val="0"/>
        <condense val="0"/>
        <extend val="0"/>
        <color indexed="10"/>
      </font>
      <fill>
        <patternFill>
          <bgColor indexed="13"/>
        </patternFill>
      </fill>
    </dxf>
    <dxf>
      <fill>
        <patternFill>
          <bgColor indexed="22"/>
        </patternFill>
      </fill>
    </dxf>
    <dxf>
      <font>
        <b/>
        <i val="0"/>
        <condense val="0"/>
        <extend val="0"/>
        <color indexed="10"/>
      </font>
      <fill>
        <patternFill>
          <bgColor indexed="13"/>
        </patternFill>
      </fill>
    </dxf>
    <dxf>
      <font>
        <b val="0"/>
        <i val="0"/>
        <condense val="0"/>
        <extend val="0"/>
        <color indexed="12"/>
      </font>
      <fill>
        <patternFill>
          <bgColor indexed="4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ont>
        <condense val="0"/>
        <extend val="0"/>
        <color indexed="12"/>
      </font>
      <fill>
        <patternFill>
          <bgColor indexed="42"/>
        </patternFill>
      </fill>
      <border>
        <left style="thin">
          <color indexed="64"/>
        </left>
        <right/>
        <top/>
        <bottom/>
      </border>
    </dxf>
    <dxf>
      <font>
        <b/>
        <i val="0"/>
        <strike val="0"/>
        <condense val="0"/>
        <extend val="0"/>
        <u/>
        <color indexed="12"/>
      </font>
      <fill>
        <patternFill patternType="none">
          <bgColor indexed="65"/>
        </patternFill>
      </fill>
    </dxf>
    <dxf>
      <font>
        <condense val="0"/>
        <extend val="0"/>
        <color indexed="12"/>
      </font>
      <fill>
        <patternFill>
          <bgColor indexed="4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ont>
        <b/>
        <i val="0"/>
        <strike val="0"/>
        <condense val="0"/>
        <extend val="0"/>
        <color indexed="10"/>
      </font>
      <fill>
        <patternFill patternType="solid">
          <bgColor indexed="13"/>
        </patternFill>
      </fill>
    </dxf>
    <dxf>
      <font>
        <b/>
        <i val="0"/>
        <strike val="0"/>
        <condense val="0"/>
        <extend val="0"/>
        <color indexed="10"/>
      </font>
      <fill>
        <patternFill patternType="solid">
          <bgColor indexed="13"/>
        </patternFill>
      </fill>
    </dxf>
    <dxf>
      <font>
        <b/>
        <i val="0"/>
        <strike val="0"/>
        <condense val="0"/>
        <extend val="0"/>
        <color indexed="10"/>
      </font>
      <fill>
        <patternFill patternType="solid">
          <bgColor indexed="13"/>
        </patternFill>
      </fill>
    </dxf>
    <dxf>
      <font>
        <b/>
        <i val="0"/>
        <strike val="0"/>
        <condense val="0"/>
        <extend val="0"/>
        <color indexed="10"/>
      </font>
      <fill>
        <patternFill patternType="solid">
          <bgColor indexed="13"/>
        </patternFill>
      </fill>
    </dxf>
    <dxf>
      <font>
        <b/>
        <i val="0"/>
        <strike val="0"/>
        <condense val="0"/>
        <extend val="0"/>
        <color indexed="10"/>
      </font>
      <fill>
        <patternFill patternType="solid">
          <bgColor indexed="13"/>
        </patternFill>
      </fill>
    </dxf>
    <dxf>
      <font>
        <b/>
        <i val="0"/>
        <strike val="0"/>
        <condense val="0"/>
        <extend val="0"/>
        <color indexed="10"/>
      </font>
      <fill>
        <patternFill patternType="solid">
          <bgColor indexed="13"/>
        </patternFill>
      </fill>
    </dxf>
    <dxf>
      <font>
        <b/>
        <i val="0"/>
        <strike val="0"/>
        <condense val="0"/>
        <extend val="0"/>
        <color indexed="10"/>
      </font>
      <fill>
        <patternFill patternType="solid">
          <bgColor indexed="13"/>
        </patternFill>
      </fill>
    </dxf>
    <dxf>
      <fill>
        <patternFill>
          <bgColor indexed="22"/>
        </patternFill>
      </fill>
    </dxf>
  </dxfs>
  <tableStyles count="0" defaultTableStyle="TableStyleMedium9"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276225</xdr:colOff>
      <xdr:row>30</xdr:row>
      <xdr:rowOff>38100</xdr:rowOff>
    </xdr:from>
    <xdr:to>
      <xdr:col>10</xdr:col>
      <xdr:colOff>523875</xdr:colOff>
      <xdr:row>34</xdr:row>
      <xdr:rowOff>152400</xdr:rowOff>
    </xdr:to>
    <xdr:pic>
      <xdr:nvPicPr>
        <xdr:cNvPr id="17412" name="Picture 1" descr="MHA logo solid">
          <a:extLst>
            <a:ext uri="{FF2B5EF4-FFF2-40B4-BE49-F238E27FC236}">
              <a16:creationId xmlns:a16="http://schemas.microsoft.com/office/drawing/2014/main" id="{00000000-0008-0000-0000-0000044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582025"/>
          <a:ext cx="26860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276225</xdr:colOff>
      <xdr:row>30</xdr:row>
      <xdr:rowOff>38100</xdr:rowOff>
    </xdr:from>
    <xdr:to>
      <xdr:col>10</xdr:col>
      <xdr:colOff>523875</xdr:colOff>
      <xdr:row>34</xdr:row>
      <xdr:rowOff>152400</xdr:rowOff>
    </xdr:to>
    <xdr:pic>
      <xdr:nvPicPr>
        <xdr:cNvPr id="17414" name="Picture 3" descr="MHA logo solid">
          <a:extLst>
            <a:ext uri="{FF2B5EF4-FFF2-40B4-BE49-F238E27FC236}">
              <a16:creationId xmlns:a16="http://schemas.microsoft.com/office/drawing/2014/main" id="{00000000-0008-0000-0000-0000064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33825" y="8582025"/>
          <a:ext cx="26860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161925</xdr:colOff>
      <xdr:row>31</xdr:row>
      <xdr:rowOff>133350</xdr:rowOff>
    </xdr:from>
    <xdr:to>
      <xdr:col>5</xdr:col>
      <xdr:colOff>273984</xdr:colOff>
      <xdr:row>34</xdr:row>
      <xdr:rowOff>28576</xdr:rowOff>
    </xdr:to>
    <xdr:pic>
      <xdr:nvPicPr>
        <xdr:cNvPr id="5" name="Picture 4" descr="C:\Users\jsanislo\AppData\Local\Microsoft\Windows\INetCache\Content.Word\logo-mdh-mn-h-blu_rgb.png">
          <a:extLst>
            <a:ext uri="{FF2B5EF4-FFF2-40B4-BE49-F238E27FC236}">
              <a16:creationId xmlns:a16="http://schemas.microsoft.com/office/drawing/2014/main" id="{F184802D-F6B0-45D5-8A91-D562BD04712E}"/>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1925" y="8839200"/>
          <a:ext cx="3160059" cy="381001"/>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371475</xdr:colOff>
      <xdr:row>29</xdr:row>
      <xdr:rowOff>28575</xdr:rowOff>
    </xdr:from>
    <xdr:to>
      <xdr:col>13</xdr:col>
      <xdr:colOff>485775</xdr:colOff>
      <xdr:row>31</xdr:row>
      <xdr:rowOff>142875</xdr:rowOff>
    </xdr:to>
    <xdr:pic>
      <xdr:nvPicPr>
        <xdr:cNvPr id="18438" name="Picture 2" descr="MHA logo solid">
          <a:extLst>
            <a:ext uri="{FF2B5EF4-FFF2-40B4-BE49-F238E27FC236}">
              <a16:creationId xmlns:a16="http://schemas.microsoft.com/office/drawing/2014/main" id="{00000000-0008-0000-0100-0000064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86275" y="9420225"/>
          <a:ext cx="26860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371475</xdr:colOff>
      <xdr:row>29</xdr:row>
      <xdr:rowOff>28575</xdr:rowOff>
    </xdr:from>
    <xdr:to>
      <xdr:col>13</xdr:col>
      <xdr:colOff>485775</xdr:colOff>
      <xdr:row>31</xdr:row>
      <xdr:rowOff>142875</xdr:rowOff>
    </xdr:to>
    <xdr:pic>
      <xdr:nvPicPr>
        <xdr:cNvPr id="18440" name="Picture 4" descr="MHA logo solid">
          <a:extLst>
            <a:ext uri="{FF2B5EF4-FFF2-40B4-BE49-F238E27FC236}">
              <a16:creationId xmlns:a16="http://schemas.microsoft.com/office/drawing/2014/main" id="{00000000-0008-0000-0100-0000084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86275" y="9420225"/>
          <a:ext cx="26860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11</xdr:col>
      <xdr:colOff>190500</xdr:colOff>
      <xdr:row>220</xdr:row>
      <xdr:rowOff>38100</xdr:rowOff>
    </xdr:from>
    <xdr:to>
      <xdr:col>13</xdr:col>
      <xdr:colOff>0</xdr:colOff>
      <xdr:row>220</xdr:row>
      <xdr:rowOff>295275</xdr:rowOff>
    </xdr:to>
    <xdr:sp macro="" textlink="">
      <xdr:nvSpPr>
        <xdr:cNvPr id="18441" name="AutoShape 6">
          <a:extLst>
            <a:ext uri="{FF2B5EF4-FFF2-40B4-BE49-F238E27FC236}">
              <a16:creationId xmlns:a16="http://schemas.microsoft.com/office/drawing/2014/main" id="{00000000-0008-0000-0100-000009480000}"/>
            </a:ext>
          </a:extLst>
        </xdr:cNvPr>
        <xdr:cNvSpPr>
          <a:spLocks noChangeArrowheads="1"/>
        </xdr:cNvSpPr>
      </xdr:nvSpPr>
      <xdr:spPr bwMode="auto">
        <a:xfrm>
          <a:off x="5848350" y="71285100"/>
          <a:ext cx="838200" cy="257175"/>
        </a:xfrm>
        <a:prstGeom prst="leftArrow">
          <a:avLst>
            <a:gd name="adj1" fmla="val 50000"/>
            <a:gd name="adj2" fmla="val 81481"/>
          </a:avLst>
        </a:prstGeom>
        <a:solidFill>
          <a:srgbClr val="FFFF00"/>
        </a:solidFill>
        <a:ln w="12700">
          <a:solidFill>
            <a:srgbClr val="000000"/>
          </a:solidFill>
          <a:miter lim="800000"/>
          <a:headEnd/>
          <a:tailEnd/>
        </a:ln>
      </xdr:spPr>
    </xdr:sp>
    <xdr:clientData/>
  </xdr:twoCellAnchor>
  <xdr:twoCellAnchor editAs="oneCell">
    <xdr:from>
      <xdr:col>0</xdr:col>
      <xdr:colOff>100853</xdr:colOff>
      <xdr:row>30</xdr:row>
      <xdr:rowOff>44822</xdr:rowOff>
    </xdr:from>
    <xdr:to>
      <xdr:col>6</xdr:col>
      <xdr:colOff>168088</xdr:colOff>
      <xdr:row>31</xdr:row>
      <xdr:rowOff>100853</xdr:rowOff>
    </xdr:to>
    <xdr:pic>
      <xdr:nvPicPr>
        <xdr:cNvPr id="6" name="Picture 5" descr="C:\Users\jsanislo\AppData\Local\Microsoft\Windows\INetCache\Content.Word\logo-mdh-mn-h-blu_rgb.png">
          <a:extLst>
            <a:ext uri="{FF2B5EF4-FFF2-40B4-BE49-F238E27FC236}">
              <a16:creationId xmlns:a16="http://schemas.microsoft.com/office/drawing/2014/main" id="{A23187D5-A2B1-4CDA-A404-6BEE99DFB767}"/>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0853" y="9793940"/>
          <a:ext cx="3160059" cy="381001"/>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jpeters\Desktop\har200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p Sheet"/>
      <sheetName val="2006 HAR"/>
      <sheetName val="Audit Checks"/>
      <sheetName val="Reclassifications"/>
      <sheetName val="Definitions"/>
      <sheetName val="HCCIS_ID"/>
      <sheetName val="Audit_Tab_Data"/>
      <sheetName val="Surcharge-Final"/>
      <sheetName val="Surcharge-Filed"/>
    </sheetNames>
    <sheetDataSet>
      <sheetData sheetId="0"/>
      <sheetData sheetId="1"/>
      <sheetData sheetId="2"/>
      <sheetData sheetId="3"/>
      <sheetData sheetId="4"/>
      <sheetData sheetId="5"/>
      <sheetData sheetId="6"/>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njohnston@mnhospitals.org" TargetMode="External"/><Relationship Id="rId1" Type="http://schemas.openxmlformats.org/officeDocument/2006/relationships/hyperlink" Target="https://portal.mnhospitals.org/"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mailto:Jill.Nelson@rsmus.com" TargetMode="External"/><Relationship Id="rId1" Type="http://schemas.openxmlformats.org/officeDocument/2006/relationships/hyperlink" Target="mailto:jthielke@scbh.org"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pageSetUpPr fitToPage="1"/>
  </sheetPr>
  <dimension ref="A1:K30"/>
  <sheetViews>
    <sheetView zoomScaleNormal="100" workbookViewId="0">
      <selection activeCell="T25" sqref="T25"/>
    </sheetView>
  </sheetViews>
  <sheetFormatPr defaultColWidth="9.140625" defaultRowHeight="12.75" x14ac:dyDescent="0.2"/>
  <cols>
    <col min="1" max="16384" width="9.140625" style="1"/>
  </cols>
  <sheetData>
    <row r="1" spans="1:11" ht="23.25" x14ac:dyDescent="0.35">
      <c r="A1" s="517" t="s">
        <v>2830</v>
      </c>
      <c r="B1" s="518"/>
      <c r="C1" s="518"/>
      <c r="D1" s="518"/>
      <c r="E1" s="518"/>
      <c r="F1" s="518"/>
      <c r="G1" s="518"/>
      <c r="H1" s="518"/>
      <c r="I1" s="518"/>
      <c r="J1" s="518"/>
      <c r="K1" s="518"/>
    </row>
    <row r="2" spans="1:11" ht="20.25" x14ac:dyDescent="0.3">
      <c r="A2" s="519" t="s">
        <v>675</v>
      </c>
      <c r="B2" s="520"/>
      <c r="C2" s="520"/>
      <c r="D2" s="520"/>
      <c r="E2" s="520"/>
      <c r="F2" s="520"/>
      <c r="G2" s="520"/>
      <c r="H2" s="520"/>
      <c r="I2" s="520"/>
      <c r="J2" s="520"/>
      <c r="K2" s="520"/>
    </row>
    <row r="3" spans="1:11" ht="12.75" customHeight="1" x14ac:dyDescent="0.2">
      <c r="A3" s="82"/>
    </row>
    <row r="4" spans="1:11" ht="40.5" customHeight="1" x14ac:dyDescent="0.2">
      <c r="A4" s="83">
        <v>1</v>
      </c>
      <c r="B4" s="507" t="s">
        <v>1427</v>
      </c>
      <c r="C4" s="507"/>
      <c r="D4" s="507"/>
      <c r="E4" s="507"/>
      <c r="F4" s="507"/>
      <c r="G4" s="507"/>
      <c r="H4" s="507"/>
      <c r="I4" s="507"/>
      <c r="J4" s="507"/>
      <c r="K4" s="507"/>
    </row>
    <row r="5" spans="1:11" ht="12.75" customHeight="1" x14ac:dyDescent="0.2">
      <c r="A5" s="82"/>
    </row>
    <row r="6" spans="1:11" ht="15.75" customHeight="1" x14ac:dyDescent="0.2">
      <c r="A6" s="83">
        <v>2</v>
      </c>
      <c r="B6" s="507" t="s">
        <v>676</v>
      </c>
      <c r="C6" s="507"/>
      <c r="D6" s="507"/>
      <c r="E6" s="507"/>
      <c r="F6" s="507"/>
      <c r="G6" s="507"/>
      <c r="H6" s="507"/>
      <c r="I6" s="507"/>
      <c r="J6" s="507"/>
      <c r="K6" s="507"/>
    </row>
    <row r="7" spans="1:11" ht="13.5" customHeight="1" x14ac:dyDescent="0.2">
      <c r="A7" s="83"/>
      <c r="B7" s="85" t="s">
        <v>677</v>
      </c>
      <c r="C7" s="507" t="s">
        <v>685</v>
      </c>
      <c r="D7" s="507"/>
      <c r="E7" s="507"/>
      <c r="F7" s="507"/>
      <c r="G7" s="507"/>
      <c r="H7" s="507"/>
      <c r="I7" s="507"/>
      <c r="J7" s="507"/>
      <c r="K7" s="507"/>
    </row>
    <row r="8" spans="1:11" ht="13.5" customHeight="1" x14ac:dyDescent="0.2">
      <c r="A8" s="83"/>
      <c r="B8" s="85" t="s">
        <v>678</v>
      </c>
      <c r="C8" s="521" t="s">
        <v>686</v>
      </c>
      <c r="D8" s="521"/>
      <c r="E8" s="521"/>
      <c r="F8" s="521"/>
      <c r="G8" s="521"/>
      <c r="H8" s="521"/>
      <c r="I8" s="521"/>
      <c r="J8" s="521"/>
      <c r="K8" s="521"/>
    </row>
    <row r="9" spans="1:11" ht="14.25" customHeight="1" x14ac:dyDescent="0.2">
      <c r="A9" s="83"/>
      <c r="B9" s="85" t="s">
        <v>679</v>
      </c>
      <c r="C9" s="515" t="s">
        <v>687</v>
      </c>
      <c r="D9" s="515"/>
      <c r="E9" s="515"/>
      <c r="F9" s="515"/>
      <c r="G9" s="515"/>
      <c r="H9" s="515"/>
      <c r="I9" s="515"/>
      <c r="J9" s="515"/>
      <c r="K9" s="515"/>
    </row>
    <row r="10" spans="1:11" ht="12" customHeight="1" x14ac:dyDescent="0.2">
      <c r="A10" s="83"/>
      <c r="B10" s="85" t="s">
        <v>680</v>
      </c>
      <c r="C10" s="507" t="s">
        <v>1425</v>
      </c>
      <c r="D10" s="507"/>
      <c r="E10" s="507"/>
      <c r="F10" s="507"/>
      <c r="G10" s="507"/>
      <c r="H10" s="507"/>
      <c r="I10" s="507"/>
      <c r="J10" s="507"/>
      <c r="K10" s="84"/>
    </row>
    <row r="11" spans="1:11" ht="13.5" customHeight="1" x14ac:dyDescent="0.2">
      <c r="A11" s="83"/>
      <c r="B11" s="85" t="s">
        <v>681</v>
      </c>
      <c r="C11" s="507" t="s">
        <v>682</v>
      </c>
      <c r="D11" s="516"/>
      <c r="E11" s="516"/>
      <c r="F11" s="516"/>
      <c r="G11" s="516"/>
      <c r="H11" s="516"/>
      <c r="I11" s="516"/>
      <c r="J11" s="516"/>
      <c r="K11" s="516"/>
    </row>
    <row r="12" spans="1:11" ht="12.75" customHeight="1" x14ac:dyDescent="0.2">
      <c r="A12" s="82"/>
    </row>
    <row r="13" spans="1:11" ht="66" customHeight="1" x14ac:dyDescent="0.2">
      <c r="A13" s="83">
        <v>3</v>
      </c>
      <c r="B13" s="508" t="s">
        <v>375</v>
      </c>
      <c r="C13" s="508"/>
      <c r="D13" s="508"/>
      <c r="E13" s="508"/>
      <c r="F13" s="508"/>
      <c r="G13" s="508"/>
      <c r="H13" s="508"/>
      <c r="I13" s="508"/>
      <c r="J13" s="508"/>
      <c r="K13" s="508"/>
    </row>
    <row r="14" spans="1:11" ht="12.75" customHeight="1" x14ac:dyDescent="0.2">
      <c r="A14" s="82"/>
    </row>
    <row r="15" spans="1:11" ht="78" customHeight="1" x14ac:dyDescent="0.2">
      <c r="A15" s="83">
        <v>4</v>
      </c>
      <c r="B15" s="507" t="s">
        <v>1592</v>
      </c>
      <c r="C15" s="507"/>
      <c r="D15" s="507"/>
      <c r="E15" s="507"/>
      <c r="F15" s="507"/>
      <c r="G15" s="507"/>
      <c r="H15" s="507"/>
      <c r="I15" s="507"/>
      <c r="J15" s="507"/>
      <c r="K15" s="507"/>
    </row>
    <row r="16" spans="1:11" ht="12.75" customHeight="1" x14ac:dyDescent="0.2">
      <c r="A16" s="82"/>
    </row>
    <row r="17" spans="1:11" ht="27.75" customHeight="1" x14ac:dyDescent="0.2">
      <c r="A17" s="83">
        <v>5</v>
      </c>
      <c r="B17" s="507" t="s">
        <v>1426</v>
      </c>
      <c r="C17" s="507"/>
      <c r="D17" s="507"/>
      <c r="E17" s="507"/>
      <c r="F17" s="507"/>
      <c r="G17" s="507"/>
      <c r="H17" s="507"/>
      <c r="I17" s="507"/>
      <c r="J17" s="507"/>
      <c r="K17" s="507"/>
    </row>
    <row r="18" spans="1:11" ht="12.75" customHeight="1" x14ac:dyDescent="0.2">
      <c r="A18" s="82"/>
    </row>
    <row r="19" spans="1:11" ht="53.25" customHeight="1" x14ac:dyDescent="0.2">
      <c r="A19" s="83">
        <v>6</v>
      </c>
      <c r="B19" s="512" t="s">
        <v>688</v>
      </c>
      <c r="C19" s="512"/>
      <c r="D19" s="512"/>
      <c r="E19" s="512"/>
      <c r="F19" s="512"/>
      <c r="G19" s="512"/>
      <c r="H19" s="512"/>
      <c r="I19" s="512"/>
      <c r="J19" s="512"/>
      <c r="K19" s="512"/>
    </row>
    <row r="20" spans="1:11" ht="12.75" customHeight="1" x14ac:dyDescent="0.2">
      <c r="A20" s="82"/>
    </row>
    <row r="21" spans="1:11" ht="34.5" customHeight="1" x14ac:dyDescent="0.2">
      <c r="A21" s="83">
        <v>7</v>
      </c>
      <c r="B21" s="507" t="s">
        <v>689</v>
      </c>
      <c r="C21" s="507"/>
      <c r="D21" s="507"/>
      <c r="E21" s="507"/>
      <c r="F21" s="507"/>
      <c r="G21" s="507"/>
      <c r="H21" s="507"/>
      <c r="I21" s="507"/>
      <c r="J21" s="507"/>
      <c r="K21" s="507"/>
    </row>
    <row r="22" spans="1:11" ht="35.25" customHeight="1" x14ac:dyDescent="0.2">
      <c r="A22" s="83">
        <v>8</v>
      </c>
      <c r="B22" s="514" t="s">
        <v>2831</v>
      </c>
      <c r="C22" s="507"/>
      <c r="D22" s="507"/>
      <c r="E22" s="507"/>
      <c r="F22" s="507"/>
      <c r="G22" s="507"/>
      <c r="H22" s="507"/>
      <c r="I22" s="507"/>
      <c r="J22" s="507"/>
      <c r="K22" s="507"/>
    </row>
    <row r="23" spans="1:11" ht="12.75" customHeight="1" x14ac:dyDescent="0.2">
      <c r="A23" s="86">
        <v>9</v>
      </c>
      <c r="B23" s="513" t="s">
        <v>2832</v>
      </c>
      <c r="C23" s="513"/>
      <c r="D23" s="513"/>
      <c r="E23" s="513"/>
      <c r="F23" s="513"/>
      <c r="G23" s="513"/>
      <c r="H23" s="513"/>
      <c r="I23" s="513"/>
      <c r="J23" s="513"/>
      <c r="K23" s="513"/>
    </row>
    <row r="24" spans="1:11" x14ac:dyDescent="0.2">
      <c r="B24" s="513"/>
      <c r="C24" s="513"/>
      <c r="D24" s="513"/>
      <c r="E24" s="513"/>
      <c r="F24" s="513"/>
      <c r="G24" s="513"/>
      <c r="H24" s="513"/>
      <c r="I24" s="513"/>
      <c r="J24" s="513"/>
      <c r="K24" s="513"/>
    </row>
    <row r="25" spans="1:11" x14ac:dyDescent="0.2">
      <c r="B25" s="513"/>
      <c r="C25" s="513"/>
      <c r="D25" s="513"/>
      <c r="E25" s="513"/>
      <c r="F25" s="513"/>
      <c r="G25" s="513"/>
      <c r="H25" s="513"/>
      <c r="I25" s="513"/>
      <c r="J25" s="513"/>
      <c r="K25" s="513"/>
    </row>
    <row r="26" spans="1:11" ht="13.5" customHeight="1" x14ac:dyDescent="0.2">
      <c r="A26" s="83"/>
      <c r="B26" s="84"/>
      <c r="C26" s="84"/>
      <c r="D26" s="84"/>
      <c r="E26" s="84"/>
      <c r="F26" s="84"/>
      <c r="G26" s="84"/>
      <c r="H26" s="84"/>
      <c r="I26" s="84"/>
      <c r="J26" s="84"/>
      <c r="K26" s="84"/>
    </row>
    <row r="27" spans="1:11" ht="29.25" customHeight="1" x14ac:dyDescent="0.2">
      <c r="A27" s="87"/>
      <c r="B27" s="87"/>
      <c r="C27" s="510" t="s">
        <v>683</v>
      </c>
      <c r="D27" s="510"/>
      <c r="E27" s="510"/>
      <c r="F27" s="510"/>
      <c r="G27" s="510"/>
      <c r="H27" s="510"/>
      <c r="I27" s="510"/>
      <c r="J27" s="88"/>
      <c r="K27" s="88"/>
    </row>
    <row r="28" spans="1:11" x14ac:dyDescent="0.2">
      <c r="A28" s="83"/>
      <c r="B28" s="89"/>
      <c r="C28" s="89"/>
      <c r="D28" s="89"/>
      <c r="E28" s="89"/>
      <c r="F28" s="89"/>
      <c r="G28" s="89"/>
      <c r="H28" s="89"/>
      <c r="I28" s="89"/>
      <c r="J28" s="89"/>
      <c r="K28" s="89"/>
    </row>
    <row r="29" spans="1:11" x14ac:dyDescent="0.2">
      <c r="A29" s="83"/>
      <c r="B29" s="87"/>
      <c r="C29" s="87"/>
      <c r="D29" s="509" t="s">
        <v>821</v>
      </c>
      <c r="E29" s="509"/>
      <c r="F29" s="87"/>
      <c r="G29" s="511" t="s">
        <v>684</v>
      </c>
      <c r="H29" s="511"/>
      <c r="I29" s="87"/>
      <c r="J29" s="87"/>
      <c r="K29" s="87"/>
    </row>
    <row r="30" spans="1:11" ht="15.75" x14ac:dyDescent="0.2">
      <c r="A30" s="82"/>
    </row>
  </sheetData>
  <sheetProtection algorithmName="SHA-512" hashValue="rqT1h+dwM6CxSil6fytP6gXxhdoKHUiZMZA2HJGY39KS76Bv6MfslY1OLaM14ApXVHQKN+iXx1apfRHjemDIPQ==" saltValue="AyYkTAK1CTs0gJzgWNgUxw==" spinCount="100000" sheet="1" objects="1" scenarios="1"/>
  <mergeCells count="19">
    <mergeCell ref="C9:K9"/>
    <mergeCell ref="C10:J10"/>
    <mergeCell ref="C11:K11"/>
    <mergeCell ref="A1:K1"/>
    <mergeCell ref="A2:K2"/>
    <mergeCell ref="B6:K6"/>
    <mergeCell ref="C7:K7"/>
    <mergeCell ref="B4:K4"/>
    <mergeCell ref="C8:K8"/>
    <mergeCell ref="B15:K15"/>
    <mergeCell ref="B13:K13"/>
    <mergeCell ref="D29:E29"/>
    <mergeCell ref="C27:I27"/>
    <mergeCell ref="G29:H29"/>
    <mergeCell ref="B19:K19"/>
    <mergeCell ref="B21:K21"/>
    <mergeCell ref="B17:K17"/>
    <mergeCell ref="B23:K25"/>
    <mergeCell ref="B22:K22"/>
  </mergeCells>
  <phoneticPr fontId="0" type="noConversion"/>
  <hyperlinks>
    <hyperlink ref="B23:K25" r:id="rId1" display="To securely transmit the HAR 2016 and other electronic documents, please go to https://portal.mnhospitals.org/ and follow the instructions on the web page." xr:uid="{00000000-0004-0000-0000-000000000000}"/>
    <hyperlink ref="D29:E29" location="'2020 HAR'!A1" display="start of formset" xr:uid="{00000000-0004-0000-0000-000001000000}"/>
    <hyperlink ref="G29:H29" r:id="rId2" display="e-mail MHA" xr:uid="{00000000-0004-0000-0000-000002000000}"/>
  </hyperlinks>
  <pageMargins left="0.75" right="0.75" top="1" bottom="1" header="0.5" footer="0.5"/>
  <pageSetup scale="91" orientation="portrait" r:id="rId3"/>
  <headerFooter alignWithMargins="0">
    <oddFooter xml:space="preserve">&amp;LMDH
www.health.state.mn.us/data/economics/hccis/index.html
Phone: 651-201-3572
Fax: 651-201-5179&amp;CPage &amp;P
2021 Hospital Annual Report
Health Care Cost  Information System (HCCIS)&amp;RMHA
Jsanislo@mnhospitals.org
Phone: 651-659-1440
Fax: 651-659-1477 </oddFooter>
  </headerFooter>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C77"/>
  <sheetViews>
    <sheetView showGridLines="0" topLeftCell="A66" zoomScaleNormal="100" workbookViewId="0">
      <selection activeCell="A66" sqref="A66"/>
    </sheetView>
  </sheetViews>
  <sheetFormatPr defaultColWidth="9.140625" defaultRowHeight="12.75" x14ac:dyDescent="0.2"/>
  <cols>
    <col min="1" max="1" width="9.140625" style="185"/>
    <col min="2" max="2" width="36.7109375" style="185" customWidth="1"/>
    <col min="3" max="3" width="48.7109375" style="185" customWidth="1"/>
    <col min="4" max="16384" width="9.140625" style="145"/>
  </cols>
  <sheetData>
    <row r="1" spans="1:3" ht="20.25" x14ac:dyDescent="0.3">
      <c r="A1" s="1526" t="s">
        <v>2855</v>
      </c>
      <c r="B1" s="1527"/>
      <c r="C1" s="1527"/>
    </row>
    <row r="2" spans="1:3" x14ac:dyDescent="0.2">
      <c r="A2" s="146"/>
      <c r="B2" s="147"/>
      <c r="C2" s="148"/>
    </row>
    <row r="3" spans="1:3" x14ac:dyDescent="0.2">
      <c r="A3" s="146" t="s">
        <v>1429</v>
      </c>
      <c r="B3" s="147" t="s">
        <v>1430</v>
      </c>
      <c r="C3" s="149" t="s">
        <v>1431</v>
      </c>
    </row>
    <row r="4" spans="1:3" ht="63.75" x14ac:dyDescent="0.2">
      <c r="A4" s="150">
        <v>7082</v>
      </c>
      <c r="B4" s="151" t="s">
        <v>49</v>
      </c>
      <c r="C4" s="152" t="s">
        <v>1450</v>
      </c>
    </row>
    <row r="5" spans="1:3" x14ac:dyDescent="0.2">
      <c r="A5" s="146"/>
      <c r="B5" s="147"/>
      <c r="C5" s="149"/>
    </row>
    <row r="6" spans="1:3" ht="18" customHeight="1" x14ac:dyDescent="0.2">
      <c r="A6" s="410"/>
      <c r="B6" s="155" t="s">
        <v>508</v>
      </c>
      <c r="C6" s="1538" t="s">
        <v>2856</v>
      </c>
    </row>
    <row r="7" spans="1:3" x14ac:dyDescent="0.2">
      <c r="A7" s="413">
        <v>216</v>
      </c>
      <c r="B7" s="158"/>
      <c r="C7" s="1535"/>
    </row>
    <row r="8" spans="1:3" x14ac:dyDescent="0.2">
      <c r="A8" s="413">
        <v>739</v>
      </c>
      <c r="B8" s="158"/>
      <c r="C8" s="1535"/>
    </row>
    <row r="9" spans="1:3" ht="264" customHeight="1" x14ac:dyDescent="0.2">
      <c r="A9" s="413">
        <v>8100</v>
      </c>
      <c r="B9" s="158"/>
      <c r="C9" s="1539"/>
    </row>
    <row r="10" spans="1:3" x14ac:dyDescent="0.2">
      <c r="A10" s="411"/>
      <c r="B10" s="412"/>
      <c r="C10" s="152"/>
    </row>
    <row r="11" spans="1:3" ht="175.5" customHeight="1" x14ac:dyDescent="0.2">
      <c r="A11" s="154">
        <v>762</v>
      </c>
      <c r="B11" s="155" t="s">
        <v>555</v>
      </c>
      <c r="C11" s="156" t="s">
        <v>1397</v>
      </c>
    </row>
    <row r="12" spans="1:3" ht="183" customHeight="1" x14ac:dyDescent="0.2">
      <c r="A12" s="157" t="s">
        <v>1432</v>
      </c>
      <c r="B12" s="158"/>
      <c r="C12" s="159" t="s">
        <v>591</v>
      </c>
    </row>
    <row r="13" spans="1:3" ht="25.5" x14ac:dyDescent="0.2">
      <c r="A13" s="160"/>
      <c r="B13" s="161"/>
      <c r="C13" s="286" t="s">
        <v>1590</v>
      </c>
    </row>
    <row r="14" spans="1:3" x14ac:dyDescent="0.2">
      <c r="A14" s="153"/>
      <c r="B14" s="147"/>
      <c r="C14" s="148"/>
    </row>
    <row r="15" spans="1:3" x14ac:dyDescent="0.2">
      <c r="A15" s="1531">
        <v>630</v>
      </c>
      <c r="B15" s="1528" t="s">
        <v>387</v>
      </c>
      <c r="C15" s="394" t="s">
        <v>1433</v>
      </c>
    </row>
    <row r="16" spans="1:3" ht="89.25" x14ac:dyDescent="0.2">
      <c r="A16" s="1532"/>
      <c r="B16" s="1529"/>
      <c r="C16" s="162" t="s">
        <v>592</v>
      </c>
    </row>
    <row r="17" spans="1:3" ht="63.75" x14ac:dyDescent="0.2">
      <c r="A17" s="1532"/>
      <c r="B17" s="1529"/>
      <c r="C17" s="162" t="s">
        <v>1434</v>
      </c>
    </row>
    <row r="18" spans="1:3" ht="102" x14ac:dyDescent="0.2">
      <c r="A18" s="1532"/>
      <c r="B18" s="1529"/>
      <c r="C18" s="162" t="s">
        <v>68</v>
      </c>
    </row>
    <row r="19" spans="1:3" ht="102" x14ac:dyDescent="0.2">
      <c r="A19" s="1532"/>
      <c r="B19" s="1529"/>
      <c r="C19" s="162" t="s">
        <v>69</v>
      </c>
    </row>
    <row r="20" spans="1:3" ht="102" x14ac:dyDescent="0.2">
      <c r="A20" s="1532"/>
      <c r="B20" s="1529"/>
      <c r="C20" s="162" t="s">
        <v>70</v>
      </c>
    </row>
    <row r="21" spans="1:3" ht="153" x14ac:dyDescent="0.2">
      <c r="A21" s="1532"/>
      <c r="B21" s="1529"/>
      <c r="C21" s="162" t="s">
        <v>71</v>
      </c>
    </row>
    <row r="22" spans="1:3" ht="63.75" x14ac:dyDescent="0.2">
      <c r="A22" s="1532"/>
      <c r="B22" s="1529"/>
      <c r="C22" s="162" t="s">
        <v>1435</v>
      </c>
    </row>
    <row r="23" spans="1:3" ht="267.75" x14ac:dyDescent="0.2">
      <c r="A23" s="1533"/>
      <c r="B23" s="1530"/>
      <c r="C23" s="163" t="s">
        <v>1457</v>
      </c>
    </row>
    <row r="24" spans="1:3" x14ac:dyDescent="0.2">
      <c r="A24" s="164"/>
      <c r="B24" s="149"/>
      <c r="C24" s="148"/>
    </row>
    <row r="25" spans="1:3" ht="140.25" x14ac:dyDescent="0.2">
      <c r="A25" s="165">
        <v>637</v>
      </c>
      <c r="B25" s="166" t="s">
        <v>388</v>
      </c>
      <c r="C25" s="167" t="s">
        <v>1458</v>
      </c>
    </row>
    <row r="26" spans="1:3" x14ac:dyDescent="0.2">
      <c r="A26" s="168"/>
      <c r="B26" s="169"/>
      <c r="C26" s="170"/>
    </row>
    <row r="27" spans="1:3" ht="89.25" x14ac:dyDescent="0.2">
      <c r="A27" s="165">
        <v>650</v>
      </c>
      <c r="B27" s="166" t="s">
        <v>389</v>
      </c>
      <c r="C27" s="167" t="s">
        <v>1459</v>
      </c>
    </row>
    <row r="28" spans="1:3" x14ac:dyDescent="0.2">
      <c r="A28" s="164"/>
      <c r="B28" s="149"/>
      <c r="C28" s="148"/>
    </row>
    <row r="29" spans="1:3" ht="114.75" x14ac:dyDescent="0.2">
      <c r="A29" s="165">
        <v>655</v>
      </c>
      <c r="B29" s="166" t="s">
        <v>1436</v>
      </c>
      <c r="C29" s="167" t="s">
        <v>650</v>
      </c>
    </row>
    <row r="30" spans="1:3" x14ac:dyDescent="0.2">
      <c r="A30" s="164"/>
      <c r="B30" s="149"/>
      <c r="C30" s="148"/>
    </row>
    <row r="31" spans="1:3" ht="204" x14ac:dyDescent="0.2">
      <c r="A31" s="165">
        <v>7410</v>
      </c>
      <c r="B31" s="166" t="s">
        <v>554</v>
      </c>
      <c r="C31" s="171" t="s">
        <v>867</v>
      </c>
    </row>
    <row r="32" spans="1:3" x14ac:dyDescent="0.2">
      <c r="A32" s="164"/>
      <c r="B32" s="149"/>
      <c r="C32" s="148"/>
    </row>
    <row r="33" spans="1:3" x14ac:dyDescent="0.2">
      <c r="A33" s="172"/>
      <c r="B33" s="173" t="s">
        <v>1437</v>
      </c>
      <c r="C33" s="1534" t="s">
        <v>868</v>
      </c>
    </row>
    <row r="34" spans="1:3" ht="25.5" x14ac:dyDescent="0.2">
      <c r="A34" s="174">
        <v>751</v>
      </c>
      <c r="B34" s="175" t="s">
        <v>1438</v>
      </c>
      <c r="C34" s="1535"/>
    </row>
    <row r="35" spans="1:3" x14ac:dyDescent="0.2">
      <c r="A35" s="176">
        <v>847</v>
      </c>
      <c r="B35" s="175" t="s">
        <v>1439</v>
      </c>
      <c r="C35" s="1536"/>
    </row>
    <row r="36" spans="1:3" x14ac:dyDescent="0.2">
      <c r="A36" s="174">
        <v>4026</v>
      </c>
      <c r="B36" s="175" t="s">
        <v>1440</v>
      </c>
      <c r="C36" s="1536"/>
    </row>
    <row r="37" spans="1:3" ht="71.25" customHeight="1" x14ac:dyDescent="0.2">
      <c r="A37" s="177">
        <v>4344</v>
      </c>
      <c r="B37" s="178" t="s">
        <v>1441</v>
      </c>
      <c r="C37" s="1537"/>
    </row>
    <row r="39" spans="1:3" ht="96.75" customHeight="1" x14ac:dyDescent="0.2">
      <c r="A39" s="179" t="s">
        <v>76</v>
      </c>
      <c r="B39" s="180" t="s">
        <v>1442</v>
      </c>
      <c r="C39" s="282" t="s">
        <v>377</v>
      </c>
    </row>
    <row r="41" spans="1:3" ht="83.25" customHeight="1" x14ac:dyDescent="0.2">
      <c r="A41" s="181">
        <v>7567</v>
      </c>
      <c r="B41" s="180" t="s">
        <v>517</v>
      </c>
      <c r="C41" s="282" t="s">
        <v>1591</v>
      </c>
    </row>
    <row r="43" spans="1:3" ht="38.25" x14ac:dyDescent="0.2">
      <c r="A43" s="181">
        <v>7570</v>
      </c>
      <c r="B43" s="180" t="s">
        <v>1443</v>
      </c>
      <c r="C43" s="182" t="s">
        <v>1444</v>
      </c>
    </row>
    <row r="45" spans="1:3" ht="83.25" customHeight="1" x14ac:dyDescent="0.2">
      <c r="A45" s="181">
        <v>7575</v>
      </c>
      <c r="B45" s="180" t="s">
        <v>1445</v>
      </c>
      <c r="C45" s="182" t="s">
        <v>1303</v>
      </c>
    </row>
    <row r="47" spans="1:3" ht="191.25" x14ac:dyDescent="0.2">
      <c r="A47" s="181">
        <v>7310</v>
      </c>
      <c r="B47" s="180" t="s">
        <v>1446</v>
      </c>
      <c r="C47" s="182" t="s">
        <v>1574</v>
      </c>
    </row>
    <row r="49" spans="1:3" ht="178.5" x14ac:dyDescent="0.2">
      <c r="A49" s="181">
        <v>7577</v>
      </c>
      <c r="B49" s="180" t="s">
        <v>1447</v>
      </c>
      <c r="C49" s="182" t="s">
        <v>1573</v>
      </c>
    </row>
    <row r="51" spans="1:3" ht="153" x14ac:dyDescent="0.2">
      <c r="A51" s="181">
        <v>7578</v>
      </c>
      <c r="B51" s="180" t="s">
        <v>395</v>
      </c>
      <c r="C51" s="182" t="s">
        <v>1451</v>
      </c>
    </row>
    <row r="53" spans="1:3" ht="140.25" x14ac:dyDescent="0.2">
      <c r="A53" s="181">
        <v>7579</v>
      </c>
      <c r="B53" s="180" t="s">
        <v>396</v>
      </c>
      <c r="C53" s="182" t="s">
        <v>1398</v>
      </c>
    </row>
    <row r="55" spans="1:3" ht="51" x14ac:dyDescent="0.2">
      <c r="A55" s="181">
        <v>7580</v>
      </c>
      <c r="B55" s="180" t="s">
        <v>397</v>
      </c>
      <c r="C55" s="182" t="s">
        <v>1448</v>
      </c>
    </row>
    <row r="57" spans="1:3" ht="165.75" x14ac:dyDescent="0.2">
      <c r="A57" s="181">
        <v>7581</v>
      </c>
      <c r="B57" s="180" t="s">
        <v>398</v>
      </c>
      <c r="C57" s="182" t="s">
        <v>1399</v>
      </c>
    </row>
    <row r="59" spans="1:3" ht="114.75" x14ac:dyDescent="0.2">
      <c r="A59" s="181">
        <v>7582</v>
      </c>
      <c r="B59" s="180" t="s">
        <v>399</v>
      </c>
      <c r="C59" s="182" t="s">
        <v>1400</v>
      </c>
    </row>
    <row r="61" spans="1:3" ht="165.75" x14ac:dyDescent="0.2">
      <c r="A61" s="181">
        <v>7583</v>
      </c>
      <c r="B61" s="180" t="s">
        <v>400</v>
      </c>
      <c r="C61" s="182" t="s">
        <v>1401</v>
      </c>
    </row>
    <row r="63" spans="1:3" ht="127.5" x14ac:dyDescent="0.2">
      <c r="A63" s="181">
        <v>7584</v>
      </c>
      <c r="B63" s="180" t="s">
        <v>401</v>
      </c>
      <c r="C63" s="182" t="s">
        <v>1402</v>
      </c>
    </row>
    <row r="65" spans="1:3" ht="153" x14ac:dyDescent="0.2">
      <c r="A65" s="181">
        <v>7576</v>
      </c>
      <c r="B65" s="180" t="s">
        <v>871</v>
      </c>
      <c r="C65" s="182" t="s">
        <v>1403</v>
      </c>
    </row>
    <row r="67" spans="1:3" ht="252" customHeight="1" x14ac:dyDescent="0.2">
      <c r="A67" s="419">
        <v>7594</v>
      </c>
      <c r="B67" s="180" t="s">
        <v>1449</v>
      </c>
      <c r="C67" s="182" t="s">
        <v>593</v>
      </c>
    </row>
    <row r="68" spans="1:3" ht="13.5" customHeight="1" x14ac:dyDescent="0.2">
      <c r="A68" s="183"/>
      <c r="B68" s="183"/>
      <c r="C68" s="184"/>
    </row>
    <row r="69" spans="1:3" ht="25.5" x14ac:dyDescent="0.2">
      <c r="A69" s="272" t="s">
        <v>1349</v>
      </c>
      <c r="B69" s="180" t="s">
        <v>1227</v>
      </c>
      <c r="C69" s="182" t="s">
        <v>1228</v>
      </c>
    </row>
    <row r="71" spans="1:3" ht="38.25" x14ac:dyDescent="0.2">
      <c r="A71" s="414" t="s">
        <v>1575</v>
      </c>
      <c r="B71" s="151" t="s">
        <v>794</v>
      </c>
      <c r="C71" s="269" t="s">
        <v>1350</v>
      </c>
    </row>
    <row r="73" spans="1:3" ht="38.25" x14ac:dyDescent="0.2">
      <c r="A73" s="268"/>
      <c r="B73" s="151" t="s">
        <v>1342</v>
      </c>
      <c r="C73" s="269" t="s">
        <v>1343</v>
      </c>
    </row>
    <row r="75" spans="1:3" ht="38.25" x14ac:dyDescent="0.2">
      <c r="A75" s="268"/>
      <c r="B75" s="151" t="s">
        <v>1344</v>
      </c>
      <c r="C75" s="269" t="s">
        <v>1345</v>
      </c>
    </row>
    <row r="77" spans="1:3" ht="306" x14ac:dyDescent="0.2">
      <c r="A77" s="270" t="s">
        <v>1346</v>
      </c>
      <c r="B77" s="151" t="s">
        <v>1347</v>
      </c>
      <c r="C77" s="269" t="s">
        <v>1348</v>
      </c>
    </row>
  </sheetData>
  <sheetProtection algorithmName="SHA-512" hashValue="D7yQAc8JrpwQnqkhKhTJTOcvlfH3S2HzhB0+ooRWS6l9D4pIUsnDZRKgvR9YDg5PRDOEqNqxqYoTQhFfvBxssw==" saltValue="XdW2Wu6ryEjyzpxJMg8IBw==" spinCount="100000" sheet="1" objects="1" scenarios="1"/>
  <mergeCells count="5">
    <mergeCell ref="A1:C1"/>
    <mergeCell ref="B15:B23"/>
    <mergeCell ref="A15:A23"/>
    <mergeCell ref="C33:C37"/>
    <mergeCell ref="C6:C9"/>
  </mergeCells>
  <phoneticPr fontId="0" type="noConversion"/>
  <hyperlinks>
    <hyperlink ref="A11" location="code_0762" display="code_0762" xr:uid="{00000000-0004-0000-0900-000000000000}"/>
    <hyperlink ref="A15" location="code_0630" display="code_0630" xr:uid="{00000000-0004-0000-0900-000001000000}"/>
    <hyperlink ref="A25" location="Code_0637" display="Code_0637" xr:uid="{00000000-0004-0000-0900-000002000000}"/>
    <hyperlink ref="A27" location="Code_0650" display="Code_0650" xr:uid="{00000000-0004-0000-0900-000003000000}"/>
    <hyperlink ref="A29" location="Code_0655" display="Code_0655" xr:uid="{00000000-0004-0000-0900-000004000000}"/>
    <hyperlink ref="A4" location="Code_7082" display="Code_7082" xr:uid="{00000000-0004-0000-0900-000005000000}"/>
    <hyperlink ref="A31" location="Code_7410" display="Code_7410" xr:uid="{00000000-0004-0000-0900-000006000000}"/>
    <hyperlink ref="A34" location="code_0751" display="code_0751" xr:uid="{00000000-0004-0000-0900-000007000000}"/>
    <hyperlink ref="A35" location="Code_0847" display="Code_0847" xr:uid="{00000000-0004-0000-0900-000008000000}"/>
    <hyperlink ref="A36" location="Code_4026" display="Code_4026" xr:uid="{00000000-0004-0000-0900-000009000000}"/>
    <hyperlink ref="A37" location="Code_4344" display="Code_4344" xr:uid="{00000000-0004-0000-0900-00000A000000}"/>
    <hyperlink ref="A39" location="NPI" display="NPI" xr:uid="{00000000-0004-0000-0900-00000B000000}"/>
    <hyperlink ref="A41" location="Code_7567" display="Code_7567" xr:uid="{00000000-0004-0000-0900-00000C000000}"/>
    <hyperlink ref="A45" location="Code_7575" display="Code_7575" xr:uid="{00000000-0004-0000-0900-00000D000000}"/>
    <hyperlink ref="A12" location="Code_7573" display="Code_7573" xr:uid="{00000000-0004-0000-0900-00000E000000}"/>
    <hyperlink ref="A43" location="Code_7570" display="Code_7570" xr:uid="{00000000-0004-0000-0900-00000F000000}"/>
    <hyperlink ref="A47" location="Code_7310" display="Code_7310" xr:uid="{00000000-0004-0000-0900-000010000000}"/>
    <hyperlink ref="A49" location="Code_7577" display="Code_7577" xr:uid="{00000000-0004-0000-0900-000011000000}"/>
    <hyperlink ref="A51" location="Code_7578" display="Code_7578" xr:uid="{00000000-0004-0000-0900-000012000000}"/>
    <hyperlink ref="A53" location="Code_7579" display="Code_7579" xr:uid="{00000000-0004-0000-0900-000013000000}"/>
    <hyperlink ref="A55" location="Code_7580" display="Code_7580" xr:uid="{00000000-0004-0000-0900-000014000000}"/>
    <hyperlink ref="A57" location="Code_7581" display="Code_7581" xr:uid="{00000000-0004-0000-0900-000015000000}"/>
    <hyperlink ref="A59" location="Code_7582" display="Code_7582" xr:uid="{00000000-0004-0000-0900-000016000000}"/>
    <hyperlink ref="A61" location="Code_7583" display="Code_7583" xr:uid="{00000000-0004-0000-0900-000017000000}"/>
    <hyperlink ref="A63" location="Code_7584" display="Code_7584" xr:uid="{00000000-0004-0000-0900-000018000000}"/>
    <hyperlink ref="A65" location="Code_7576" display="Code_7576" xr:uid="{00000000-0004-0000-0900-000019000000}"/>
    <hyperlink ref="A67" location="Code_7594" display="Code_7594" xr:uid="{00000000-0004-0000-0900-00001A000000}"/>
    <hyperlink ref="A69" location="'Capital Expend Project Specific'!E10" display="return to formset" xr:uid="{00000000-0004-0000-0900-00001B000000}"/>
    <hyperlink ref="A77" location="'Capital Expend Project Specific'!A1" display="Return to Project Specific tab" xr:uid="{00000000-0004-0000-0900-00001C000000}"/>
    <hyperlink ref="A71" location="'2019 HAR'!A756" display="return to section 57" xr:uid="{00000000-0004-0000-0900-00001D000000}"/>
    <hyperlink ref="A7" location="Code_0216" display="Code_0216" xr:uid="{00000000-0004-0000-0900-00001E000000}"/>
    <hyperlink ref="A8" location="Code_0739" display="Code_0739" xr:uid="{00000000-0004-0000-0900-00001F000000}"/>
    <hyperlink ref="A9" location="Code_8100" display="Code_8100" xr:uid="{00000000-0004-0000-0900-000020000000}"/>
  </hyperlinks>
  <pageMargins left="0.75" right="0.75" top="1" bottom="1.19" header="0.5" footer="0.5"/>
  <pageSetup scale="79" fitToHeight="13" orientation="portrait" r:id="rId1"/>
  <headerFooter alignWithMargins="0">
    <oddFooter>&amp;LMDH
www.health.state.mn.us/data/economics/hccis/index.html
Phone: 651-201-3572 
Fax: 651-201-5179&amp;CPage &amp;P
2021 Hospital Annual Report
Health Care Cost  Information System (HCCIS)&amp;RMHA
Jsanislo@mnhospitals.org
Phone: 651-659-1440
Fax: 651-659-1477</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pageSetUpPr fitToPage="1"/>
  </sheetPr>
  <dimension ref="A1:BY150"/>
  <sheetViews>
    <sheetView zoomScaleNormal="100" workbookViewId="0">
      <pane xSplit="1" ySplit="2" topLeftCell="B3" activePane="bottomRight" state="frozen"/>
      <selection pane="topRight" activeCell="B1" sqref="B1"/>
      <selection pane="bottomLeft" activeCell="A3" sqref="A3"/>
      <selection pane="bottomRight" activeCell="CF10" sqref="CF10"/>
    </sheetView>
  </sheetViews>
  <sheetFormatPr defaultColWidth="9.140625" defaultRowHeight="12.75" x14ac:dyDescent="0.2"/>
  <cols>
    <col min="1" max="1" width="9.5703125" style="90" customWidth="1"/>
    <col min="2" max="2" width="13.42578125" style="279" bestFit="1" customWidth="1"/>
    <col min="3" max="3" width="42.85546875" style="90" bestFit="1" customWidth="1"/>
    <col min="4" max="4" width="22.140625" style="90" customWidth="1"/>
    <col min="5" max="5" width="35.28515625" style="90" hidden="1" customWidth="1"/>
    <col min="6" max="7" width="14" style="90" hidden="1" customWidth="1"/>
    <col min="8" max="8" width="21.42578125" style="90" hidden="1" customWidth="1"/>
    <col min="9" max="9" width="5.7109375" style="90" hidden="1" customWidth="1"/>
    <col min="10" max="10" width="6.85546875" style="90" hidden="1" customWidth="1"/>
    <col min="11" max="11" width="5.85546875" style="90" hidden="1" customWidth="1"/>
    <col min="12" max="13" width="13.42578125" style="278" hidden="1" customWidth="1"/>
    <col min="14" max="15" width="13" style="90" hidden="1" customWidth="1"/>
    <col min="16" max="16" width="28.5703125" style="90" hidden="1" customWidth="1"/>
    <col min="17" max="17" width="34.7109375" style="90" hidden="1" customWidth="1"/>
    <col min="18" max="18" width="16.42578125" style="90" hidden="1" customWidth="1"/>
    <col min="19" max="20" width="14.5703125" style="90" hidden="1" customWidth="1"/>
    <col min="21" max="21" width="29.140625" style="90" hidden="1" customWidth="1"/>
    <col min="22" max="22" width="13.85546875" style="417" hidden="1" customWidth="1"/>
    <col min="23" max="23" width="14.7109375" style="90" hidden="1" customWidth="1"/>
    <col min="24" max="24" width="13.42578125" style="278" hidden="1" customWidth="1"/>
    <col min="25" max="32" width="34.28515625" style="90" hidden="1" customWidth="1"/>
    <col min="33" max="33" width="57.5703125" style="90" hidden="1" customWidth="1"/>
    <col min="34" max="34" width="38.7109375" style="90" hidden="1" customWidth="1"/>
    <col min="35" max="35" width="14.85546875" style="90" hidden="1" customWidth="1"/>
    <col min="36" max="36" width="7" style="90" hidden="1" customWidth="1"/>
    <col min="37" max="37" width="46" style="90" hidden="1" customWidth="1"/>
    <col min="38" max="38" width="15.42578125" style="90" hidden="1" customWidth="1"/>
    <col min="39" max="39" width="15.7109375" style="90" hidden="1" customWidth="1"/>
    <col min="40" max="40" width="21.42578125" style="90" hidden="1" customWidth="1"/>
    <col min="41" max="41" width="16.42578125" style="278" hidden="1" customWidth="1"/>
    <col min="42" max="42" width="19.28515625" style="90" hidden="1" customWidth="1"/>
    <col min="43" max="43" width="13.42578125" style="278" hidden="1" customWidth="1"/>
    <col min="44" max="44" width="23.85546875" style="90" hidden="1" customWidth="1"/>
    <col min="45" max="46" width="9.140625" style="90" hidden="1" customWidth="1"/>
    <col min="47" max="47" width="10.140625" style="90" hidden="1" customWidth="1"/>
    <col min="48" max="52" width="9.140625" style="90" hidden="1" customWidth="1"/>
    <col min="53" max="53" width="9" style="90" hidden="1" customWidth="1"/>
    <col min="54" max="54" width="12" style="90" hidden="1" customWidth="1"/>
    <col min="55" max="55" width="21.7109375" style="90" hidden="1" customWidth="1"/>
    <col min="56" max="56" width="11.42578125" style="90" hidden="1" customWidth="1"/>
    <col min="57" max="77" width="9.140625" style="90" hidden="1" customWidth="1"/>
    <col min="78" max="79" width="9.140625" style="90" customWidth="1"/>
    <col min="80" max="16384" width="9.140625" style="90"/>
  </cols>
  <sheetData>
    <row r="1" spans="1:77" s="91" customFormat="1" ht="26.25" x14ac:dyDescent="0.4">
      <c r="A1" s="280" t="s">
        <v>2861</v>
      </c>
      <c r="B1" s="273"/>
      <c r="F1" s="91">
        <v>6</v>
      </c>
      <c r="G1" s="91">
        <v>7</v>
      </c>
      <c r="H1" s="91">
        <v>8</v>
      </c>
      <c r="I1" s="91">
        <v>9</v>
      </c>
      <c r="J1" s="91">
        <v>10</v>
      </c>
      <c r="K1" s="91">
        <v>11</v>
      </c>
      <c r="L1" s="91">
        <v>12</v>
      </c>
      <c r="M1" s="91">
        <v>13</v>
      </c>
      <c r="N1" s="91">
        <v>14</v>
      </c>
      <c r="O1" s="91">
        <v>15</v>
      </c>
      <c r="P1" s="91">
        <v>16</v>
      </c>
      <c r="Q1" s="91">
        <v>17</v>
      </c>
      <c r="R1" s="503">
        <v>18</v>
      </c>
      <c r="S1" s="91">
        <v>19</v>
      </c>
      <c r="T1" s="91">
        <v>20</v>
      </c>
      <c r="U1" s="91">
        <v>21</v>
      </c>
      <c r="V1" s="416">
        <v>22</v>
      </c>
      <c r="W1" s="91">
        <v>23</v>
      </c>
      <c r="X1" s="274">
        <v>24</v>
      </c>
      <c r="Y1" s="91">
        <v>25</v>
      </c>
      <c r="Z1" s="91">
        <v>26</v>
      </c>
      <c r="AA1" s="91">
        <v>27</v>
      </c>
      <c r="AB1" s="91">
        <v>28</v>
      </c>
      <c r="AC1" s="91">
        <v>29</v>
      </c>
      <c r="AD1" s="91">
        <v>30</v>
      </c>
      <c r="AE1" s="91">
        <v>31</v>
      </c>
      <c r="AF1" s="91">
        <v>32</v>
      </c>
      <c r="AG1" s="91">
        <v>33</v>
      </c>
      <c r="AH1" s="91">
        <v>34</v>
      </c>
      <c r="AI1" s="91">
        <v>35</v>
      </c>
      <c r="AJ1" s="91">
        <v>36</v>
      </c>
      <c r="AK1" s="91">
        <v>37</v>
      </c>
      <c r="AL1" s="91">
        <v>38</v>
      </c>
      <c r="AM1" s="91">
        <v>39</v>
      </c>
      <c r="AN1" s="91">
        <v>40</v>
      </c>
      <c r="AO1" s="91">
        <v>41</v>
      </c>
      <c r="AP1" s="91">
        <v>42</v>
      </c>
      <c r="AQ1" s="91">
        <v>43</v>
      </c>
      <c r="AR1" s="91">
        <v>44</v>
      </c>
      <c r="AS1" s="91">
        <v>45</v>
      </c>
      <c r="AT1" s="91">
        <v>46</v>
      </c>
      <c r="AU1" s="91">
        <v>47</v>
      </c>
      <c r="AV1" s="91">
        <v>48</v>
      </c>
      <c r="AW1" s="91">
        <v>49</v>
      </c>
      <c r="AX1" s="91">
        <v>50</v>
      </c>
      <c r="AY1" s="91">
        <v>51</v>
      </c>
      <c r="AZ1" s="91">
        <v>52</v>
      </c>
      <c r="BA1" s="91">
        <v>53</v>
      </c>
      <c r="BB1" s="91">
        <v>54</v>
      </c>
      <c r="BC1" s="91">
        <v>55</v>
      </c>
      <c r="BD1" s="91">
        <v>56</v>
      </c>
      <c r="BE1" s="91">
        <v>57</v>
      </c>
      <c r="BF1" s="91">
        <v>58</v>
      </c>
      <c r="BG1" s="91">
        <v>59</v>
      </c>
      <c r="BH1" s="91">
        <v>60</v>
      </c>
      <c r="BI1" s="91">
        <v>61</v>
      </c>
      <c r="BJ1" s="91">
        <v>62</v>
      </c>
      <c r="BK1" s="91">
        <v>63</v>
      </c>
      <c r="BL1" s="91">
        <v>64</v>
      </c>
      <c r="BM1" s="91">
        <v>65</v>
      </c>
      <c r="BN1" s="91">
        <v>66</v>
      </c>
      <c r="BO1" s="91">
        <v>67</v>
      </c>
      <c r="BP1" s="91">
        <v>68</v>
      </c>
      <c r="BQ1" s="91">
        <v>69</v>
      </c>
      <c r="BR1" s="91">
        <v>70</v>
      </c>
      <c r="BS1" s="91">
        <v>71</v>
      </c>
      <c r="BT1" s="91">
        <v>72</v>
      </c>
      <c r="BU1" s="91">
        <v>73</v>
      </c>
      <c r="BV1" s="91">
        <v>74</v>
      </c>
      <c r="BW1" s="91">
        <v>75</v>
      </c>
      <c r="BX1" s="91">
        <v>76</v>
      </c>
      <c r="BY1" s="91">
        <v>77</v>
      </c>
    </row>
    <row r="2" spans="1:77" s="446" customFormat="1" ht="76.5" x14ac:dyDescent="0.2">
      <c r="A2" s="446" t="s">
        <v>75</v>
      </c>
      <c r="B2" s="447" t="s">
        <v>76</v>
      </c>
      <c r="C2" s="446" t="s">
        <v>78</v>
      </c>
      <c r="D2" s="446" t="s">
        <v>83</v>
      </c>
      <c r="E2" s="446" t="s">
        <v>79</v>
      </c>
      <c r="F2" s="446" t="s">
        <v>594</v>
      </c>
      <c r="G2" s="446" t="s">
        <v>81</v>
      </c>
      <c r="H2" s="446" t="s">
        <v>86</v>
      </c>
      <c r="I2" s="446" t="s">
        <v>595</v>
      </c>
      <c r="J2" s="446" t="s">
        <v>596</v>
      </c>
      <c r="K2" s="446" t="s">
        <v>597</v>
      </c>
      <c r="L2" s="448" t="s">
        <v>598</v>
      </c>
      <c r="M2" s="448" t="s">
        <v>599</v>
      </c>
      <c r="N2" s="449" t="s">
        <v>600</v>
      </c>
      <c r="O2" s="449" t="s">
        <v>601</v>
      </c>
      <c r="P2" s="446" t="s">
        <v>602</v>
      </c>
      <c r="Q2" s="446" t="s">
        <v>603</v>
      </c>
      <c r="R2" s="446" t="s">
        <v>604</v>
      </c>
      <c r="S2" s="449" t="s">
        <v>605</v>
      </c>
      <c r="T2" s="449" t="s">
        <v>606</v>
      </c>
      <c r="U2" s="446" t="s">
        <v>607</v>
      </c>
      <c r="V2" s="450" t="s">
        <v>608</v>
      </c>
      <c r="W2" s="449" t="s">
        <v>609</v>
      </c>
      <c r="X2" s="451" t="s">
        <v>610</v>
      </c>
      <c r="Y2" s="446" t="s">
        <v>611</v>
      </c>
      <c r="Z2" s="446" t="s">
        <v>612</v>
      </c>
      <c r="AA2" s="446" t="s">
        <v>613</v>
      </c>
      <c r="AB2" s="446" t="s">
        <v>83</v>
      </c>
      <c r="AC2" s="446" t="s">
        <v>595</v>
      </c>
      <c r="AD2" s="446" t="s">
        <v>85</v>
      </c>
      <c r="AE2" s="446" t="s">
        <v>614</v>
      </c>
      <c r="AF2" s="446" t="s">
        <v>86</v>
      </c>
      <c r="AG2" s="446" t="s">
        <v>615</v>
      </c>
      <c r="AH2" s="446" t="s">
        <v>616</v>
      </c>
      <c r="AI2" s="446" t="s">
        <v>617</v>
      </c>
      <c r="AJ2" s="446" t="s">
        <v>618</v>
      </c>
      <c r="AK2" s="446" t="s">
        <v>320</v>
      </c>
      <c r="AL2" s="449" t="s">
        <v>321</v>
      </c>
      <c r="AM2" s="449" t="s">
        <v>322</v>
      </c>
      <c r="AN2" s="449" t="s">
        <v>323</v>
      </c>
      <c r="AO2" s="451" t="s">
        <v>324</v>
      </c>
      <c r="AP2" s="449" t="s">
        <v>325</v>
      </c>
      <c r="AQ2" s="451" t="s">
        <v>326</v>
      </c>
      <c r="AR2" s="449" t="s">
        <v>327</v>
      </c>
      <c r="AS2" s="449" t="s">
        <v>328</v>
      </c>
      <c r="AT2" s="449" t="s">
        <v>329</v>
      </c>
      <c r="AU2" s="449" t="s">
        <v>330</v>
      </c>
      <c r="AV2" s="449" t="s">
        <v>331</v>
      </c>
      <c r="AW2" s="449" t="s">
        <v>332</v>
      </c>
      <c r="AX2" s="449" t="s">
        <v>333</v>
      </c>
      <c r="AY2" s="449" t="s">
        <v>1333</v>
      </c>
      <c r="AZ2" s="449" t="s">
        <v>1334</v>
      </c>
      <c r="BA2" s="449" t="s">
        <v>1335</v>
      </c>
      <c r="BB2" s="449" t="s">
        <v>1336</v>
      </c>
      <c r="BC2" s="449" t="s">
        <v>1337</v>
      </c>
      <c r="BD2" s="449" t="s">
        <v>1206</v>
      </c>
      <c r="BE2" s="449" t="s">
        <v>1207</v>
      </c>
      <c r="BF2" s="449" t="s">
        <v>1208</v>
      </c>
      <c r="BG2" s="449" t="s">
        <v>1209</v>
      </c>
      <c r="BH2" s="449" t="s">
        <v>1210</v>
      </c>
      <c r="BI2" s="449" t="s">
        <v>1211</v>
      </c>
      <c r="BJ2" s="449" t="s">
        <v>1212</v>
      </c>
      <c r="BK2" s="449" t="s">
        <v>333</v>
      </c>
      <c r="BL2" s="449" t="s">
        <v>1213</v>
      </c>
      <c r="BM2" s="449" t="s">
        <v>1214</v>
      </c>
      <c r="BN2" s="449" t="s">
        <v>1215</v>
      </c>
      <c r="BO2" s="449" t="s">
        <v>1216</v>
      </c>
      <c r="BP2" s="449" t="s">
        <v>1217</v>
      </c>
      <c r="BQ2" s="449" t="s">
        <v>1218</v>
      </c>
      <c r="BR2" s="449" t="s">
        <v>1219</v>
      </c>
      <c r="BS2" s="449" t="s">
        <v>1220</v>
      </c>
      <c r="BT2" s="449" t="s">
        <v>1221</v>
      </c>
      <c r="BU2" s="449" t="s">
        <v>1222</v>
      </c>
      <c r="BV2" s="449" t="s">
        <v>1223</v>
      </c>
      <c r="BW2" s="449" t="s">
        <v>1224</v>
      </c>
      <c r="BX2" s="449" t="s">
        <v>333</v>
      </c>
      <c r="BY2" s="449" t="s">
        <v>2352</v>
      </c>
    </row>
    <row r="3" spans="1:77" customFormat="1" x14ac:dyDescent="0.2">
      <c r="A3" s="504">
        <v>1</v>
      </c>
      <c r="B3">
        <v>1801840517</v>
      </c>
      <c r="C3" t="s">
        <v>2312</v>
      </c>
      <c r="D3" t="s">
        <v>1467</v>
      </c>
      <c r="E3" t="s">
        <v>2862</v>
      </c>
      <c r="F3" t="s">
        <v>2090</v>
      </c>
      <c r="H3" t="s">
        <v>454</v>
      </c>
      <c r="I3" t="s">
        <v>336</v>
      </c>
      <c r="J3">
        <v>56178</v>
      </c>
      <c r="K3">
        <v>1166</v>
      </c>
      <c r="L3">
        <v>5072475521</v>
      </c>
      <c r="M3">
        <v>5072475972</v>
      </c>
      <c r="N3" t="s">
        <v>2563</v>
      </c>
      <c r="O3" t="s">
        <v>1047</v>
      </c>
      <c r="P3" t="s">
        <v>270</v>
      </c>
      <c r="Q3" t="s">
        <v>2564</v>
      </c>
      <c r="R3" t="s">
        <v>2565</v>
      </c>
      <c r="S3" t="s">
        <v>2566</v>
      </c>
      <c r="T3" t="s">
        <v>2567</v>
      </c>
      <c r="U3" t="s">
        <v>2568</v>
      </c>
      <c r="V3">
        <v>5075372739</v>
      </c>
      <c r="W3" t="s">
        <v>2090</v>
      </c>
      <c r="X3">
        <v>5075372743</v>
      </c>
      <c r="Y3" t="s">
        <v>2569</v>
      </c>
      <c r="Z3" t="s">
        <v>2138</v>
      </c>
      <c r="AA3" t="s">
        <v>2170</v>
      </c>
      <c r="AB3" t="s">
        <v>1150</v>
      </c>
      <c r="AC3" t="s">
        <v>336</v>
      </c>
      <c r="AD3">
        <v>56258</v>
      </c>
      <c r="AE3">
        <v>1934</v>
      </c>
      <c r="AF3" t="s">
        <v>2170</v>
      </c>
      <c r="AG3" t="s">
        <v>2313</v>
      </c>
      <c r="AH3" t="s">
        <v>1360</v>
      </c>
      <c r="AI3" t="s">
        <v>953</v>
      </c>
      <c r="AJ3">
        <v>1</v>
      </c>
      <c r="AK3" t="s">
        <v>2570</v>
      </c>
      <c r="AL3" t="s">
        <v>2571</v>
      </c>
      <c r="AM3" t="s">
        <v>2572</v>
      </c>
      <c r="AN3" t="s">
        <v>425</v>
      </c>
      <c r="AO3">
        <v>5075379159</v>
      </c>
      <c r="AP3" t="s">
        <v>2090</v>
      </c>
      <c r="AQ3">
        <v>5075372743</v>
      </c>
      <c r="AR3" t="s">
        <v>2573</v>
      </c>
      <c r="AS3" t="s">
        <v>2138</v>
      </c>
      <c r="AT3" t="s">
        <v>2170</v>
      </c>
      <c r="AU3" t="s">
        <v>1150</v>
      </c>
      <c r="AV3" t="s">
        <v>336</v>
      </c>
      <c r="AW3">
        <v>56258</v>
      </c>
      <c r="AX3">
        <v>1934</v>
      </c>
      <c r="AY3" t="s">
        <v>2170</v>
      </c>
      <c r="AZ3" t="s">
        <v>2170</v>
      </c>
      <c r="BA3" t="s">
        <v>2170</v>
      </c>
      <c r="BB3" t="s">
        <v>2170</v>
      </c>
      <c r="BC3" t="s">
        <v>2170</v>
      </c>
      <c r="BD3" t="s">
        <v>2170</v>
      </c>
      <c r="BE3" t="s">
        <v>2170</v>
      </c>
      <c r="BF3" t="s">
        <v>2170</v>
      </c>
      <c r="BG3" t="s">
        <v>2170</v>
      </c>
      <c r="BH3" t="s">
        <v>2170</v>
      </c>
      <c r="BI3" t="s">
        <v>2170</v>
      </c>
      <c r="BJ3" t="s">
        <v>2170</v>
      </c>
      <c r="BK3" t="s">
        <v>2170</v>
      </c>
      <c r="BL3" t="s">
        <v>2566</v>
      </c>
      <c r="BM3" t="s">
        <v>2567</v>
      </c>
      <c r="BN3" t="s">
        <v>2568</v>
      </c>
      <c r="BO3">
        <v>5075372739</v>
      </c>
      <c r="BP3" t="s">
        <v>2090</v>
      </c>
      <c r="BQ3">
        <v>5075372743</v>
      </c>
      <c r="BR3" t="s">
        <v>2569</v>
      </c>
      <c r="BS3" t="s">
        <v>2138</v>
      </c>
      <c r="BT3" t="s">
        <v>2170</v>
      </c>
      <c r="BU3" t="s">
        <v>1150</v>
      </c>
      <c r="BV3" t="s">
        <v>336</v>
      </c>
      <c r="BW3">
        <v>56258</v>
      </c>
      <c r="BX3">
        <v>1934</v>
      </c>
      <c r="BY3" t="s">
        <v>370</v>
      </c>
    </row>
    <row r="4" spans="1:77" customFormat="1" ht="12.75" customHeight="1" x14ac:dyDescent="0.2">
      <c r="A4" s="504">
        <v>2</v>
      </c>
      <c r="B4">
        <v>1760446256</v>
      </c>
      <c r="C4" t="s">
        <v>1156</v>
      </c>
      <c r="D4" t="s">
        <v>125</v>
      </c>
      <c r="E4" t="s">
        <v>2574</v>
      </c>
      <c r="F4" t="s">
        <v>2090</v>
      </c>
      <c r="H4" t="s">
        <v>129</v>
      </c>
      <c r="I4" t="s">
        <v>336</v>
      </c>
      <c r="J4">
        <v>55407</v>
      </c>
      <c r="K4">
        <v>3723</v>
      </c>
      <c r="L4">
        <v>6128634000</v>
      </c>
      <c r="M4">
        <v>6128635667</v>
      </c>
      <c r="N4" t="s">
        <v>2575</v>
      </c>
      <c r="O4" t="s">
        <v>708</v>
      </c>
      <c r="P4" t="s">
        <v>116</v>
      </c>
      <c r="Q4" t="s">
        <v>2576</v>
      </c>
      <c r="R4" t="s">
        <v>2863</v>
      </c>
      <c r="S4" t="s">
        <v>1848</v>
      </c>
      <c r="T4" t="s">
        <v>1849</v>
      </c>
      <c r="U4" t="s">
        <v>118</v>
      </c>
      <c r="V4">
        <v>6122624724</v>
      </c>
      <c r="W4" t="s">
        <v>2090</v>
      </c>
      <c r="X4">
        <v>6122624737</v>
      </c>
      <c r="Y4" t="s">
        <v>1850</v>
      </c>
      <c r="Z4" t="s">
        <v>1408</v>
      </c>
      <c r="AA4" t="s">
        <v>2170</v>
      </c>
      <c r="AB4" t="s">
        <v>125</v>
      </c>
      <c r="AC4" t="s">
        <v>336</v>
      </c>
      <c r="AD4">
        <v>55440</v>
      </c>
      <c r="AE4" t="s">
        <v>2170</v>
      </c>
      <c r="AF4" t="s">
        <v>2170</v>
      </c>
      <c r="AG4" t="s">
        <v>2577</v>
      </c>
      <c r="AH4" t="s">
        <v>1961</v>
      </c>
      <c r="AI4" t="s">
        <v>953</v>
      </c>
      <c r="AJ4">
        <v>0</v>
      </c>
      <c r="AK4" t="s">
        <v>2578</v>
      </c>
      <c r="AL4" t="s">
        <v>1854</v>
      </c>
      <c r="AM4" t="s">
        <v>1855</v>
      </c>
      <c r="AN4" t="s">
        <v>1856</v>
      </c>
      <c r="AO4">
        <v>6122624721</v>
      </c>
      <c r="AP4" t="s">
        <v>2090</v>
      </c>
      <c r="AQ4">
        <v>6122624737</v>
      </c>
      <c r="AR4" t="s">
        <v>1857</v>
      </c>
      <c r="AS4" t="s">
        <v>2209</v>
      </c>
      <c r="AT4" t="s">
        <v>2170</v>
      </c>
      <c r="AU4" t="s">
        <v>119</v>
      </c>
      <c r="AV4" t="s">
        <v>336</v>
      </c>
      <c r="AW4">
        <v>55440</v>
      </c>
      <c r="AX4" t="s">
        <v>2170</v>
      </c>
      <c r="AY4" t="s">
        <v>121</v>
      </c>
      <c r="AZ4" t="s">
        <v>122</v>
      </c>
      <c r="BA4" t="s">
        <v>1684</v>
      </c>
      <c r="BB4">
        <v>6122624719</v>
      </c>
      <c r="BC4" t="s">
        <v>2090</v>
      </c>
      <c r="BD4">
        <v>6122624737</v>
      </c>
      <c r="BE4" t="s">
        <v>123</v>
      </c>
      <c r="BF4" t="s">
        <v>2209</v>
      </c>
      <c r="BG4" t="s">
        <v>124</v>
      </c>
      <c r="BH4" t="s">
        <v>119</v>
      </c>
      <c r="BI4" t="s">
        <v>336</v>
      </c>
      <c r="BJ4">
        <v>55440</v>
      </c>
      <c r="BK4" t="s">
        <v>2170</v>
      </c>
      <c r="BL4" t="s">
        <v>1848</v>
      </c>
      <c r="BM4" t="s">
        <v>1849</v>
      </c>
      <c r="BN4" t="s">
        <v>118</v>
      </c>
      <c r="BO4">
        <v>6122624724</v>
      </c>
      <c r="BP4" t="s">
        <v>2090</v>
      </c>
      <c r="BQ4">
        <v>6122624737</v>
      </c>
      <c r="BR4" t="s">
        <v>1850</v>
      </c>
      <c r="BS4" t="s">
        <v>1408</v>
      </c>
      <c r="BT4" t="s">
        <v>2170</v>
      </c>
      <c r="BU4" t="s">
        <v>125</v>
      </c>
      <c r="BV4" t="s">
        <v>336</v>
      </c>
      <c r="BW4">
        <v>55440</v>
      </c>
      <c r="BX4" t="s">
        <v>2170</v>
      </c>
      <c r="BY4" t="s">
        <v>370</v>
      </c>
    </row>
    <row r="5" spans="1:77" customFormat="1" ht="12.75" customHeight="1" x14ac:dyDescent="0.2">
      <c r="A5" s="504">
        <v>3</v>
      </c>
      <c r="B5">
        <v>1306836598</v>
      </c>
      <c r="C5" t="s">
        <v>2864</v>
      </c>
      <c r="D5" t="s">
        <v>334</v>
      </c>
      <c r="E5" t="s">
        <v>2865</v>
      </c>
      <c r="F5" t="s">
        <v>2090</v>
      </c>
      <c r="H5" t="s">
        <v>335</v>
      </c>
      <c r="I5" t="s">
        <v>336</v>
      </c>
      <c r="J5">
        <v>56510</v>
      </c>
      <c r="K5">
        <v>1243</v>
      </c>
      <c r="L5">
        <v>2187845000</v>
      </c>
      <c r="M5">
        <v>2187843855</v>
      </c>
      <c r="N5" t="s">
        <v>2167</v>
      </c>
      <c r="O5" t="s">
        <v>2168</v>
      </c>
      <c r="P5" t="s">
        <v>270</v>
      </c>
      <c r="Q5" t="s">
        <v>2169</v>
      </c>
      <c r="R5" t="s">
        <v>420</v>
      </c>
      <c r="S5" t="s">
        <v>1317</v>
      </c>
      <c r="T5" t="s">
        <v>2629</v>
      </c>
      <c r="U5" t="s">
        <v>2866</v>
      </c>
      <c r="V5">
        <v>2184357637</v>
      </c>
      <c r="W5" t="s">
        <v>2090</v>
      </c>
      <c r="X5">
        <v>2184351134</v>
      </c>
      <c r="Y5" t="s">
        <v>2867</v>
      </c>
      <c r="Z5" t="s">
        <v>2225</v>
      </c>
      <c r="AA5" t="s">
        <v>2170</v>
      </c>
      <c r="AB5" t="s">
        <v>422</v>
      </c>
      <c r="AC5" t="s">
        <v>336</v>
      </c>
      <c r="AD5">
        <v>56542</v>
      </c>
      <c r="AE5" t="s">
        <v>2170</v>
      </c>
      <c r="AF5" t="s">
        <v>2170</v>
      </c>
      <c r="AG5" t="s">
        <v>1593</v>
      </c>
      <c r="AH5" t="s">
        <v>2091</v>
      </c>
      <c r="AI5" t="s">
        <v>953</v>
      </c>
      <c r="AJ5">
        <v>1</v>
      </c>
      <c r="AK5" t="s">
        <v>2868</v>
      </c>
      <c r="AL5" t="s">
        <v>1077</v>
      </c>
      <c r="AM5" t="s">
        <v>421</v>
      </c>
      <c r="AN5" t="s">
        <v>341</v>
      </c>
      <c r="AO5">
        <v>2184357637</v>
      </c>
      <c r="AP5" t="s">
        <v>2090</v>
      </c>
      <c r="AQ5">
        <v>2184351134</v>
      </c>
      <c r="AR5" t="s">
        <v>2869</v>
      </c>
      <c r="AS5" t="s">
        <v>2225</v>
      </c>
      <c r="AT5" t="s">
        <v>2170</v>
      </c>
      <c r="AU5" t="s">
        <v>422</v>
      </c>
      <c r="AV5" t="s">
        <v>336</v>
      </c>
      <c r="AW5">
        <v>56542</v>
      </c>
      <c r="AX5" t="s">
        <v>2170</v>
      </c>
      <c r="AY5" t="s">
        <v>2170</v>
      </c>
      <c r="AZ5" t="s">
        <v>2170</v>
      </c>
      <c r="BA5" t="s">
        <v>2170</v>
      </c>
      <c r="BB5" t="s">
        <v>2170</v>
      </c>
      <c r="BC5" t="s">
        <v>2170</v>
      </c>
      <c r="BD5" t="s">
        <v>2170</v>
      </c>
      <c r="BE5" t="s">
        <v>2170</v>
      </c>
      <c r="BF5" t="s">
        <v>2170</v>
      </c>
      <c r="BG5" t="s">
        <v>2170</v>
      </c>
      <c r="BH5" t="s">
        <v>2170</v>
      </c>
      <c r="BI5" t="s">
        <v>2170</v>
      </c>
      <c r="BJ5" t="s">
        <v>2170</v>
      </c>
      <c r="BK5" t="s">
        <v>2170</v>
      </c>
      <c r="BL5" t="s">
        <v>1317</v>
      </c>
      <c r="BM5" t="s">
        <v>2629</v>
      </c>
      <c r="BN5" t="s">
        <v>2866</v>
      </c>
      <c r="BO5">
        <v>2184357637</v>
      </c>
      <c r="BP5" t="s">
        <v>2090</v>
      </c>
      <c r="BQ5">
        <v>2184351134</v>
      </c>
      <c r="BR5" t="s">
        <v>2867</v>
      </c>
      <c r="BS5" t="s">
        <v>2225</v>
      </c>
      <c r="BT5" t="s">
        <v>2170</v>
      </c>
      <c r="BU5" t="s">
        <v>422</v>
      </c>
      <c r="BV5" t="s">
        <v>336</v>
      </c>
      <c r="BW5">
        <v>56542</v>
      </c>
      <c r="BX5" t="s">
        <v>2170</v>
      </c>
      <c r="BY5" t="s">
        <v>370</v>
      </c>
    </row>
    <row r="6" spans="1:77" customFormat="1" ht="12.75" customHeight="1" x14ac:dyDescent="0.2">
      <c r="A6" s="504">
        <v>4</v>
      </c>
      <c r="B6">
        <v>1942277835</v>
      </c>
      <c r="C6" t="s">
        <v>2081</v>
      </c>
      <c r="D6" t="s">
        <v>344</v>
      </c>
      <c r="E6" t="s">
        <v>1975</v>
      </c>
      <c r="F6" t="s">
        <v>2090</v>
      </c>
      <c r="H6" t="s">
        <v>344</v>
      </c>
      <c r="I6" t="s">
        <v>336</v>
      </c>
      <c r="J6">
        <v>56431</v>
      </c>
      <c r="K6" t="s">
        <v>2090</v>
      </c>
      <c r="L6">
        <v>2189272121</v>
      </c>
      <c r="M6">
        <v>2189275516</v>
      </c>
      <c r="N6" t="s">
        <v>2870</v>
      </c>
      <c r="O6" t="s">
        <v>2871</v>
      </c>
      <c r="P6" t="s">
        <v>2872</v>
      </c>
      <c r="Q6" t="s">
        <v>2873</v>
      </c>
      <c r="R6" t="s">
        <v>434</v>
      </c>
      <c r="S6" t="s">
        <v>347</v>
      </c>
      <c r="T6" t="s">
        <v>348</v>
      </c>
      <c r="U6" t="s">
        <v>349</v>
      </c>
      <c r="V6">
        <v>2189278273</v>
      </c>
      <c r="W6" t="s">
        <v>2090</v>
      </c>
      <c r="X6">
        <v>2189275516</v>
      </c>
      <c r="Y6" t="s">
        <v>2579</v>
      </c>
      <c r="Z6" t="s">
        <v>1975</v>
      </c>
      <c r="AA6" t="s">
        <v>2170</v>
      </c>
      <c r="AB6" t="s">
        <v>344</v>
      </c>
      <c r="AC6" t="s">
        <v>336</v>
      </c>
      <c r="AD6">
        <v>56431</v>
      </c>
      <c r="AE6" t="s">
        <v>2170</v>
      </c>
      <c r="AF6" t="s">
        <v>344</v>
      </c>
      <c r="AG6" t="s">
        <v>1837</v>
      </c>
      <c r="AH6" t="s">
        <v>351</v>
      </c>
      <c r="AI6" t="s">
        <v>2170</v>
      </c>
      <c r="AJ6">
        <v>1</v>
      </c>
      <c r="AK6" t="s">
        <v>352</v>
      </c>
      <c r="AL6" t="s">
        <v>347</v>
      </c>
      <c r="AM6" t="s">
        <v>348</v>
      </c>
      <c r="AN6" t="s">
        <v>349</v>
      </c>
      <c r="AO6">
        <v>2189278273</v>
      </c>
      <c r="AP6" t="s">
        <v>2090</v>
      </c>
      <c r="AQ6">
        <v>2189275516</v>
      </c>
      <c r="AR6" t="s">
        <v>2579</v>
      </c>
      <c r="AS6" t="s">
        <v>1975</v>
      </c>
      <c r="AT6" t="s">
        <v>2170</v>
      </c>
      <c r="AU6" t="s">
        <v>344</v>
      </c>
      <c r="AV6" t="s">
        <v>336</v>
      </c>
      <c r="AW6">
        <v>56431</v>
      </c>
      <c r="AX6" t="s">
        <v>2170</v>
      </c>
      <c r="AY6" t="s">
        <v>2874</v>
      </c>
      <c r="AZ6" t="s">
        <v>187</v>
      </c>
      <c r="BA6" t="s">
        <v>356</v>
      </c>
      <c r="BB6">
        <v>2184293904</v>
      </c>
      <c r="BC6" t="s">
        <v>2090</v>
      </c>
      <c r="BD6">
        <v>2189275516</v>
      </c>
      <c r="BE6" t="s">
        <v>2875</v>
      </c>
      <c r="BF6" t="s">
        <v>1975</v>
      </c>
      <c r="BG6" t="s">
        <v>2170</v>
      </c>
      <c r="BH6" t="s">
        <v>350</v>
      </c>
      <c r="BI6" t="s">
        <v>336</v>
      </c>
      <c r="BJ6">
        <v>56431</v>
      </c>
      <c r="BK6" t="s">
        <v>2170</v>
      </c>
      <c r="BL6" t="s">
        <v>347</v>
      </c>
      <c r="BM6" t="s">
        <v>348</v>
      </c>
      <c r="BN6" t="s">
        <v>349</v>
      </c>
      <c r="BO6">
        <v>2189278273</v>
      </c>
      <c r="BP6" t="s">
        <v>2090</v>
      </c>
      <c r="BQ6">
        <v>2189275516</v>
      </c>
      <c r="BR6" t="s">
        <v>2579</v>
      </c>
      <c r="BS6" t="s">
        <v>1975</v>
      </c>
      <c r="BT6" t="s">
        <v>2170</v>
      </c>
      <c r="BU6" t="s">
        <v>344</v>
      </c>
      <c r="BV6" t="s">
        <v>336</v>
      </c>
      <c r="BW6">
        <v>56431</v>
      </c>
      <c r="BX6" t="s">
        <v>2170</v>
      </c>
      <c r="BY6" t="s">
        <v>370</v>
      </c>
    </row>
    <row r="7" spans="1:77" customFormat="1" ht="12.75" customHeight="1" x14ac:dyDescent="0.2">
      <c r="A7" s="504">
        <v>6</v>
      </c>
      <c r="B7">
        <v>1578590626</v>
      </c>
      <c r="C7" t="s">
        <v>2876</v>
      </c>
      <c r="D7" t="s">
        <v>970</v>
      </c>
      <c r="E7" t="s">
        <v>2877</v>
      </c>
      <c r="F7" t="s">
        <v>2090</v>
      </c>
      <c r="H7" t="s">
        <v>971</v>
      </c>
      <c r="I7" t="s">
        <v>336</v>
      </c>
      <c r="J7">
        <v>56208</v>
      </c>
      <c r="K7">
        <v>1616</v>
      </c>
      <c r="L7">
        <v>3202892422</v>
      </c>
      <c r="M7">
        <v>3202891797</v>
      </c>
      <c r="N7" t="s">
        <v>966</v>
      </c>
      <c r="O7" t="s">
        <v>2580</v>
      </c>
      <c r="P7" t="s">
        <v>270</v>
      </c>
      <c r="Q7" t="s">
        <v>2878</v>
      </c>
      <c r="R7" t="s">
        <v>2581</v>
      </c>
      <c r="S7" t="s">
        <v>2117</v>
      </c>
      <c r="T7" t="s">
        <v>2118</v>
      </c>
      <c r="U7" t="s">
        <v>341</v>
      </c>
      <c r="V7">
        <v>3202898514</v>
      </c>
      <c r="W7" t="s">
        <v>2090</v>
      </c>
      <c r="X7">
        <v>3202891585</v>
      </c>
      <c r="Y7" t="s">
        <v>2879</v>
      </c>
      <c r="Z7" t="s">
        <v>2178</v>
      </c>
      <c r="AA7" t="s">
        <v>2170</v>
      </c>
      <c r="AB7" t="s">
        <v>970</v>
      </c>
      <c r="AC7" t="s">
        <v>336</v>
      </c>
      <c r="AD7">
        <v>56208</v>
      </c>
      <c r="AE7" t="s">
        <v>2170</v>
      </c>
      <c r="AF7" t="s">
        <v>971</v>
      </c>
      <c r="AG7" t="s">
        <v>2582</v>
      </c>
      <c r="AH7" t="s">
        <v>351</v>
      </c>
      <c r="AI7" t="s">
        <v>2170</v>
      </c>
      <c r="AJ7">
        <v>1</v>
      </c>
      <c r="AK7" t="s">
        <v>2880</v>
      </c>
      <c r="AL7" t="s">
        <v>2170</v>
      </c>
      <c r="AM7" t="s">
        <v>2170</v>
      </c>
      <c r="AN7" t="s">
        <v>2170</v>
      </c>
      <c r="AO7" t="s">
        <v>2170</v>
      </c>
      <c r="AP7" t="s">
        <v>2170</v>
      </c>
      <c r="AQ7" t="s">
        <v>2170</v>
      </c>
      <c r="AR7" t="s">
        <v>2170</v>
      </c>
      <c r="AS7" t="s">
        <v>2170</v>
      </c>
      <c r="AT7" t="s">
        <v>2170</v>
      </c>
      <c r="AU7" t="s">
        <v>2170</v>
      </c>
      <c r="AV7" t="s">
        <v>2170</v>
      </c>
      <c r="AW7" t="s">
        <v>2170</v>
      </c>
      <c r="AX7" t="s">
        <v>2170</v>
      </c>
      <c r="AY7" t="s">
        <v>2170</v>
      </c>
      <c r="AZ7" t="s">
        <v>2170</v>
      </c>
      <c r="BA7" t="s">
        <v>2170</v>
      </c>
      <c r="BB7" t="s">
        <v>2170</v>
      </c>
      <c r="BC7" t="s">
        <v>2170</v>
      </c>
      <c r="BD7" t="s">
        <v>2170</v>
      </c>
      <c r="BE7" t="s">
        <v>2170</v>
      </c>
      <c r="BF7" t="s">
        <v>2170</v>
      </c>
      <c r="BG7" t="s">
        <v>2170</v>
      </c>
      <c r="BH7" t="s">
        <v>2170</v>
      </c>
      <c r="BI7" t="s">
        <v>2170</v>
      </c>
      <c r="BJ7" t="s">
        <v>2170</v>
      </c>
      <c r="BK7" t="s">
        <v>2170</v>
      </c>
      <c r="BL7" t="s">
        <v>2117</v>
      </c>
      <c r="BM7" t="s">
        <v>2118</v>
      </c>
      <c r="BN7" t="s">
        <v>341</v>
      </c>
      <c r="BO7">
        <v>3202898514</v>
      </c>
      <c r="BP7" t="s">
        <v>2090</v>
      </c>
      <c r="BQ7">
        <v>3202891585</v>
      </c>
      <c r="BR7" t="s">
        <v>2879</v>
      </c>
      <c r="BS7" t="s">
        <v>2178</v>
      </c>
      <c r="BT7" t="s">
        <v>2170</v>
      </c>
      <c r="BU7" t="s">
        <v>970</v>
      </c>
      <c r="BV7" t="s">
        <v>336</v>
      </c>
      <c r="BW7">
        <v>56208</v>
      </c>
      <c r="BX7" t="s">
        <v>2170</v>
      </c>
      <c r="BY7" t="s">
        <v>366</v>
      </c>
    </row>
    <row r="8" spans="1:77" customFormat="1" ht="12.75" customHeight="1" x14ac:dyDescent="0.2">
      <c r="A8" s="504">
        <v>7</v>
      </c>
      <c r="B8">
        <v>1740240225</v>
      </c>
      <c r="C8" t="s">
        <v>1996</v>
      </c>
      <c r="D8" t="s">
        <v>974</v>
      </c>
      <c r="E8" t="s">
        <v>2179</v>
      </c>
      <c r="F8" t="s">
        <v>2090</v>
      </c>
      <c r="H8" t="s">
        <v>975</v>
      </c>
      <c r="I8" t="s">
        <v>336</v>
      </c>
      <c r="J8">
        <v>55307</v>
      </c>
      <c r="K8">
        <v>2127</v>
      </c>
      <c r="L8">
        <v>5079642271</v>
      </c>
      <c r="M8">
        <v>5079648490</v>
      </c>
      <c r="N8" t="s">
        <v>1315</v>
      </c>
      <c r="O8" t="s">
        <v>2583</v>
      </c>
      <c r="P8" t="s">
        <v>2044</v>
      </c>
      <c r="Q8" t="s">
        <v>2584</v>
      </c>
      <c r="R8" t="s">
        <v>2137</v>
      </c>
      <c r="S8" t="s">
        <v>2068</v>
      </c>
      <c r="T8" t="s">
        <v>2069</v>
      </c>
      <c r="U8" t="s">
        <v>2881</v>
      </c>
      <c r="V8">
        <v>9524422191</v>
      </c>
      <c r="W8">
        <v>35705</v>
      </c>
      <c r="X8">
        <v>9524426540</v>
      </c>
      <c r="Y8" t="s">
        <v>2070</v>
      </c>
      <c r="Z8" t="s">
        <v>2170</v>
      </c>
      <c r="AA8" t="s">
        <v>2170</v>
      </c>
      <c r="AB8" t="s">
        <v>1479</v>
      </c>
      <c r="AC8" t="s">
        <v>336</v>
      </c>
      <c r="AD8" t="s">
        <v>2170</v>
      </c>
      <c r="AE8" t="s">
        <v>2170</v>
      </c>
      <c r="AF8" t="s">
        <v>1480</v>
      </c>
      <c r="AG8" t="s">
        <v>1594</v>
      </c>
      <c r="AH8" t="s">
        <v>1478</v>
      </c>
      <c r="AI8" t="s">
        <v>953</v>
      </c>
      <c r="AJ8">
        <v>1</v>
      </c>
      <c r="AK8" t="s">
        <v>1997</v>
      </c>
      <c r="AL8" t="s">
        <v>1357</v>
      </c>
      <c r="AM8" t="s">
        <v>2882</v>
      </c>
      <c r="AN8" t="s">
        <v>2883</v>
      </c>
      <c r="AO8">
        <v>9524422191</v>
      </c>
      <c r="AP8">
        <v>35811</v>
      </c>
      <c r="AQ8" t="s">
        <v>2090</v>
      </c>
      <c r="AR8" t="s">
        <v>2884</v>
      </c>
      <c r="AS8" t="s">
        <v>2170</v>
      </c>
      <c r="AT8" t="s">
        <v>2170</v>
      </c>
      <c r="AU8" t="s">
        <v>2170</v>
      </c>
      <c r="AV8" t="s">
        <v>1995</v>
      </c>
      <c r="AW8" t="s">
        <v>2170</v>
      </c>
      <c r="AX8" t="s">
        <v>2170</v>
      </c>
      <c r="AY8" t="s">
        <v>2170</v>
      </c>
      <c r="AZ8" t="s">
        <v>2170</v>
      </c>
      <c r="BA8" t="s">
        <v>2170</v>
      </c>
      <c r="BB8" t="s">
        <v>2170</v>
      </c>
      <c r="BC8" t="s">
        <v>2170</v>
      </c>
      <c r="BD8" t="s">
        <v>2170</v>
      </c>
      <c r="BE8" t="s">
        <v>2170</v>
      </c>
      <c r="BF8" t="s">
        <v>2170</v>
      </c>
      <c r="BG8" t="s">
        <v>2170</v>
      </c>
      <c r="BH8" t="s">
        <v>2170</v>
      </c>
      <c r="BI8" t="s">
        <v>2170</v>
      </c>
      <c r="BJ8" t="s">
        <v>2170</v>
      </c>
      <c r="BK8" t="s">
        <v>2170</v>
      </c>
      <c r="BL8" t="s">
        <v>2068</v>
      </c>
      <c r="BM8" t="s">
        <v>2069</v>
      </c>
      <c r="BN8" t="s">
        <v>2881</v>
      </c>
      <c r="BO8">
        <v>9524422191</v>
      </c>
      <c r="BP8">
        <v>35705</v>
      </c>
      <c r="BQ8">
        <v>9524426540</v>
      </c>
      <c r="BR8" t="s">
        <v>2070</v>
      </c>
      <c r="BS8" t="s">
        <v>2170</v>
      </c>
      <c r="BT8" t="s">
        <v>2170</v>
      </c>
      <c r="BU8" t="s">
        <v>1479</v>
      </c>
      <c r="BV8" t="s">
        <v>336</v>
      </c>
      <c r="BW8" t="s">
        <v>2170</v>
      </c>
      <c r="BX8" t="s">
        <v>2170</v>
      </c>
      <c r="BY8" t="s">
        <v>370</v>
      </c>
    </row>
    <row r="9" spans="1:77" customFormat="1" ht="12.75" customHeight="1" x14ac:dyDescent="0.2">
      <c r="A9" s="504">
        <v>10</v>
      </c>
      <c r="B9">
        <v>1194787465</v>
      </c>
      <c r="C9" t="s">
        <v>2585</v>
      </c>
      <c r="D9" t="s">
        <v>360</v>
      </c>
      <c r="E9" t="s">
        <v>2586</v>
      </c>
      <c r="F9" t="s">
        <v>2090</v>
      </c>
      <c r="H9" t="s">
        <v>1048</v>
      </c>
      <c r="I9" t="s">
        <v>336</v>
      </c>
      <c r="J9">
        <v>55103</v>
      </c>
      <c r="K9">
        <v>2101</v>
      </c>
      <c r="L9">
        <v>6512322000</v>
      </c>
      <c r="M9">
        <v>6512322118</v>
      </c>
      <c r="N9" t="s">
        <v>2624</v>
      </c>
      <c r="O9" t="s">
        <v>2620</v>
      </c>
      <c r="P9" t="s">
        <v>2621</v>
      </c>
      <c r="Q9" t="s">
        <v>2885</v>
      </c>
      <c r="R9" t="s">
        <v>2587</v>
      </c>
      <c r="S9" t="s">
        <v>1080</v>
      </c>
      <c r="T9" t="s">
        <v>2886</v>
      </c>
      <c r="U9" t="s">
        <v>1881</v>
      </c>
      <c r="V9">
        <v>6126726870</v>
      </c>
      <c r="W9" t="s">
        <v>2090</v>
      </c>
      <c r="X9">
        <v>6126726986</v>
      </c>
      <c r="Y9" t="s">
        <v>2887</v>
      </c>
      <c r="Z9" t="s">
        <v>2888</v>
      </c>
      <c r="AA9" t="s">
        <v>2170</v>
      </c>
      <c r="AB9" t="s">
        <v>2177</v>
      </c>
      <c r="AC9" t="s">
        <v>336</v>
      </c>
      <c r="AD9">
        <v>55104</v>
      </c>
      <c r="AE9" t="s">
        <v>2170</v>
      </c>
      <c r="AF9" t="s">
        <v>1048</v>
      </c>
      <c r="AG9" t="s">
        <v>361</v>
      </c>
      <c r="AH9" t="s">
        <v>2773</v>
      </c>
      <c r="AI9" t="s">
        <v>953</v>
      </c>
      <c r="AJ9">
        <v>0</v>
      </c>
      <c r="AK9" t="s">
        <v>103</v>
      </c>
      <c r="AL9" t="s">
        <v>204</v>
      </c>
      <c r="AM9" t="s">
        <v>1267</v>
      </c>
      <c r="AN9" t="s">
        <v>2591</v>
      </c>
      <c r="AO9">
        <v>6126726736</v>
      </c>
      <c r="AP9" t="s">
        <v>2090</v>
      </c>
      <c r="AQ9">
        <v>6126726986</v>
      </c>
      <c r="AR9" t="s">
        <v>1268</v>
      </c>
      <c r="AS9" t="s">
        <v>2889</v>
      </c>
      <c r="AT9" t="s">
        <v>2170</v>
      </c>
      <c r="AU9" t="s">
        <v>2307</v>
      </c>
      <c r="AV9" t="s">
        <v>1995</v>
      </c>
      <c r="AW9">
        <v>55104</v>
      </c>
      <c r="AX9" t="s">
        <v>2170</v>
      </c>
      <c r="AY9" t="s">
        <v>1620</v>
      </c>
      <c r="AZ9" t="s">
        <v>2890</v>
      </c>
      <c r="BA9" t="s">
        <v>2007</v>
      </c>
      <c r="BB9">
        <v>6126727067</v>
      </c>
      <c r="BC9" t="s">
        <v>2090</v>
      </c>
      <c r="BD9">
        <v>6126726986</v>
      </c>
      <c r="BE9" t="s">
        <v>1313</v>
      </c>
      <c r="BF9" t="s">
        <v>2889</v>
      </c>
      <c r="BG9" t="s">
        <v>2170</v>
      </c>
      <c r="BH9" t="s">
        <v>2307</v>
      </c>
      <c r="BI9" t="s">
        <v>1995</v>
      </c>
      <c r="BJ9">
        <v>55104</v>
      </c>
      <c r="BK9" t="s">
        <v>2170</v>
      </c>
      <c r="BL9" t="s">
        <v>2891</v>
      </c>
      <c r="BM9" t="s">
        <v>2892</v>
      </c>
      <c r="BN9" t="s">
        <v>2203</v>
      </c>
      <c r="BO9">
        <v>6126724923</v>
      </c>
      <c r="BP9" t="s">
        <v>2090</v>
      </c>
      <c r="BQ9" t="s">
        <v>2090</v>
      </c>
      <c r="BR9" t="s">
        <v>2893</v>
      </c>
      <c r="BS9" t="s">
        <v>2894</v>
      </c>
      <c r="BT9" t="s">
        <v>2170</v>
      </c>
      <c r="BU9" t="s">
        <v>2177</v>
      </c>
      <c r="BV9" t="s">
        <v>336</v>
      </c>
      <c r="BW9">
        <v>55104</v>
      </c>
      <c r="BX9" t="s">
        <v>2170</v>
      </c>
      <c r="BY9" t="s">
        <v>370</v>
      </c>
    </row>
    <row r="10" spans="1:77" customFormat="1" ht="12.75" customHeight="1" x14ac:dyDescent="0.2">
      <c r="A10" s="504">
        <v>11</v>
      </c>
      <c r="B10">
        <v>1538123567</v>
      </c>
      <c r="C10" t="s">
        <v>1085</v>
      </c>
      <c r="D10" t="s">
        <v>1086</v>
      </c>
      <c r="E10" t="s">
        <v>2895</v>
      </c>
      <c r="F10" t="s">
        <v>2090</v>
      </c>
      <c r="H10" t="s">
        <v>1087</v>
      </c>
      <c r="I10" t="s">
        <v>336</v>
      </c>
      <c r="J10">
        <v>55313</v>
      </c>
      <c r="K10">
        <v>1947</v>
      </c>
      <c r="L10">
        <v>7636821212</v>
      </c>
      <c r="M10">
        <v>7636847105</v>
      </c>
      <c r="N10" t="s">
        <v>1317</v>
      </c>
      <c r="O10" t="s">
        <v>2592</v>
      </c>
      <c r="P10" t="s">
        <v>2896</v>
      </c>
      <c r="Q10" t="s">
        <v>2593</v>
      </c>
      <c r="R10" t="s">
        <v>2200</v>
      </c>
      <c r="S10" t="s">
        <v>2018</v>
      </c>
      <c r="T10" t="s">
        <v>2019</v>
      </c>
      <c r="U10" t="s">
        <v>1157</v>
      </c>
      <c r="V10">
        <v>6122624730</v>
      </c>
      <c r="W10" t="s">
        <v>2090</v>
      </c>
      <c r="X10">
        <v>6122624737</v>
      </c>
      <c r="Y10" t="s">
        <v>2020</v>
      </c>
      <c r="Z10" t="s">
        <v>1408</v>
      </c>
      <c r="AA10" t="s">
        <v>2170</v>
      </c>
      <c r="AB10" t="s">
        <v>119</v>
      </c>
      <c r="AC10" t="s">
        <v>336</v>
      </c>
      <c r="AD10">
        <v>55440</v>
      </c>
      <c r="AE10">
        <v>43</v>
      </c>
      <c r="AF10" t="s">
        <v>120</v>
      </c>
      <c r="AG10" t="s">
        <v>2111</v>
      </c>
      <c r="AH10" t="s">
        <v>1961</v>
      </c>
      <c r="AI10" t="s">
        <v>953</v>
      </c>
      <c r="AJ10">
        <v>0</v>
      </c>
      <c r="AK10" t="s">
        <v>2897</v>
      </c>
      <c r="AL10" t="s">
        <v>1668</v>
      </c>
      <c r="AM10" t="s">
        <v>2153</v>
      </c>
      <c r="AN10" t="s">
        <v>1277</v>
      </c>
      <c r="AO10">
        <v>6122624720</v>
      </c>
      <c r="AP10" t="s">
        <v>2090</v>
      </c>
      <c r="AQ10">
        <v>6122624737</v>
      </c>
      <c r="AR10" t="s">
        <v>2202</v>
      </c>
      <c r="AS10" t="s">
        <v>2112</v>
      </c>
      <c r="AT10" t="s">
        <v>2170</v>
      </c>
      <c r="AU10" t="s">
        <v>119</v>
      </c>
      <c r="AV10" t="s">
        <v>336</v>
      </c>
      <c r="AW10">
        <v>55440</v>
      </c>
      <c r="AX10">
        <v>43</v>
      </c>
      <c r="AY10" t="s">
        <v>121</v>
      </c>
      <c r="AZ10" t="s">
        <v>122</v>
      </c>
      <c r="BA10" t="s">
        <v>1684</v>
      </c>
      <c r="BB10">
        <v>6122624719</v>
      </c>
      <c r="BC10" t="s">
        <v>2090</v>
      </c>
      <c r="BD10">
        <v>6122624737</v>
      </c>
      <c r="BE10" t="s">
        <v>123</v>
      </c>
      <c r="BF10" t="s">
        <v>2209</v>
      </c>
      <c r="BG10" t="s">
        <v>124</v>
      </c>
      <c r="BH10" t="s">
        <v>119</v>
      </c>
      <c r="BI10" t="s">
        <v>336</v>
      </c>
      <c r="BJ10">
        <v>55440</v>
      </c>
      <c r="BK10" t="s">
        <v>2170</v>
      </c>
      <c r="BL10" t="s">
        <v>2018</v>
      </c>
      <c r="BM10" t="s">
        <v>2019</v>
      </c>
      <c r="BN10" t="s">
        <v>1157</v>
      </c>
      <c r="BO10">
        <v>6122624730</v>
      </c>
      <c r="BP10" t="s">
        <v>2090</v>
      </c>
      <c r="BQ10">
        <v>6122624737</v>
      </c>
      <c r="BR10" t="s">
        <v>2020</v>
      </c>
      <c r="BS10" t="s">
        <v>1408</v>
      </c>
      <c r="BT10" t="s">
        <v>2170</v>
      </c>
      <c r="BU10" t="s">
        <v>119</v>
      </c>
      <c r="BV10" t="s">
        <v>336</v>
      </c>
      <c r="BW10">
        <v>55440</v>
      </c>
      <c r="BX10">
        <v>43</v>
      </c>
      <c r="BY10" t="s">
        <v>370</v>
      </c>
    </row>
    <row r="11" spans="1:77" customFormat="1" ht="12.75" customHeight="1" x14ac:dyDescent="0.2">
      <c r="A11" s="504">
        <v>13</v>
      </c>
      <c r="B11">
        <v>1568427383</v>
      </c>
      <c r="C11" t="s">
        <v>131</v>
      </c>
      <c r="D11" t="s">
        <v>132</v>
      </c>
      <c r="E11" t="s">
        <v>2594</v>
      </c>
      <c r="F11" t="s">
        <v>2090</v>
      </c>
      <c r="H11" t="s">
        <v>133</v>
      </c>
      <c r="I11" t="s">
        <v>336</v>
      </c>
      <c r="J11">
        <v>55008</v>
      </c>
      <c r="K11">
        <v>1920</v>
      </c>
      <c r="L11">
        <v>7636897700</v>
      </c>
      <c r="M11">
        <v>7636887941</v>
      </c>
      <c r="N11" t="s">
        <v>1317</v>
      </c>
      <c r="O11" t="s">
        <v>2592</v>
      </c>
      <c r="P11" t="s">
        <v>2896</v>
      </c>
      <c r="Q11" t="s">
        <v>2593</v>
      </c>
      <c r="R11" t="s">
        <v>2200</v>
      </c>
      <c r="S11" t="s">
        <v>2018</v>
      </c>
      <c r="T11" t="s">
        <v>2019</v>
      </c>
      <c r="U11" t="s">
        <v>1157</v>
      </c>
      <c r="V11">
        <v>6122624730</v>
      </c>
      <c r="W11" t="s">
        <v>2090</v>
      </c>
      <c r="X11">
        <v>6122624737</v>
      </c>
      <c r="Y11" t="s">
        <v>2020</v>
      </c>
      <c r="Z11" t="s">
        <v>1408</v>
      </c>
      <c r="AA11" t="s">
        <v>2170</v>
      </c>
      <c r="AB11" t="s">
        <v>119</v>
      </c>
      <c r="AC11" t="s">
        <v>336</v>
      </c>
      <c r="AD11">
        <v>55440</v>
      </c>
      <c r="AE11">
        <v>43</v>
      </c>
      <c r="AF11" t="s">
        <v>120</v>
      </c>
      <c r="AG11" t="s">
        <v>2008</v>
      </c>
      <c r="AH11" t="s">
        <v>1961</v>
      </c>
      <c r="AI11" t="s">
        <v>953</v>
      </c>
      <c r="AJ11">
        <v>0</v>
      </c>
      <c r="AK11" t="s">
        <v>2595</v>
      </c>
      <c r="AL11" t="s">
        <v>1668</v>
      </c>
      <c r="AM11" t="s">
        <v>2153</v>
      </c>
      <c r="AN11" t="s">
        <v>1277</v>
      </c>
      <c r="AO11">
        <v>6122624720</v>
      </c>
      <c r="AP11" t="s">
        <v>2090</v>
      </c>
      <c r="AQ11">
        <v>6122624737</v>
      </c>
      <c r="AR11" t="s">
        <v>2202</v>
      </c>
      <c r="AS11" t="s">
        <v>2112</v>
      </c>
      <c r="AT11" t="s">
        <v>2170</v>
      </c>
      <c r="AU11" t="s">
        <v>119</v>
      </c>
      <c r="AV11" t="s">
        <v>336</v>
      </c>
      <c r="AW11">
        <v>55440</v>
      </c>
      <c r="AX11">
        <v>43</v>
      </c>
      <c r="AY11" t="s">
        <v>121</v>
      </c>
      <c r="AZ11" t="s">
        <v>122</v>
      </c>
      <c r="BA11" t="s">
        <v>1684</v>
      </c>
      <c r="BB11">
        <v>6122624719</v>
      </c>
      <c r="BC11" t="s">
        <v>2090</v>
      </c>
      <c r="BD11">
        <v>6122624737</v>
      </c>
      <c r="BE11" t="s">
        <v>123</v>
      </c>
      <c r="BF11" t="s">
        <v>2209</v>
      </c>
      <c r="BG11" t="s">
        <v>124</v>
      </c>
      <c r="BH11" t="s">
        <v>119</v>
      </c>
      <c r="BI11" t="s">
        <v>336</v>
      </c>
      <c r="BJ11">
        <v>55440</v>
      </c>
      <c r="BK11" t="s">
        <v>2170</v>
      </c>
      <c r="BL11" t="s">
        <v>2018</v>
      </c>
      <c r="BM11" t="s">
        <v>2019</v>
      </c>
      <c r="BN11" t="s">
        <v>1157</v>
      </c>
      <c r="BO11">
        <v>6122624730</v>
      </c>
      <c r="BP11" t="s">
        <v>2090</v>
      </c>
      <c r="BQ11">
        <v>6122624737</v>
      </c>
      <c r="BR11" t="s">
        <v>2020</v>
      </c>
      <c r="BS11" t="s">
        <v>1408</v>
      </c>
      <c r="BT11" t="s">
        <v>2170</v>
      </c>
      <c r="BU11" t="s">
        <v>119</v>
      </c>
      <c r="BV11" t="s">
        <v>336</v>
      </c>
      <c r="BW11">
        <v>55440</v>
      </c>
      <c r="BX11">
        <v>43</v>
      </c>
      <c r="BY11" t="s">
        <v>370</v>
      </c>
    </row>
    <row r="12" spans="1:77" customFormat="1" ht="12.75" customHeight="1" x14ac:dyDescent="0.2">
      <c r="A12" s="504">
        <v>14</v>
      </c>
      <c r="B12">
        <v>1780781054</v>
      </c>
      <c r="C12" t="s">
        <v>1271</v>
      </c>
      <c r="D12" t="s">
        <v>135</v>
      </c>
      <c r="E12" t="s">
        <v>2898</v>
      </c>
      <c r="F12" t="s">
        <v>2090</v>
      </c>
      <c r="H12" t="s">
        <v>136</v>
      </c>
      <c r="I12" t="s">
        <v>336</v>
      </c>
      <c r="J12">
        <v>56220</v>
      </c>
      <c r="K12">
        <v>1433</v>
      </c>
      <c r="L12">
        <v>5072237277</v>
      </c>
      <c r="M12">
        <v>5072237340</v>
      </c>
      <c r="N12" t="s">
        <v>966</v>
      </c>
      <c r="O12" t="s">
        <v>1851</v>
      </c>
      <c r="P12" t="s">
        <v>346</v>
      </c>
      <c r="Q12" t="s">
        <v>1852</v>
      </c>
      <c r="R12" t="s">
        <v>137</v>
      </c>
      <c r="S12" t="s">
        <v>1272</v>
      </c>
      <c r="T12" t="s">
        <v>1273</v>
      </c>
      <c r="U12" t="s">
        <v>262</v>
      </c>
      <c r="V12">
        <v>5072237277</v>
      </c>
      <c r="W12">
        <v>340</v>
      </c>
      <c r="X12">
        <v>5072237340</v>
      </c>
      <c r="Y12" t="s">
        <v>1596</v>
      </c>
      <c r="Z12" t="s">
        <v>2206</v>
      </c>
      <c r="AA12" t="s">
        <v>2170</v>
      </c>
      <c r="AB12" t="s">
        <v>135</v>
      </c>
      <c r="AC12" t="s">
        <v>336</v>
      </c>
      <c r="AD12">
        <v>56220</v>
      </c>
      <c r="AE12">
        <v>1433</v>
      </c>
      <c r="AF12" t="s">
        <v>136</v>
      </c>
      <c r="AG12" t="s">
        <v>1487</v>
      </c>
      <c r="AH12" t="s">
        <v>1274</v>
      </c>
      <c r="AI12" t="s">
        <v>342</v>
      </c>
      <c r="AJ12">
        <v>1</v>
      </c>
      <c r="AK12" t="s">
        <v>139</v>
      </c>
      <c r="AL12" t="s">
        <v>1275</v>
      </c>
      <c r="AM12" t="s">
        <v>1081</v>
      </c>
      <c r="AN12" t="s">
        <v>341</v>
      </c>
      <c r="AO12">
        <v>5072237277</v>
      </c>
      <c r="AP12">
        <v>273</v>
      </c>
      <c r="AQ12">
        <v>5072237340</v>
      </c>
      <c r="AR12" t="s">
        <v>1597</v>
      </c>
      <c r="AS12" t="s">
        <v>2170</v>
      </c>
      <c r="AT12" t="s">
        <v>2170</v>
      </c>
      <c r="AU12" t="s">
        <v>2170</v>
      </c>
      <c r="AV12" t="s">
        <v>1995</v>
      </c>
      <c r="AW12" t="s">
        <v>2170</v>
      </c>
      <c r="AX12" t="s">
        <v>2170</v>
      </c>
      <c r="AY12" t="s">
        <v>2170</v>
      </c>
      <c r="AZ12" t="s">
        <v>2170</v>
      </c>
      <c r="BA12" t="s">
        <v>2170</v>
      </c>
      <c r="BB12" t="s">
        <v>2170</v>
      </c>
      <c r="BC12" t="s">
        <v>2170</v>
      </c>
      <c r="BD12" t="s">
        <v>2170</v>
      </c>
      <c r="BE12" t="s">
        <v>2170</v>
      </c>
      <c r="BF12" t="s">
        <v>2170</v>
      </c>
      <c r="BG12" t="s">
        <v>2170</v>
      </c>
      <c r="BH12" t="s">
        <v>2170</v>
      </c>
      <c r="BI12" t="s">
        <v>2170</v>
      </c>
      <c r="BJ12" t="s">
        <v>2170</v>
      </c>
      <c r="BK12" t="s">
        <v>2170</v>
      </c>
      <c r="BL12" t="s">
        <v>1272</v>
      </c>
      <c r="BM12" t="s">
        <v>1273</v>
      </c>
      <c r="BN12" t="s">
        <v>262</v>
      </c>
      <c r="BO12">
        <v>5072237277</v>
      </c>
      <c r="BP12">
        <v>340</v>
      </c>
      <c r="BQ12">
        <v>5072237340</v>
      </c>
      <c r="BR12" t="s">
        <v>1596</v>
      </c>
      <c r="BS12" t="s">
        <v>2206</v>
      </c>
      <c r="BT12" t="s">
        <v>2170</v>
      </c>
      <c r="BU12" t="s">
        <v>135</v>
      </c>
      <c r="BV12" t="s">
        <v>336</v>
      </c>
      <c r="BW12">
        <v>56220</v>
      </c>
      <c r="BX12">
        <v>1433</v>
      </c>
      <c r="BY12" t="s">
        <v>370</v>
      </c>
    </row>
    <row r="13" spans="1:77" customFormat="1" ht="12.75" customHeight="1" x14ac:dyDescent="0.2">
      <c r="A13" s="504">
        <v>15</v>
      </c>
      <c r="B13">
        <v>1063435410</v>
      </c>
      <c r="C13" t="s">
        <v>2596</v>
      </c>
      <c r="D13" t="s">
        <v>140</v>
      </c>
      <c r="E13" t="s">
        <v>2597</v>
      </c>
      <c r="F13" t="s">
        <v>2090</v>
      </c>
      <c r="H13" t="s">
        <v>141</v>
      </c>
      <c r="I13" t="s">
        <v>336</v>
      </c>
      <c r="J13">
        <v>55009</v>
      </c>
      <c r="K13">
        <v>1824</v>
      </c>
      <c r="L13">
        <v>5072634221</v>
      </c>
      <c r="M13">
        <v>5072637853</v>
      </c>
      <c r="N13" t="s">
        <v>2899</v>
      </c>
      <c r="O13" t="s">
        <v>2900</v>
      </c>
      <c r="P13" t="s">
        <v>270</v>
      </c>
      <c r="Q13" t="s">
        <v>2901</v>
      </c>
      <c r="R13" t="s">
        <v>2902</v>
      </c>
      <c r="S13" t="s">
        <v>1631</v>
      </c>
      <c r="T13" t="s">
        <v>1632</v>
      </c>
      <c r="U13" t="s">
        <v>2172</v>
      </c>
      <c r="V13">
        <v>5075947197</v>
      </c>
      <c r="W13" t="s">
        <v>2090</v>
      </c>
      <c r="X13">
        <v>5075944874</v>
      </c>
      <c r="Y13" t="s">
        <v>1633</v>
      </c>
      <c r="Z13" t="s">
        <v>2903</v>
      </c>
      <c r="AA13" t="s">
        <v>357</v>
      </c>
      <c r="AB13" t="s">
        <v>193</v>
      </c>
      <c r="AC13" t="s">
        <v>336</v>
      </c>
      <c r="AD13">
        <v>56001</v>
      </c>
      <c r="AE13" t="s">
        <v>2170</v>
      </c>
      <c r="AF13" t="s">
        <v>194</v>
      </c>
      <c r="AG13" t="s">
        <v>2598</v>
      </c>
      <c r="AH13" t="s">
        <v>958</v>
      </c>
      <c r="AI13" t="s">
        <v>953</v>
      </c>
      <c r="AJ13">
        <v>1</v>
      </c>
      <c r="AK13" t="s">
        <v>2904</v>
      </c>
      <c r="AL13" t="s">
        <v>117</v>
      </c>
      <c r="AM13" t="s">
        <v>2905</v>
      </c>
      <c r="AN13" t="s">
        <v>2906</v>
      </c>
      <c r="AO13">
        <v>5074341069</v>
      </c>
      <c r="AP13" t="s">
        <v>2090</v>
      </c>
      <c r="AQ13">
        <v>5074341432</v>
      </c>
      <c r="AR13" t="s">
        <v>2907</v>
      </c>
      <c r="AS13" t="s">
        <v>2472</v>
      </c>
      <c r="AT13" t="s">
        <v>2170</v>
      </c>
      <c r="AU13" t="s">
        <v>2469</v>
      </c>
      <c r="AV13" t="s">
        <v>336</v>
      </c>
      <c r="AW13">
        <v>55912</v>
      </c>
      <c r="AX13" t="s">
        <v>2170</v>
      </c>
      <c r="AY13" t="s">
        <v>2170</v>
      </c>
      <c r="AZ13" t="s">
        <v>2170</v>
      </c>
      <c r="BA13" t="s">
        <v>2170</v>
      </c>
      <c r="BB13" t="s">
        <v>2170</v>
      </c>
      <c r="BC13" t="s">
        <v>2170</v>
      </c>
      <c r="BD13" t="s">
        <v>2170</v>
      </c>
      <c r="BE13" t="s">
        <v>2170</v>
      </c>
      <c r="BF13" t="s">
        <v>2170</v>
      </c>
      <c r="BG13" t="s">
        <v>2170</v>
      </c>
      <c r="BH13" t="s">
        <v>2170</v>
      </c>
      <c r="BI13" t="s">
        <v>2170</v>
      </c>
      <c r="BJ13" t="s">
        <v>2170</v>
      </c>
      <c r="BK13" t="s">
        <v>2170</v>
      </c>
      <c r="BL13" t="s">
        <v>1631</v>
      </c>
      <c r="BM13" t="s">
        <v>1632</v>
      </c>
      <c r="BN13" t="s">
        <v>2172</v>
      </c>
      <c r="BO13">
        <v>5075947197</v>
      </c>
      <c r="BP13" t="s">
        <v>2090</v>
      </c>
      <c r="BQ13">
        <v>5075944874</v>
      </c>
      <c r="BR13" t="s">
        <v>1633</v>
      </c>
      <c r="BS13" t="s">
        <v>2903</v>
      </c>
      <c r="BT13" t="s">
        <v>357</v>
      </c>
      <c r="BU13" t="s">
        <v>193</v>
      </c>
      <c r="BV13" t="s">
        <v>336</v>
      </c>
      <c r="BW13">
        <v>56001</v>
      </c>
      <c r="BX13" t="s">
        <v>2170</v>
      </c>
      <c r="BY13" t="s">
        <v>370</v>
      </c>
    </row>
    <row r="14" spans="1:77" customFormat="1" x14ac:dyDescent="0.2">
      <c r="A14" s="504">
        <v>17</v>
      </c>
      <c r="B14">
        <v>1720086028</v>
      </c>
      <c r="C14" t="s">
        <v>2599</v>
      </c>
      <c r="D14" t="s">
        <v>175</v>
      </c>
      <c r="E14" t="s">
        <v>2908</v>
      </c>
      <c r="F14" t="s">
        <v>2090</v>
      </c>
      <c r="H14" t="s">
        <v>176</v>
      </c>
      <c r="I14" t="s">
        <v>336</v>
      </c>
      <c r="J14">
        <v>56265</v>
      </c>
      <c r="K14">
        <v>1629</v>
      </c>
      <c r="L14">
        <v>3202698877</v>
      </c>
      <c r="M14">
        <v>3202698186</v>
      </c>
      <c r="N14" t="s">
        <v>904</v>
      </c>
      <c r="O14" t="s">
        <v>2600</v>
      </c>
      <c r="P14" t="s">
        <v>346</v>
      </c>
      <c r="Q14" t="s">
        <v>2909</v>
      </c>
      <c r="R14" t="s">
        <v>2910</v>
      </c>
      <c r="S14" t="s">
        <v>2911</v>
      </c>
      <c r="T14" t="s">
        <v>1314</v>
      </c>
      <c r="U14" t="s">
        <v>341</v>
      </c>
      <c r="V14">
        <v>3203218103</v>
      </c>
      <c r="W14" t="s">
        <v>2090</v>
      </c>
      <c r="X14">
        <v>3203218200</v>
      </c>
      <c r="Y14" t="s">
        <v>2912</v>
      </c>
      <c r="Z14" t="s">
        <v>2170</v>
      </c>
      <c r="AA14" t="s">
        <v>2170</v>
      </c>
      <c r="AB14" t="s">
        <v>175</v>
      </c>
      <c r="AC14" t="s">
        <v>336</v>
      </c>
      <c r="AD14" t="s">
        <v>2170</v>
      </c>
      <c r="AE14" t="s">
        <v>2170</v>
      </c>
      <c r="AF14" t="s">
        <v>176</v>
      </c>
      <c r="AG14" t="s">
        <v>178</v>
      </c>
      <c r="AH14" t="s">
        <v>351</v>
      </c>
      <c r="AI14" t="s">
        <v>2170</v>
      </c>
      <c r="AJ14">
        <v>1</v>
      </c>
      <c r="AK14" t="s">
        <v>2913</v>
      </c>
      <c r="AL14" t="s">
        <v>2914</v>
      </c>
      <c r="AM14" t="s">
        <v>2915</v>
      </c>
      <c r="AN14" t="s">
        <v>341</v>
      </c>
      <c r="AO14">
        <v>3203218103</v>
      </c>
      <c r="AP14" t="s">
        <v>2090</v>
      </c>
      <c r="AQ14">
        <v>3203218200</v>
      </c>
      <c r="AR14" t="s">
        <v>2912</v>
      </c>
      <c r="AS14" t="s">
        <v>2170</v>
      </c>
      <c r="AT14" t="s">
        <v>2170</v>
      </c>
      <c r="AU14" t="s">
        <v>2170</v>
      </c>
      <c r="AV14" t="s">
        <v>1995</v>
      </c>
      <c r="AW14" t="s">
        <v>2170</v>
      </c>
      <c r="AX14" t="s">
        <v>2170</v>
      </c>
      <c r="AY14" t="s">
        <v>2170</v>
      </c>
      <c r="AZ14" t="s">
        <v>2170</v>
      </c>
      <c r="BA14" t="s">
        <v>2170</v>
      </c>
      <c r="BB14" t="s">
        <v>2170</v>
      </c>
      <c r="BC14" t="s">
        <v>2170</v>
      </c>
      <c r="BD14" t="s">
        <v>2170</v>
      </c>
      <c r="BE14" t="s">
        <v>2170</v>
      </c>
      <c r="BF14" t="s">
        <v>2170</v>
      </c>
      <c r="BG14" t="s">
        <v>2170</v>
      </c>
      <c r="BH14" t="s">
        <v>2170</v>
      </c>
      <c r="BI14" t="s">
        <v>2170</v>
      </c>
      <c r="BJ14" t="s">
        <v>2170</v>
      </c>
      <c r="BK14" t="s">
        <v>2170</v>
      </c>
      <c r="BL14" t="s">
        <v>2914</v>
      </c>
      <c r="BM14" t="s">
        <v>2915</v>
      </c>
      <c r="BN14" t="s">
        <v>341</v>
      </c>
      <c r="BO14">
        <v>3203218103</v>
      </c>
      <c r="BP14" t="s">
        <v>2090</v>
      </c>
      <c r="BQ14">
        <v>3203218200</v>
      </c>
      <c r="BR14" t="s">
        <v>2912</v>
      </c>
      <c r="BS14" t="s">
        <v>2170</v>
      </c>
      <c r="BT14" t="s">
        <v>2170</v>
      </c>
      <c r="BU14" t="s">
        <v>2170</v>
      </c>
      <c r="BV14" t="s">
        <v>1995</v>
      </c>
      <c r="BW14" t="s">
        <v>2170</v>
      </c>
      <c r="BX14" t="s">
        <v>2170</v>
      </c>
      <c r="BY14" t="s">
        <v>367</v>
      </c>
    </row>
    <row r="15" spans="1:77" customFormat="1" x14ac:dyDescent="0.2">
      <c r="A15" s="504">
        <v>19</v>
      </c>
      <c r="B15">
        <v>1295859411</v>
      </c>
      <c r="C15" t="s">
        <v>1598</v>
      </c>
      <c r="D15" t="s">
        <v>1045</v>
      </c>
      <c r="E15" t="s">
        <v>2916</v>
      </c>
      <c r="F15" t="s">
        <v>2090</v>
      </c>
      <c r="H15" t="s">
        <v>1046</v>
      </c>
      <c r="I15" t="s">
        <v>336</v>
      </c>
      <c r="J15">
        <v>56621</v>
      </c>
      <c r="K15">
        <v>8305</v>
      </c>
      <c r="L15">
        <v>2186946501</v>
      </c>
      <c r="M15">
        <v>2186943528</v>
      </c>
      <c r="N15" t="s">
        <v>353</v>
      </c>
      <c r="O15" t="s">
        <v>2917</v>
      </c>
      <c r="P15" t="s">
        <v>1054</v>
      </c>
      <c r="Q15" t="s">
        <v>2918</v>
      </c>
      <c r="R15" t="s">
        <v>2919</v>
      </c>
      <c r="S15" t="s">
        <v>1311</v>
      </c>
      <c r="T15" t="s">
        <v>1998</v>
      </c>
      <c r="U15" t="s">
        <v>2920</v>
      </c>
      <c r="V15">
        <v>6123764528</v>
      </c>
      <c r="W15" t="s">
        <v>2090</v>
      </c>
      <c r="X15">
        <v>6123764850</v>
      </c>
      <c r="Y15" t="s">
        <v>1999</v>
      </c>
      <c r="Z15" t="s">
        <v>2187</v>
      </c>
      <c r="AA15" t="s">
        <v>2170</v>
      </c>
      <c r="AB15" t="s">
        <v>119</v>
      </c>
      <c r="AC15" t="s">
        <v>336</v>
      </c>
      <c r="AD15">
        <v>55402</v>
      </c>
      <c r="AE15" t="s">
        <v>2170</v>
      </c>
      <c r="AF15" t="s">
        <v>120</v>
      </c>
      <c r="AG15">
        <v>0</v>
      </c>
      <c r="AH15" t="s">
        <v>1274</v>
      </c>
      <c r="AI15" t="s">
        <v>953</v>
      </c>
      <c r="AJ15">
        <v>1</v>
      </c>
      <c r="AK15" t="s">
        <v>1599</v>
      </c>
      <c r="AL15" t="s">
        <v>2104</v>
      </c>
      <c r="AM15" t="s">
        <v>2921</v>
      </c>
      <c r="AN15" t="s">
        <v>2922</v>
      </c>
      <c r="AO15">
        <v>7012341213</v>
      </c>
      <c r="AP15" t="s">
        <v>2090</v>
      </c>
      <c r="AQ15" t="s">
        <v>2090</v>
      </c>
      <c r="AR15" t="s">
        <v>2923</v>
      </c>
      <c r="AS15" t="s">
        <v>2170</v>
      </c>
      <c r="AT15" t="s">
        <v>2170</v>
      </c>
      <c r="AU15" t="s">
        <v>2170</v>
      </c>
      <c r="AV15" t="s">
        <v>1995</v>
      </c>
      <c r="AW15" t="s">
        <v>2170</v>
      </c>
      <c r="AX15" t="s">
        <v>2170</v>
      </c>
      <c r="AY15" t="s">
        <v>2000</v>
      </c>
      <c r="AZ15" t="s">
        <v>2001</v>
      </c>
      <c r="BA15" t="s">
        <v>349</v>
      </c>
      <c r="BB15">
        <v>2183335823</v>
      </c>
      <c r="BC15" t="s">
        <v>2090</v>
      </c>
      <c r="BD15">
        <v>2187515880</v>
      </c>
      <c r="BE15" t="s">
        <v>2098</v>
      </c>
      <c r="BF15" t="s">
        <v>1976</v>
      </c>
      <c r="BG15" t="s">
        <v>2170</v>
      </c>
      <c r="BH15" t="s">
        <v>1055</v>
      </c>
      <c r="BI15" t="s">
        <v>336</v>
      </c>
      <c r="BJ15">
        <v>56601</v>
      </c>
      <c r="BK15" t="s">
        <v>2170</v>
      </c>
      <c r="BL15" t="s">
        <v>2000</v>
      </c>
      <c r="BM15" t="s">
        <v>2001</v>
      </c>
      <c r="BN15" t="s">
        <v>349</v>
      </c>
      <c r="BO15">
        <v>2183335823</v>
      </c>
      <c r="BP15" t="s">
        <v>2090</v>
      </c>
      <c r="BQ15">
        <v>2187515880</v>
      </c>
      <c r="BR15" t="s">
        <v>2098</v>
      </c>
      <c r="BS15" t="s">
        <v>1976</v>
      </c>
      <c r="BT15" t="s">
        <v>2170</v>
      </c>
      <c r="BU15" t="s">
        <v>1055</v>
      </c>
      <c r="BV15" t="s">
        <v>336</v>
      </c>
      <c r="BW15">
        <v>56601</v>
      </c>
      <c r="BX15" t="s">
        <v>2170</v>
      </c>
      <c r="BY15" t="s">
        <v>370</v>
      </c>
    </row>
    <row r="16" spans="1:77" customFormat="1" x14ac:dyDescent="0.2">
      <c r="A16" s="504">
        <v>21</v>
      </c>
      <c r="B16">
        <v>1497703045</v>
      </c>
      <c r="C16" t="s">
        <v>2601</v>
      </c>
      <c r="D16" t="s">
        <v>484</v>
      </c>
      <c r="E16" t="s">
        <v>2924</v>
      </c>
      <c r="F16" t="s">
        <v>2090</v>
      </c>
      <c r="H16" t="s">
        <v>485</v>
      </c>
      <c r="I16" t="s">
        <v>336</v>
      </c>
      <c r="J16">
        <v>56156</v>
      </c>
      <c r="K16">
        <v>1067</v>
      </c>
      <c r="L16">
        <v>5072832321</v>
      </c>
      <c r="M16">
        <v>5072832091</v>
      </c>
      <c r="N16" t="s">
        <v>1601</v>
      </c>
      <c r="O16" t="s">
        <v>1602</v>
      </c>
      <c r="P16" t="s">
        <v>1069</v>
      </c>
      <c r="Q16" t="s">
        <v>1603</v>
      </c>
      <c r="R16" t="s">
        <v>2602</v>
      </c>
      <c r="S16" t="s">
        <v>1311</v>
      </c>
      <c r="T16" t="s">
        <v>1998</v>
      </c>
      <c r="U16" t="s">
        <v>2920</v>
      </c>
      <c r="V16">
        <v>6123764528</v>
      </c>
      <c r="W16" t="s">
        <v>2090</v>
      </c>
      <c r="X16">
        <v>6123764850</v>
      </c>
      <c r="Y16" t="s">
        <v>1999</v>
      </c>
      <c r="Z16" t="s">
        <v>2187</v>
      </c>
      <c r="AA16" t="s">
        <v>2170</v>
      </c>
      <c r="AB16" t="s">
        <v>119</v>
      </c>
      <c r="AC16" t="s">
        <v>336</v>
      </c>
      <c r="AD16">
        <v>55402</v>
      </c>
      <c r="AE16" t="s">
        <v>2170</v>
      </c>
      <c r="AF16" t="s">
        <v>120</v>
      </c>
      <c r="AG16" t="s">
        <v>1604</v>
      </c>
      <c r="AH16" t="s">
        <v>1274</v>
      </c>
      <c r="AI16" t="s">
        <v>953</v>
      </c>
      <c r="AJ16">
        <v>1</v>
      </c>
      <c r="AK16" t="s">
        <v>1605</v>
      </c>
      <c r="AL16" t="s">
        <v>2104</v>
      </c>
      <c r="AM16" t="s">
        <v>2925</v>
      </c>
      <c r="AN16" t="s">
        <v>2922</v>
      </c>
      <c r="AO16">
        <v>7012341213</v>
      </c>
      <c r="AP16" t="s">
        <v>2090</v>
      </c>
      <c r="AQ16" t="s">
        <v>2090</v>
      </c>
      <c r="AR16" t="s">
        <v>2923</v>
      </c>
      <c r="AS16" t="s">
        <v>2170</v>
      </c>
      <c r="AT16" t="s">
        <v>2170</v>
      </c>
      <c r="AU16" t="s">
        <v>2170</v>
      </c>
      <c r="AV16" t="s">
        <v>1995</v>
      </c>
      <c r="AW16" t="s">
        <v>2170</v>
      </c>
      <c r="AX16" t="s">
        <v>2170</v>
      </c>
      <c r="AY16" t="s">
        <v>1275</v>
      </c>
      <c r="AZ16" t="s">
        <v>1081</v>
      </c>
      <c r="BA16" t="s">
        <v>341</v>
      </c>
      <c r="BB16">
        <v>5072237277</v>
      </c>
      <c r="BC16">
        <v>273</v>
      </c>
      <c r="BD16">
        <v>5072237340</v>
      </c>
      <c r="BE16" t="s">
        <v>1597</v>
      </c>
      <c r="BF16" t="s">
        <v>2170</v>
      </c>
      <c r="BG16" t="s">
        <v>2170</v>
      </c>
      <c r="BH16" t="s">
        <v>2170</v>
      </c>
      <c r="BI16" t="s">
        <v>1995</v>
      </c>
      <c r="BJ16" t="s">
        <v>2170</v>
      </c>
      <c r="BK16" t="s">
        <v>2170</v>
      </c>
      <c r="BL16" t="s">
        <v>1275</v>
      </c>
      <c r="BM16" t="s">
        <v>1081</v>
      </c>
      <c r="BN16" t="s">
        <v>341</v>
      </c>
      <c r="BO16">
        <v>5072237277</v>
      </c>
      <c r="BP16">
        <v>273</v>
      </c>
      <c r="BQ16">
        <v>5072237340</v>
      </c>
      <c r="BR16" t="s">
        <v>1597</v>
      </c>
      <c r="BS16" t="s">
        <v>2170</v>
      </c>
      <c r="BT16" t="s">
        <v>2170</v>
      </c>
      <c r="BU16" t="s">
        <v>2170</v>
      </c>
      <c r="BV16" t="s">
        <v>1995</v>
      </c>
      <c r="BW16" t="s">
        <v>2170</v>
      </c>
      <c r="BX16" t="s">
        <v>2170</v>
      </c>
      <c r="BY16" t="s">
        <v>370</v>
      </c>
    </row>
    <row r="17" spans="1:77" customFormat="1" x14ac:dyDescent="0.2">
      <c r="A17" s="504">
        <v>22</v>
      </c>
      <c r="B17">
        <v>1407849367</v>
      </c>
      <c r="C17" t="s">
        <v>1249</v>
      </c>
      <c r="D17" t="s">
        <v>1974</v>
      </c>
      <c r="E17" t="s">
        <v>2926</v>
      </c>
      <c r="F17" t="s">
        <v>2090</v>
      </c>
      <c r="H17" t="s">
        <v>703</v>
      </c>
      <c r="I17" t="s">
        <v>336</v>
      </c>
      <c r="J17">
        <v>56082</v>
      </c>
      <c r="K17">
        <v>1327</v>
      </c>
      <c r="L17">
        <v>5079312200</v>
      </c>
      <c r="M17">
        <v>5079317651</v>
      </c>
      <c r="N17" t="s">
        <v>2927</v>
      </c>
      <c r="O17" t="s">
        <v>2928</v>
      </c>
      <c r="P17" t="s">
        <v>1069</v>
      </c>
      <c r="Q17" t="s">
        <v>2929</v>
      </c>
      <c r="R17" t="s">
        <v>2930</v>
      </c>
      <c r="S17" t="s">
        <v>2927</v>
      </c>
      <c r="T17" t="s">
        <v>2928</v>
      </c>
      <c r="U17" t="s">
        <v>346</v>
      </c>
      <c r="V17">
        <v>507934845</v>
      </c>
      <c r="W17" t="s">
        <v>2090</v>
      </c>
      <c r="X17">
        <v>5079347651</v>
      </c>
      <c r="Y17" t="s">
        <v>2929</v>
      </c>
      <c r="Z17" t="s">
        <v>2095</v>
      </c>
      <c r="AA17" t="s">
        <v>2170</v>
      </c>
      <c r="AB17" t="s">
        <v>1974</v>
      </c>
      <c r="AC17" t="s">
        <v>336</v>
      </c>
      <c r="AD17">
        <v>56082</v>
      </c>
      <c r="AE17">
        <v>1327</v>
      </c>
      <c r="AF17" t="s">
        <v>703</v>
      </c>
      <c r="AG17" t="s">
        <v>1606</v>
      </c>
      <c r="AH17" t="s">
        <v>351</v>
      </c>
      <c r="AI17" t="s">
        <v>2170</v>
      </c>
      <c r="AJ17">
        <v>1</v>
      </c>
      <c r="AK17" t="s">
        <v>2240</v>
      </c>
      <c r="AL17" t="s">
        <v>2927</v>
      </c>
      <c r="AM17" t="s">
        <v>2928</v>
      </c>
      <c r="AN17" t="s">
        <v>346</v>
      </c>
      <c r="AO17">
        <v>507934845</v>
      </c>
      <c r="AP17" t="s">
        <v>2090</v>
      </c>
      <c r="AQ17">
        <v>5079347651</v>
      </c>
      <c r="AR17" t="s">
        <v>2929</v>
      </c>
      <c r="AS17" t="s">
        <v>2095</v>
      </c>
      <c r="AT17" t="s">
        <v>2170</v>
      </c>
      <c r="AU17" t="s">
        <v>1974</v>
      </c>
      <c r="AV17" t="s">
        <v>336</v>
      </c>
      <c r="AW17">
        <v>56082</v>
      </c>
      <c r="AX17">
        <v>1327</v>
      </c>
      <c r="AY17" t="s">
        <v>2931</v>
      </c>
      <c r="AZ17" t="s">
        <v>2932</v>
      </c>
      <c r="BA17" t="s">
        <v>2933</v>
      </c>
      <c r="BB17">
        <v>5079347601</v>
      </c>
      <c r="BC17" t="s">
        <v>2090</v>
      </c>
      <c r="BD17">
        <v>5079347651</v>
      </c>
      <c r="BE17" t="s">
        <v>2934</v>
      </c>
      <c r="BF17" t="s">
        <v>2170</v>
      </c>
      <c r="BG17" t="s">
        <v>2170</v>
      </c>
      <c r="BH17" t="s">
        <v>2170</v>
      </c>
      <c r="BI17" t="s">
        <v>1995</v>
      </c>
      <c r="BJ17">
        <v>56082</v>
      </c>
      <c r="BK17">
        <v>1327</v>
      </c>
      <c r="BL17" t="s">
        <v>2927</v>
      </c>
      <c r="BM17" t="s">
        <v>2928</v>
      </c>
      <c r="BN17" t="s">
        <v>346</v>
      </c>
      <c r="BO17">
        <v>507934845</v>
      </c>
      <c r="BP17" t="s">
        <v>2090</v>
      </c>
      <c r="BQ17">
        <v>5079347651</v>
      </c>
      <c r="BR17" t="s">
        <v>2929</v>
      </c>
      <c r="BS17" t="s">
        <v>2095</v>
      </c>
      <c r="BT17" t="s">
        <v>2170</v>
      </c>
      <c r="BU17" t="s">
        <v>1974</v>
      </c>
      <c r="BV17" t="s">
        <v>336</v>
      </c>
      <c r="BW17">
        <v>56082</v>
      </c>
      <c r="BX17">
        <v>1327</v>
      </c>
      <c r="BY17" t="s">
        <v>366</v>
      </c>
    </row>
    <row r="18" spans="1:77" customFormat="1" x14ac:dyDescent="0.2">
      <c r="A18" s="504">
        <v>24</v>
      </c>
      <c r="B18">
        <v>1003869082</v>
      </c>
      <c r="C18" t="s">
        <v>2603</v>
      </c>
      <c r="D18" t="s">
        <v>143</v>
      </c>
      <c r="E18" t="s">
        <v>2935</v>
      </c>
      <c r="F18" t="s">
        <v>2090</v>
      </c>
      <c r="H18" t="s">
        <v>144</v>
      </c>
      <c r="I18" t="s">
        <v>336</v>
      </c>
      <c r="J18">
        <v>55720</v>
      </c>
      <c r="K18">
        <v>1199</v>
      </c>
      <c r="L18">
        <v>2188794641</v>
      </c>
      <c r="M18">
        <v>2188799167</v>
      </c>
      <c r="N18" t="s">
        <v>145</v>
      </c>
      <c r="O18" t="s">
        <v>146</v>
      </c>
      <c r="P18" t="s">
        <v>338</v>
      </c>
      <c r="Q18" t="s">
        <v>2936</v>
      </c>
      <c r="R18" t="s">
        <v>147</v>
      </c>
      <c r="S18" t="s">
        <v>2314</v>
      </c>
      <c r="T18" t="s">
        <v>2937</v>
      </c>
      <c r="U18" t="s">
        <v>148</v>
      </c>
      <c r="V18">
        <v>2188787035</v>
      </c>
      <c r="W18" t="s">
        <v>2090</v>
      </c>
      <c r="X18">
        <v>2188799167</v>
      </c>
      <c r="Y18" t="s">
        <v>2938</v>
      </c>
      <c r="Z18" t="s">
        <v>2207</v>
      </c>
      <c r="AA18" t="s">
        <v>2170</v>
      </c>
      <c r="AB18" t="s">
        <v>143</v>
      </c>
      <c r="AC18" t="s">
        <v>336</v>
      </c>
      <c r="AD18">
        <v>55720</v>
      </c>
      <c r="AE18">
        <v>1199</v>
      </c>
      <c r="AF18" t="s">
        <v>144</v>
      </c>
      <c r="AG18" t="s">
        <v>1276</v>
      </c>
      <c r="AH18" t="s">
        <v>351</v>
      </c>
      <c r="AI18" t="s">
        <v>2170</v>
      </c>
      <c r="AJ18">
        <v>1</v>
      </c>
      <c r="AK18" t="s">
        <v>2939</v>
      </c>
      <c r="AL18" t="s">
        <v>2170</v>
      </c>
      <c r="AM18" t="s">
        <v>2170</v>
      </c>
      <c r="AN18" t="s">
        <v>2170</v>
      </c>
      <c r="AO18" t="s">
        <v>2170</v>
      </c>
      <c r="AP18" t="s">
        <v>2170</v>
      </c>
      <c r="AQ18" t="s">
        <v>2170</v>
      </c>
      <c r="AR18" t="s">
        <v>2170</v>
      </c>
      <c r="AS18" t="s">
        <v>2170</v>
      </c>
      <c r="AT18" t="s">
        <v>2170</v>
      </c>
      <c r="AU18" t="s">
        <v>2170</v>
      </c>
      <c r="AV18" t="s">
        <v>2170</v>
      </c>
      <c r="AW18" t="s">
        <v>2170</v>
      </c>
      <c r="AX18" t="s">
        <v>2170</v>
      </c>
      <c r="AY18" t="s">
        <v>2170</v>
      </c>
      <c r="AZ18" t="s">
        <v>2170</v>
      </c>
      <c r="BA18" t="s">
        <v>2170</v>
      </c>
      <c r="BB18" t="s">
        <v>2170</v>
      </c>
      <c r="BC18" t="s">
        <v>2170</v>
      </c>
      <c r="BD18" t="s">
        <v>2170</v>
      </c>
      <c r="BE18" t="s">
        <v>2170</v>
      </c>
      <c r="BF18" t="s">
        <v>2170</v>
      </c>
      <c r="BG18" t="s">
        <v>2170</v>
      </c>
      <c r="BH18" t="s">
        <v>2170</v>
      </c>
      <c r="BI18" t="s">
        <v>2170</v>
      </c>
      <c r="BJ18" t="s">
        <v>2170</v>
      </c>
      <c r="BK18" t="s">
        <v>2170</v>
      </c>
      <c r="BL18" t="s">
        <v>251</v>
      </c>
      <c r="BM18" t="s">
        <v>1047</v>
      </c>
      <c r="BN18" t="s">
        <v>341</v>
      </c>
      <c r="BO18">
        <v>2188787027</v>
      </c>
      <c r="BP18" t="s">
        <v>2090</v>
      </c>
      <c r="BQ18">
        <v>2188799167</v>
      </c>
      <c r="BR18" t="s">
        <v>2940</v>
      </c>
      <c r="BS18" t="s">
        <v>2170</v>
      </c>
      <c r="BT18" t="s">
        <v>2170</v>
      </c>
      <c r="BU18" t="s">
        <v>2170</v>
      </c>
      <c r="BV18" t="s">
        <v>336</v>
      </c>
      <c r="BW18" t="s">
        <v>2170</v>
      </c>
      <c r="BX18" t="s">
        <v>2170</v>
      </c>
      <c r="BY18" t="s">
        <v>370</v>
      </c>
    </row>
    <row r="19" spans="1:77" customFormat="1" x14ac:dyDescent="0.2">
      <c r="A19" s="504">
        <v>25</v>
      </c>
      <c r="B19">
        <v>1225049018</v>
      </c>
      <c r="C19" t="s">
        <v>2941</v>
      </c>
      <c r="D19" t="s">
        <v>170</v>
      </c>
      <c r="E19" t="s">
        <v>2942</v>
      </c>
      <c r="F19" t="s">
        <v>2090</v>
      </c>
      <c r="H19" t="s">
        <v>1063</v>
      </c>
      <c r="I19" t="s">
        <v>336</v>
      </c>
      <c r="J19">
        <v>56636</v>
      </c>
      <c r="K19">
        <v>9700</v>
      </c>
      <c r="L19">
        <v>2182462900</v>
      </c>
      <c r="M19">
        <v>2182462913</v>
      </c>
      <c r="N19" t="s">
        <v>2253</v>
      </c>
      <c r="O19" t="s">
        <v>2943</v>
      </c>
      <c r="P19" t="s">
        <v>270</v>
      </c>
      <c r="Q19" t="s">
        <v>2944</v>
      </c>
      <c r="R19" t="s">
        <v>1839</v>
      </c>
      <c r="S19" t="s">
        <v>204</v>
      </c>
      <c r="T19" t="s">
        <v>2119</v>
      </c>
      <c r="U19" t="s">
        <v>2186</v>
      </c>
      <c r="V19">
        <v>2182464204</v>
      </c>
      <c r="W19" t="s">
        <v>2090</v>
      </c>
      <c r="X19" t="s">
        <v>2090</v>
      </c>
      <c r="Y19" t="s">
        <v>2215</v>
      </c>
      <c r="Z19" t="s">
        <v>2170</v>
      </c>
      <c r="AA19" t="s">
        <v>2170</v>
      </c>
      <c r="AB19" t="s">
        <v>2170</v>
      </c>
      <c r="AC19" t="s">
        <v>1995</v>
      </c>
      <c r="AD19" t="s">
        <v>2170</v>
      </c>
      <c r="AE19" t="s">
        <v>2170</v>
      </c>
      <c r="AF19" t="s">
        <v>2170</v>
      </c>
      <c r="AG19" t="s">
        <v>1593</v>
      </c>
      <c r="AH19" t="s">
        <v>2091</v>
      </c>
      <c r="AI19" t="s">
        <v>953</v>
      </c>
      <c r="AJ19">
        <v>1</v>
      </c>
      <c r="AK19" t="s">
        <v>2120</v>
      </c>
      <c r="AL19" t="s">
        <v>2183</v>
      </c>
      <c r="AM19" t="s">
        <v>2184</v>
      </c>
      <c r="AN19" t="s">
        <v>2945</v>
      </c>
      <c r="AO19">
        <v>2187861419</v>
      </c>
      <c r="AP19" t="s">
        <v>2090</v>
      </c>
      <c r="AQ19" t="s">
        <v>2090</v>
      </c>
      <c r="AR19" t="s">
        <v>2185</v>
      </c>
      <c r="AS19" t="s">
        <v>2181</v>
      </c>
      <c r="AT19" t="s">
        <v>2170</v>
      </c>
      <c r="AU19" t="s">
        <v>1298</v>
      </c>
      <c r="AV19" t="s">
        <v>336</v>
      </c>
      <c r="AW19">
        <v>55805</v>
      </c>
      <c r="AX19" t="s">
        <v>2170</v>
      </c>
      <c r="AY19" t="s">
        <v>2170</v>
      </c>
      <c r="AZ19" t="s">
        <v>2170</v>
      </c>
      <c r="BA19" t="s">
        <v>2170</v>
      </c>
      <c r="BB19" t="s">
        <v>2170</v>
      </c>
      <c r="BC19" t="s">
        <v>2170</v>
      </c>
      <c r="BD19" t="s">
        <v>2170</v>
      </c>
      <c r="BE19" t="s">
        <v>2170</v>
      </c>
      <c r="BF19" t="s">
        <v>2170</v>
      </c>
      <c r="BG19" t="s">
        <v>2170</v>
      </c>
      <c r="BH19" t="s">
        <v>2170</v>
      </c>
      <c r="BI19" t="s">
        <v>2170</v>
      </c>
      <c r="BJ19" t="s">
        <v>2170</v>
      </c>
      <c r="BK19" t="s">
        <v>2170</v>
      </c>
      <c r="BL19" t="s">
        <v>1266</v>
      </c>
      <c r="BM19" t="s">
        <v>2946</v>
      </c>
      <c r="BN19" t="s">
        <v>2947</v>
      </c>
      <c r="BO19">
        <v>2187868169</v>
      </c>
      <c r="BP19" t="s">
        <v>2090</v>
      </c>
      <c r="BQ19">
        <v>2187868406</v>
      </c>
      <c r="BR19" t="s">
        <v>2948</v>
      </c>
      <c r="BS19" t="s">
        <v>2181</v>
      </c>
      <c r="BT19" t="s">
        <v>2170</v>
      </c>
      <c r="BU19" t="s">
        <v>1298</v>
      </c>
      <c r="BV19" t="s">
        <v>336</v>
      </c>
      <c r="BW19">
        <v>55805</v>
      </c>
      <c r="BX19" t="s">
        <v>2170</v>
      </c>
      <c r="BY19" t="s">
        <v>370</v>
      </c>
    </row>
    <row r="20" spans="1:77" customFormat="1" x14ac:dyDescent="0.2">
      <c r="A20" s="504">
        <v>27</v>
      </c>
      <c r="B20">
        <v>1295789352</v>
      </c>
      <c r="C20" t="s">
        <v>1509</v>
      </c>
      <c r="D20" t="s">
        <v>852</v>
      </c>
      <c r="E20" t="s">
        <v>2949</v>
      </c>
      <c r="F20" t="s">
        <v>2090</v>
      </c>
      <c r="H20" t="s">
        <v>852</v>
      </c>
      <c r="I20" t="s">
        <v>336</v>
      </c>
      <c r="J20">
        <v>55987</v>
      </c>
      <c r="K20" t="s">
        <v>2090</v>
      </c>
      <c r="L20">
        <v>5074543650</v>
      </c>
      <c r="M20">
        <v>5074574159</v>
      </c>
      <c r="N20" t="s">
        <v>853</v>
      </c>
      <c r="O20" t="s">
        <v>854</v>
      </c>
      <c r="P20" t="s">
        <v>1051</v>
      </c>
      <c r="Q20" t="s">
        <v>855</v>
      </c>
      <c r="R20" t="s">
        <v>1914</v>
      </c>
      <c r="S20" t="s">
        <v>856</v>
      </c>
      <c r="T20" t="s">
        <v>857</v>
      </c>
      <c r="U20" t="s">
        <v>2163</v>
      </c>
      <c r="V20">
        <v>5074574398</v>
      </c>
      <c r="W20" t="s">
        <v>2090</v>
      </c>
      <c r="X20">
        <v>5074745169</v>
      </c>
      <c r="Y20" t="s">
        <v>858</v>
      </c>
      <c r="Z20" t="s">
        <v>2325</v>
      </c>
      <c r="AA20" t="s">
        <v>2170</v>
      </c>
      <c r="AB20" t="s">
        <v>852</v>
      </c>
      <c r="AC20" t="s">
        <v>336</v>
      </c>
      <c r="AD20">
        <v>55987</v>
      </c>
      <c r="AE20" t="s">
        <v>2170</v>
      </c>
      <c r="AF20" t="s">
        <v>852</v>
      </c>
      <c r="AG20" t="s">
        <v>860</v>
      </c>
      <c r="AH20" t="s">
        <v>351</v>
      </c>
      <c r="AI20" t="s">
        <v>2170</v>
      </c>
      <c r="AJ20">
        <v>0</v>
      </c>
      <c r="AK20" t="s">
        <v>2326</v>
      </c>
      <c r="AL20" t="s">
        <v>2327</v>
      </c>
      <c r="AM20" t="s">
        <v>2328</v>
      </c>
      <c r="AN20" t="s">
        <v>961</v>
      </c>
      <c r="AO20">
        <v>5074574415</v>
      </c>
      <c r="AP20" t="s">
        <v>2090</v>
      </c>
      <c r="AQ20">
        <v>5074745169</v>
      </c>
      <c r="AR20" t="s">
        <v>2329</v>
      </c>
      <c r="AS20" t="s">
        <v>2325</v>
      </c>
      <c r="AT20" t="s">
        <v>2170</v>
      </c>
      <c r="AU20" t="s">
        <v>859</v>
      </c>
      <c r="AV20" t="s">
        <v>336</v>
      </c>
      <c r="AW20">
        <v>55987</v>
      </c>
      <c r="AX20" t="s">
        <v>2170</v>
      </c>
      <c r="AY20" t="s">
        <v>2170</v>
      </c>
      <c r="AZ20" t="s">
        <v>2170</v>
      </c>
      <c r="BA20" t="s">
        <v>2170</v>
      </c>
      <c r="BB20" t="s">
        <v>2170</v>
      </c>
      <c r="BC20" t="s">
        <v>2170</v>
      </c>
      <c r="BD20" t="s">
        <v>2170</v>
      </c>
      <c r="BE20" t="s">
        <v>2170</v>
      </c>
      <c r="BF20" t="s">
        <v>2170</v>
      </c>
      <c r="BG20" t="s">
        <v>2170</v>
      </c>
      <c r="BH20" t="s">
        <v>2170</v>
      </c>
      <c r="BI20" t="s">
        <v>2170</v>
      </c>
      <c r="BJ20" t="s">
        <v>2170</v>
      </c>
      <c r="BK20" t="s">
        <v>2170</v>
      </c>
      <c r="BL20" t="s">
        <v>1510</v>
      </c>
      <c r="BM20" t="s">
        <v>1511</v>
      </c>
      <c r="BN20" t="s">
        <v>1318</v>
      </c>
      <c r="BO20">
        <v>5074743277</v>
      </c>
      <c r="BP20" t="s">
        <v>2090</v>
      </c>
      <c r="BQ20">
        <v>5074745169</v>
      </c>
      <c r="BR20" t="s">
        <v>1512</v>
      </c>
      <c r="BS20" t="s">
        <v>2325</v>
      </c>
      <c r="BT20" t="s">
        <v>2170</v>
      </c>
      <c r="BU20" t="s">
        <v>859</v>
      </c>
      <c r="BV20" t="s">
        <v>336</v>
      </c>
      <c r="BW20">
        <v>55987</v>
      </c>
      <c r="BX20" t="s">
        <v>2170</v>
      </c>
      <c r="BY20" t="s">
        <v>370</v>
      </c>
    </row>
    <row r="21" spans="1:77" customFormat="1" x14ac:dyDescent="0.2">
      <c r="A21" s="504">
        <v>28</v>
      </c>
      <c r="B21">
        <v>1548212699</v>
      </c>
      <c r="C21" t="s">
        <v>205</v>
      </c>
      <c r="D21" t="s">
        <v>206</v>
      </c>
      <c r="E21" t="s">
        <v>2950</v>
      </c>
      <c r="F21" t="s">
        <v>2090</v>
      </c>
      <c r="H21" t="s">
        <v>207</v>
      </c>
      <c r="I21" t="s">
        <v>336</v>
      </c>
      <c r="J21">
        <v>56359</v>
      </c>
      <c r="K21" t="s">
        <v>2090</v>
      </c>
      <c r="L21">
        <v>3205323154</v>
      </c>
      <c r="M21">
        <v>3205323111</v>
      </c>
      <c r="N21" t="s">
        <v>1237</v>
      </c>
      <c r="O21" t="s">
        <v>1081</v>
      </c>
      <c r="P21" t="s">
        <v>1069</v>
      </c>
      <c r="Q21" t="s">
        <v>1238</v>
      </c>
      <c r="R21" t="s">
        <v>1239</v>
      </c>
      <c r="S21" t="s">
        <v>1301</v>
      </c>
      <c r="T21" t="s">
        <v>1240</v>
      </c>
      <c r="U21" t="s">
        <v>180</v>
      </c>
      <c r="V21">
        <v>3205322581</v>
      </c>
      <c r="W21" t="s">
        <v>2090</v>
      </c>
      <c r="X21">
        <v>3205323111</v>
      </c>
      <c r="Y21" t="s">
        <v>1241</v>
      </c>
      <c r="Z21" t="s">
        <v>2170</v>
      </c>
      <c r="AA21" t="s">
        <v>1242</v>
      </c>
      <c r="AB21" t="s">
        <v>2170</v>
      </c>
      <c r="AC21" t="s">
        <v>1995</v>
      </c>
      <c r="AD21" t="s">
        <v>2170</v>
      </c>
      <c r="AE21" t="s">
        <v>2170</v>
      </c>
      <c r="AF21" t="s">
        <v>207</v>
      </c>
      <c r="AG21" t="s">
        <v>2031</v>
      </c>
      <c r="AH21" t="s">
        <v>351</v>
      </c>
      <c r="AI21" t="s">
        <v>2170</v>
      </c>
      <c r="AJ21">
        <v>1</v>
      </c>
      <c r="AK21" t="s">
        <v>1607</v>
      </c>
      <c r="AL21" t="s">
        <v>2170</v>
      </c>
      <c r="AM21" t="s">
        <v>2170</v>
      </c>
      <c r="AN21" t="s">
        <v>2170</v>
      </c>
      <c r="AO21" t="s">
        <v>2170</v>
      </c>
      <c r="AP21" t="s">
        <v>2170</v>
      </c>
      <c r="AQ21" t="s">
        <v>2170</v>
      </c>
      <c r="AR21" t="s">
        <v>2170</v>
      </c>
      <c r="AS21" t="s">
        <v>2170</v>
      </c>
      <c r="AT21" t="s">
        <v>2170</v>
      </c>
      <c r="AU21" t="s">
        <v>2170</v>
      </c>
      <c r="AV21" t="s">
        <v>2170</v>
      </c>
      <c r="AW21" t="s">
        <v>2170</v>
      </c>
      <c r="AX21" t="s">
        <v>2170</v>
      </c>
      <c r="AY21" t="s">
        <v>2170</v>
      </c>
      <c r="AZ21" t="s">
        <v>2170</v>
      </c>
      <c r="BA21" t="s">
        <v>2170</v>
      </c>
      <c r="BB21" t="s">
        <v>2170</v>
      </c>
      <c r="BC21" t="s">
        <v>2170</v>
      </c>
      <c r="BD21" t="s">
        <v>2170</v>
      </c>
      <c r="BE21" t="s">
        <v>2170</v>
      </c>
      <c r="BF21" t="s">
        <v>2170</v>
      </c>
      <c r="BG21" t="s">
        <v>2170</v>
      </c>
      <c r="BH21" t="s">
        <v>2170</v>
      </c>
      <c r="BI21" t="s">
        <v>2170</v>
      </c>
      <c r="BJ21" t="s">
        <v>2170</v>
      </c>
      <c r="BK21" t="s">
        <v>2170</v>
      </c>
      <c r="BL21" t="s">
        <v>1301</v>
      </c>
      <c r="BM21" t="s">
        <v>1240</v>
      </c>
      <c r="BN21" t="s">
        <v>180</v>
      </c>
      <c r="BO21">
        <v>3205322581</v>
      </c>
      <c r="BP21" t="s">
        <v>2090</v>
      </c>
      <c r="BQ21">
        <v>3205323111</v>
      </c>
      <c r="BR21" t="s">
        <v>1241</v>
      </c>
      <c r="BS21" t="s">
        <v>2170</v>
      </c>
      <c r="BT21" t="s">
        <v>1242</v>
      </c>
      <c r="BU21" t="s">
        <v>2170</v>
      </c>
      <c r="BV21" t="s">
        <v>1995</v>
      </c>
      <c r="BW21" t="s">
        <v>2170</v>
      </c>
      <c r="BX21" t="s">
        <v>2170</v>
      </c>
      <c r="BY21" t="s">
        <v>370</v>
      </c>
    </row>
    <row r="22" spans="1:77" customFormat="1" x14ac:dyDescent="0.2">
      <c r="A22" s="504">
        <v>29</v>
      </c>
      <c r="B22">
        <v>1992763858</v>
      </c>
      <c r="C22" t="s">
        <v>2604</v>
      </c>
      <c r="D22" t="s">
        <v>149</v>
      </c>
      <c r="E22" t="s">
        <v>1853</v>
      </c>
      <c r="F22" t="s">
        <v>2090</v>
      </c>
      <c r="H22" t="s">
        <v>977</v>
      </c>
      <c r="I22" t="s">
        <v>336</v>
      </c>
      <c r="J22">
        <v>55723</v>
      </c>
      <c r="K22">
        <v>9702</v>
      </c>
      <c r="L22">
        <v>2186665945</v>
      </c>
      <c r="M22">
        <v>2186666228</v>
      </c>
      <c r="N22" t="s">
        <v>2009</v>
      </c>
      <c r="O22" t="s">
        <v>2010</v>
      </c>
      <c r="P22" t="s">
        <v>270</v>
      </c>
      <c r="Q22" t="s">
        <v>2605</v>
      </c>
      <c r="R22" t="s">
        <v>1169</v>
      </c>
      <c r="S22" t="s">
        <v>150</v>
      </c>
      <c r="T22" t="s">
        <v>151</v>
      </c>
      <c r="U22" t="s">
        <v>341</v>
      </c>
      <c r="V22">
        <v>2186666263</v>
      </c>
      <c r="W22" t="s">
        <v>2090</v>
      </c>
      <c r="X22">
        <v>2186666228</v>
      </c>
      <c r="Y22" t="s">
        <v>2208</v>
      </c>
      <c r="Z22" t="s">
        <v>1853</v>
      </c>
      <c r="AA22" t="s">
        <v>2170</v>
      </c>
      <c r="AB22" t="s">
        <v>149</v>
      </c>
      <c r="AC22" t="s">
        <v>336</v>
      </c>
      <c r="AD22">
        <v>55723</v>
      </c>
      <c r="AE22">
        <v>9702</v>
      </c>
      <c r="AF22" t="s">
        <v>977</v>
      </c>
      <c r="AG22" t="s">
        <v>152</v>
      </c>
      <c r="AH22" t="s">
        <v>351</v>
      </c>
      <c r="AI22" t="s">
        <v>2170</v>
      </c>
      <c r="AJ22">
        <v>1</v>
      </c>
      <c r="AK22" t="s">
        <v>2113</v>
      </c>
      <c r="AL22" t="s">
        <v>2170</v>
      </c>
      <c r="AM22" t="s">
        <v>2170</v>
      </c>
      <c r="AN22" t="s">
        <v>2170</v>
      </c>
      <c r="AO22" t="s">
        <v>2170</v>
      </c>
      <c r="AP22" t="s">
        <v>2170</v>
      </c>
      <c r="AQ22" t="s">
        <v>2170</v>
      </c>
      <c r="AR22" t="s">
        <v>2170</v>
      </c>
      <c r="AS22" t="s">
        <v>2170</v>
      </c>
      <c r="AT22" t="s">
        <v>2170</v>
      </c>
      <c r="AU22" t="s">
        <v>2170</v>
      </c>
      <c r="AV22" t="s">
        <v>2170</v>
      </c>
      <c r="AW22" t="s">
        <v>2170</v>
      </c>
      <c r="AX22" t="s">
        <v>2170</v>
      </c>
      <c r="AY22" t="s">
        <v>2170</v>
      </c>
      <c r="AZ22" t="s">
        <v>2170</v>
      </c>
      <c r="BA22" t="s">
        <v>2170</v>
      </c>
      <c r="BB22" t="s">
        <v>2170</v>
      </c>
      <c r="BC22" t="s">
        <v>2170</v>
      </c>
      <c r="BD22" t="s">
        <v>2170</v>
      </c>
      <c r="BE22" t="s">
        <v>2170</v>
      </c>
      <c r="BF22" t="s">
        <v>2170</v>
      </c>
      <c r="BG22" t="s">
        <v>2170</v>
      </c>
      <c r="BH22" t="s">
        <v>2170</v>
      </c>
      <c r="BI22" t="s">
        <v>2170</v>
      </c>
      <c r="BJ22" t="s">
        <v>2170</v>
      </c>
      <c r="BK22" t="s">
        <v>2170</v>
      </c>
      <c r="BL22" t="s">
        <v>150</v>
      </c>
      <c r="BM22" t="s">
        <v>151</v>
      </c>
      <c r="BN22" t="s">
        <v>341</v>
      </c>
      <c r="BO22">
        <v>2186666263</v>
      </c>
      <c r="BP22" t="s">
        <v>2090</v>
      </c>
      <c r="BQ22">
        <v>2186666228</v>
      </c>
      <c r="BR22" t="s">
        <v>2208</v>
      </c>
      <c r="BS22" t="s">
        <v>1853</v>
      </c>
      <c r="BT22" t="s">
        <v>2170</v>
      </c>
      <c r="BU22" t="s">
        <v>149</v>
      </c>
      <c r="BV22" t="s">
        <v>336</v>
      </c>
      <c r="BW22">
        <v>55723</v>
      </c>
      <c r="BX22">
        <v>9702</v>
      </c>
      <c r="BY22" t="s">
        <v>368</v>
      </c>
    </row>
    <row r="23" spans="1:77" customFormat="1" x14ac:dyDescent="0.2">
      <c r="A23" s="504">
        <v>30</v>
      </c>
      <c r="B23">
        <v>1487712493</v>
      </c>
      <c r="C23" t="s">
        <v>2082</v>
      </c>
      <c r="D23" t="s">
        <v>441</v>
      </c>
      <c r="E23" t="s">
        <v>2951</v>
      </c>
      <c r="F23" t="s">
        <v>2090</v>
      </c>
      <c r="H23" t="s">
        <v>149</v>
      </c>
      <c r="I23" t="s">
        <v>336</v>
      </c>
      <c r="J23">
        <v>55604</v>
      </c>
      <c r="K23">
        <v>3017</v>
      </c>
      <c r="L23">
        <v>2183873040</v>
      </c>
      <c r="M23">
        <v>2183873289</v>
      </c>
      <c r="N23" t="s">
        <v>1608</v>
      </c>
      <c r="O23" t="s">
        <v>1609</v>
      </c>
      <c r="P23" t="s">
        <v>270</v>
      </c>
      <c r="Q23" t="s">
        <v>2127</v>
      </c>
      <c r="R23" t="s">
        <v>2952</v>
      </c>
      <c r="S23" t="s">
        <v>2607</v>
      </c>
      <c r="T23" t="s">
        <v>2608</v>
      </c>
      <c r="U23" t="s">
        <v>341</v>
      </c>
      <c r="V23">
        <v>2183873277</v>
      </c>
      <c r="W23" t="s">
        <v>2090</v>
      </c>
      <c r="X23">
        <v>2183873289</v>
      </c>
      <c r="Y23" t="s">
        <v>2953</v>
      </c>
      <c r="Z23" t="s">
        <v>2170</v>
      </c>
      <c r="AA23" t="s">
        <v>2170</v>
      </c>
      <c r="AB23" t="s">
        <v>2170</v>
      </c>
      <c r="AC23" t="s">
        <v>1995</v>
      </c>
      <c r="AD23" t="s">
        <v>2170</v>
      </c>
      <c r="AE23" t="s">
        <v>2170</v>
      </c>
      <c r="AF23" t="s">
        <v>2170</v>
      </c>
      <c r="AG23" t="s">
        <v>2954</v>
      </c>
      <c r="AH23" t="s">
        <v>351</v>
      </c>
      <c r="AI23" t="s">
        <v>2170</v>
      </c>
      <c r="AJ23">
        <v>1</v>
      </c>
      <c r="AK23" t="s">
        <v>2606</v>
      </c>
      <c r="AL23" t="s">
        <v>2170</v>
      </c>
      <c r="AM23" t="s">
        <v>2170</v>
      </c>
      <c r="AN23" t="s">
        <v>2170</v>
      </c>
      <c r="AO23" t="s">
        <v>2170</v>
      </c>
      <c r="AP23" t="s">
        <v>2170</v>
      </c>
      <c r="AQ23" t="s">
        <v>2170</v>
      </c>
      <c r="AR23" t="s">
        <v>2170</v>
      </c>
      <c r="AS23" t="s">
        <v>2170</v>
      </c>
      <c r="AT23" t="s">
        <v>2170</v>
      </c>
      <c r="AU23" t="s">
        <v>2170</v>
      </c>
      <c r="AV23" t="s">
        <v>2170</v>
      </c>
      <c r="AW23" t="s">
        <v>2170</v>
      </c>
      <c r="AX23" t="s">
        <v>2170</v>
      </c>
      <c r="AY23" t="s">
        <v>2170</v>
      </c>
      <c r="AZ23" t="s">
        <v>2170</v>
      </c>
      <c r="BA23" t="s">
        <v>2170</v>
      </c>
      <c r="BB23" t="s">
        <v>2170</v>
      </c>
      <c r="BC23" t="s">
        <v>2170</v>
      </c>
      <c r="BD23" t="s">
        <v>2170</v>
      </c>
      <c r="BE23" t="s">
        <v>2170</v>
      </c>
      <c r="BF23" t="s">
        <v>2170</v>
      </c>
      <c r="BG23" t="s">
        <v>2170</v>
      </c>
      <c r="BH23" t="s">
        <v>2170</v>
      </c>
      <c r="BI23" t="s">
        <v>2170</v>
      </c>
      <c r="BJ23" t="s">
        <v>2170</v>
      </c>
      <c r="BK23" t="s">
        <v>2170</v>
      </c>
      <c r="BL23" t="s">
        <v>2607</v>
      </c>
      <c r="BM23" t="s">
        <v>2608</v>
      </c>
      <c r="BN23" t="s">
        <v>341</v>
      </c>
      <c r="BO23">
        <v>2183873277</v>
      </c>
      <c r="BP23" t="s">
        <v>2090</v>
      </c>
      <c r="BQ23">
        <v>2183873289</v>
      </c>
      <c r="BR23" t="s">
        <v>2953</v>
      </c>
      <c r="BS23" t="s">
        <v>2170</v>
      </c>
      <c r="BT23" t="s">
        <v>2170</v>
      </c>
      <c r="BU23" t="s">
        <v>2170</v>
      </c>
      <c r="BV23" t="s">
        <v>1995</v>
      </c>
      <c r="BW23" t="s">
        <v>2170</v>
      </c>
      <c r="BX23" t="s">
        <v>2170</v>
      </c>
      <c r="BY23" t="s">
        <v>368</v>
      </c>
    </row>
    <row r="24" spans="1:77" customFormat="1" x14ac:dyDescent="0.2">
      <c r="A24" s="504">
        <v>31</v>
      </c>
      <c r="B24">
        <v>1538143896</v>
      </c>
      <c r="C24" t="s">
        <v>160</v>
      </c>
      <c r="D24" t="s">
        <v>161</v>
      </c>
      <c r="E24" t="s">
        <v>1985</v>
      </c>
      <c r="F24" t="s">
        <v>2090</v>
      </c>
      <c r="H24" t="s">
        <v>1075</v>
      </c>
      <c r="I24" t="s">
        <v>336</v>
      </c>
      <c r="J24">
        <v>56441</v>
      </c>
      <c r="K24">
        <v>1645</v>
      </c>
      <c r="L24">
        <v>2185467000</v>
      </c>
      <c r="M24">
        <v>2185467268</v>
      </c>
      <c r="N24" t="s">
        <v>1072</v>
      </c>
      <c r="O24" t="s">
        <v>162</v>
      </c>
      <c r="P24" t="s">
        <v>346</v>
      </c>
      <c r="Q24" t="s">
        <v>2210</v>
      </c>
      <c r="R24" t="s">
        <v>2609</v>
      </c>
      <c r="S24" t="s">
        <v>2211</v>
      </c>
      <c r="T24" t="s">
        <v>2212</v>
      </c>
      <c r="U24" t="s">
        <v>341</v>
      </c>
      <c r="V24">
        <v>2185464366</v>
      </c>
      <c r="W24" t="s">
        <v>2090</v>
      </c>
      <c r="X24">
        <v>2185467268</v>
      </c>
      <c r="Y24" t="s">
        <v>2213</v>
      </c>
      <c r="Z24" t="s">
        <v>1985</v>
      </c>
      <c r="AA24" t="s">
        <v>2170</v>
      </c>
      <c r="AB24" t="s">
        <v>163</v>
      </c>
      <c r="AC24" t="s">
        <v>336</v>
      </c>
      <c r="AD24">
        <v>56441</v>
      </c>
      <c r="AE24" t="s">
        <v>2170</v>
      </c>
      <c r="AF24" t="s">
        <v>2955</v>
      </c>
      <c r="AG24" t="s">
        <v>164</v>
      </c>
      <c r="AH24" t="s">
        <v>351</v>
      </c>
      <c r="AI24" t="s">
        <v>2170</v>
      </c>
      <c r="AJ24">
        <v>1</v>
      </c>
      <c r="AK24" t="s">
        <v>2610</v>
      </c>
      <c r="AL24" t="s">
        <v>2170</v>
      </c>
      <c r="AM24" t="s">
        <v>2170</v>
      </c>
      <c r="AN24" t="s">
        <v>2170</v>
      </c>
      <c r="AO24" t="s">
        <v>2170</v>
      </c>
      <c r="AP24" t="s">
        <v>2170</v>
      </c>
      <c r="AQ24" t="s">
        <v>2170</v>
      </c>
      <c r="AR24" t="s">
        <v>2170</v>
      </c>
      <c r="AS24" t="s">
        <v>2170</v>
      </c>
      <c r="AT24" t="s">
        <v>2170</v>
      </c>
      <c r="AU24" t="s">
        <v>2170</v>
      </c>
      <c r="AV24" t="s">
        <v>2170</v>
      </c>
      <c r="AW24" t="s">
        <v>2170</v>
      </c>
      <c r="AX24" t="s">
        <v>2170</v>
      </c>
      <c r="AY24" t="s">
        <v>2170</v>
      </c>
      <c r="AZ24" t="s">
        <v>2170</v>
      </c>
      <c r="BA24" t="s">
        <v>2170</v>
      </c>
      <c r="BB24" t="s">
        <v>2170</v>
      </c>
      <c r="BC24" t="s">
        <v>2170</v>
      </c>
      <c r="BD24" t="s">
        <v>2170</v>
      </c>
      <c r="BE24" t="s">
        <v>2170</v>
      </c>
      <c r="BF24" t="s">
        <v>2170</v>
      </c>
      <c r="BG24" t="s">
        <v>2170</v>
      </c>
      <c r="BH24" t="s">
        <v>2170</v>
      </c>
      <c r="BI24" t="s">
        <v>2170</v>
      </c>
      <c r="BJ24" t="s">
        <v>2170</v>
      </c>
      <c r="BK24" t="s">
        <v>2170</v>
      </c>
      <c r="BL24" t="s">
        <v>2211</v>
      </c>
      <c r="BM24" t="s">
        <v>2212</v>
      </c>
      <c r="BN24" t="s">
        <v>341</v>
      </c>
      <c r="BO24">
        <v>2185464366</v>
      </c>
      <c r="BP24" t="s">
        <v>2090</v>
      </c>
      <c r="BQ24">
        <v>2185467268</v>
      </c>
      <c r="BR24" t="s">
        <v>2213</v>
      </c>
      <c r="BS24" t="s">
        <v>1985</v>
      </c>
      <c r="BT24" t="s">
        <v>2170</v>
      </c>
      <c r="BU24" t="s">
        <v>163</v>
      </c>
      <c r="BV24" t="s">
        <v>336</v>
      </c>
      <c r="BW24">
        <v>56441</v>
      </c>
      <c r="BX24" t="s">
        <v>2170</v>
      </c>
      <c r="BY24" t="s">
        <v>370</v>
      </c>
    </row>
    <row r="25" spans="1:77" customFormat="1" x14ac:dyDescent="0.2">
      <c r="A25" s="504">
        <v>34</v>
      </c>
      <c r="B25">
        <v>1164424305</v>
      </c>
      <c r="C25" t="s">
        <v>2330</v>
      </c>
      <c r="D25" t="s">
        <v>959</v>
      </c>
      <c r="E25" t="s">
        <v>2173</v>
      </c>
      <c r="F25" t="s">
        <v>2090</v>
      </c>
      <c r="H25" t="s">
        <v>960</v>
      </c>
      <c r="I25" t="s">
        <v>336</v>
      </c>
      <c r="J25">
        <v>56308</v>
      </c>
      <c r="K25">
        <v>3703</v>
      </c>
      <c r="L25">
        <v>3207621511</v>
      </c>
      <c r="M25">
        <v>3207626101</v>
      </c>
      <c r="N25" t="s">
        <v>1610</v>
      </c>
      <c r="O25" t="s">
        <v>476</v>
      </c>
      <c r="P25" t="s">
        <v>270</v>
      </c>
      <c r="Q25" t="s">
        <v>1611</v>
      </c>
      <c r="R25" t="s">
        <v>1160</v>
      </c>
      <c r="S25" t="s">
        <v>2174</v>
      </c>
      <c r="T25" t="s">
        <v>1162</v>
      </c>
      <c r="U25" t="s">
        <v>341</v>
      </c>
      <c r="V25">
        <v>3207626052</v>
      </c>
      <c r="W25" t="s">
        <v>2090</v>
      </c>
      <c r="X25">
        <v>3207626120</v>
      </c>
      <c r="Y25" t="s">
        <v>2611</v>
      </c>
      <c r="Z25" t="s">
        <v>2612</v>
      </c>
      <c r="AA25" t="s">
        <v>2170</v>
      </c>
      <c r="AB25" t="s">
        <v>959</v>
      </c>
      <c r="AC25" t="s">
        <v>336</v>
      </c>
      <c r="AD25" t="s">
        <v>2170</v>
      </c>
      <c r="AE25" t="s">
        <v>2170</v>
      </c>
      <c r="AF25" t="s">
        <v>960</v>
      </c>
      <c r="AG25" t="s">
        <v>962</v>
      </c>
      <c r="AH25" t="s">
        <v>351</v>
      </c>
      <c r="AI25" t="s">
        <v>2170</v>
      </c>
      <c r="AJ25">
        <v>0</v>
      </c>
      <c r="AK25" t="s">
        <v>1612</v>
      </c>
      <c r="AL25" t="s">
        <v>1993</v>
      </c>
      <c r="AM25" t="s">
        <v>1994</v>
      </c>
      <c r="AN25" t="s">
        <v>967</v>
      </c>
      <c r="AO25">
        <v>3207626109</v>
      </c>
      <c r="AP25" t="s">
        <v>2090</v>
      </c>
      <c r="AQ25">
        <v>3207626164</v>
      </c>
      <c r="AR25" t="s">
        <v>2613</v>
      </c>
      <c r="AS25" t="s">
        <v>2170</v>
      </c>
      <c r="AT25" t="s">
        <v>2170</v>
      </c>
      <c r="AU25" t="s">
        <v>2170</v>
      </c>
      <c r="AV25" t="s">
        <v>1995</v>
      </c>
      <c r="AW25" t="s">
        <v>2170</v>
      </c>
      <c r="AX25" t="s">
        <v>2170</v>
      </c>
      <c r="AY25" t="s">
        <v>2170</v>
      </c>
      <c r="AZ25" t="s">
        <v>2170</v>
      </c>
      <c r="BA25" t="s">
        <v>2170</v>
      </c>
      <c r="BB25" t="s">
        <v>2170</v>
      </c>
      <c r="BC25" t="s">
        <v>2170</v>
      </c>
      <c r="BD25" t="s">
        <v>2170</v>
      </c>
      <c r="BE25" t="s">
        <v>2170</v>
      </c>
      <c r="BF25" t="s">
        <v>2170</v>
      </c>
      <c r="BG25" t="s">
        <v>2170</v>
      </c>
      <c r="BH25" t="s">
        <v>2170</v>
      </c>
      <c r="BI25" t="s">
        <v>2170</v>
      </c>
      <c r="BJ25" t="s">
        <v>2170</v>
      </c>
      <c r="BK25" t="s">
        <v>2170</v>
      </c>
      <c r="BL25" t="s">
        <v>1161</v>
      </c>
      <c r="BM25" t="s">
        <v>1162</v>
      </c>
      <c r="BN25" t="s">
        <v>341</v>
      </c>
      <c r="BO25">
        <v>3207626052</v>
      </c>
      <c r="BP25" t="s">
        <v>2090</v>
      </c>
      <c r="BQ25">
        <v>3207626120</v>
      </c>
      <c r="BR25" t="s">
        <v>2611</v>
      </c>
      <c r="BS25" t="s">
        <v>2170</v>
      </c>
      <c r="BT25" t="s">
        <v>2170</v>
      </c>
      <c r="BU25" t="s">
        <v>2170</v>
      </c>
      <c r="BV25" t="s">
        <v>336</v>
      </c>
      <c r="BW25" t="s">
        <v>2170</v>
      </c>
      <c r="BX25" t="s">
        <v>2170</v>
      </c>
      <c r="BY25" t="s">
        <v>365</v>
      </c>
    </row>
    <row r="26" spans="1:77" customFormat="1" x14ac:dyDescent="0.2">
      <c r="A26" s="504">
        <v>35</v>
      </c>
      <c r="B26">
        <v>1942253547</v>
      </c>
      <c r="C26" t="s">
        <v>1613</v>
      </c>
      <c r="D26" t="s">
        <v>839</v>
      </c>
      <c r="E26" t="s">
        <v>2956</v>
      </c>
      <c r="F26" t="s">
        <v>2090</v>
      </c>
      <c r="H26" t="s">
        <v>840</v>
      </c>
      <c r="I26" t="s">
        <v>336</v>
      </c>
      <c r="J26">
        <v>56183</v>
      </c>
      <c r="K26">
        <v>9669</v>
      </c>
      <c r="L26">
        <v>5072746121</v>
      </c>
      <c r="M26">
        <v>5072745671</v>
      </c>
      <c r="N26" t="s">
        <v>168</v>
      </c>
      <c r="O26" t="s">
        <v>1250</v>
      </c>
      <c r="P26" t="s">
        <v>346</v>
      </c>
      <c r="Q26" t="s">
        <v>2064</v>
      </c>
      <c r="R26" t="s">
        <v>2809</v>
      </c>
      <c r="S26" t="s">
        <v>1650</v>
      </c>
      <c r="T26" t="s">
        <v>2957</v>
      </c>
      <c r="U26" t="s">
        <v>1684</v>
      </c>
      <c r="V26">
        <v>7012344906</v>
      </c>
      <c r="W26" t="s">
        <v>2090</v>
      </c>
      <c r="X26">
        <v>7012342045</v>
      </c>
      <c r="Y26" t="s">
        <v>2958</v>
      </c>
      <c r="Z26" t="s">
        <v>2959</v>
      </c>
      <c r="AA26" t="s">
        <v>2170</v>
      </c>
      <c r="AB26" t="s">
        <v>1420</v>
      </c>
      <c r="AC26" t="s">
        <v>440</v>
      </c>
      <c r="AD26">
        <v>58122</v>
      </c>
      <c r="AE26" t="s">
        <v>2170</v>
      </c>
      <c r="AF26" t="s">
        <v>2960</v>
      </c>
      <c r="AG26" t="s">
        <v>841</v>
      </c>
      <c r="AH26" t="s">
        <v>1274</v>
      </c>
      <c r="AI26" t="s">
        <v>342</v>
      </c>
      <c r="AJ26">
        <v>1</v>
      </c>
      <c r="AK26" t="s">
        <v>1614</v>
      </c>
      <c r="AL26" t="s">
        <v>2170</v>
      </c>
      <c r="AM26" t="s">
        <v>2170</v>
      </c>
      <c r="AN26" t="s">
        <v>2170</v>
      </c>
      <c r="AO26" t="s">
        <v>2170</v>
      </c>
      <c r="AP26" t="s">
        <v>2170</v>
      </c>
      <c r="AQ26" t="s">
        <v>2170</v>
      </c>
      <c r="AR26" t="s">
        <v>2170</v>
      </c>
      <c r="AS26" t="s">
        <v>2170</v>
      </c>
      <c r="AT26" t="s">
        <v>2170</v>
      </c>
      <c r="AU26" t="s">
        <v>2170</v>
      </c>
      <c r="AV26" t="s">
        <v>2170</v>
      </c>
      <c r="AW26" t="s">
        <v>2170</v>
      </c>
      <c r="AX26" t="s">
        <v>2170</v>
      </c>
      <c r="AY26" t="s">
        <v>2170</v>
      </c>
      <c r="AZ26" t="s">
        <v>2170</v>
      </c>
      <c r="BA26" t="s">
        <v>2170</v>
      </c>
      <c r="BB26" t="s">
        <v>2170</v>
      </c>
      <c r="BC26" t="s">
        <v>2170</v>
      </c>
      <c r="BD26" t="s">
        <v>2170</v>
      </c>
      <c r="BE26" t="s">
        <v>2170</v>
      </c>
      <c r="BF26" t="s">
        <v>2170</v>
      </c>
      <c r="BG26" t="s">
        <v>2170</v>
      </c>
      <c r="BH26" t="s">
        <v>2170</v>
      </c>
      <c r="BI26" t="s">
        <v>2170</v>
      </c>
      <c r="BJ26" t="s">
        <v>2170</v>
      </c>
      <c r="BK26" t="s">
        <v>2170</v>
      </c>
      <c r="BL26" t="s">
        <v>168</v>
      </c>
      <c r="BM26" t="s">
        <v>1250</v>
      </c>
      <c r="BN26" t="s">
        <v>346</v>
      </c>
      <c r="BO26">
        <v>5072124136</v>
      </c>
      <c r="BP26" t="s">
        <v>2090</v>
      </c>
      <c r="BQ26">
        <v>5076293202</v>
      </c>
      <c r="BR26" t="s">
        <v>2064</v>
      </c>
      <c r="BS26" t="s">
        <v>2309</v>
      </c>
      <c r="BT26" t="s">
        <v>2170</v>
      </c>
      <c r="BU26" t="s">
        <v>1506</v>
      </c>
      <c r="BV26" t="s">
        <v>336</v>
      </c>
      <c r="BW26">
        <v>56175</v>
      </c>
      <c r="BX26" t="s">
        <v>2170</v>
      </c>
      <c r="BY26" t="s">
        <v>371</v>
      </c>
    </row>
    <row r="27" spans="1:77" customFormat="1" x14ac:dyDescent="0.2">
      <c r="A27" s="504">
        <v>37</v>
      </c>
      <c r="B27">
        <v>1770542904</v>
      </c>
      <c r="C27" t="s">
        <v>2016</v>
      </c>
      <c r="D27" t="s">
        <v>415</v>
      </c>
      <c r="E27" t="s">
        <v>2961</v>
      </c>
      <c r="F27" t="s">
        <v>2090</v>
      </c>
      <c r="H27" t="s">
        <v>977</v>
      </c>
      <c r="I27" t="s">
        <v>336</v>
      </c>
      <c r="J27">
        <v>55731</v>
      </c>
      <c r="K27">
        <v>1145</v>
      </c>
      <c r="L27">
        <v>2183653271</v>
      </c>
      <c r="M27">
        <v>2183658777</v>
      </c>
      <c r="N27" t="s">
        <v>2962</v>
      </c>
      <c r="O27" t="s">
        <v>2963</v>
      </c>
      <c r="P27" t="s">
        <v>346</v>
      </c>
      <c r="Q27" t="s">
        <v>2964</v>
      </c>
      <c r="R27" t="s">
        <v>2965</v>
      </c>
      <c r="S27" t="s">
        <v>2966</v>
      </c>
      <c r="T27" t="s">
        <v>2967</v>
      </c>
      <c r="U27" t="s">
        <v>341</v>
      </c>
      <c r="V27">
        <v>2183658760</v>
      </c>
      <c r="W27" t="s">
        <v>2090</v>
      </c>
      <c r="X27">
        <v>2183658777</v>
      </c>
      <c r="Y27" t="s">
        <v>2968</v>
      </c>
      <c r="Z27" t="s">
        <v>2220</v>
      </c>
      <c r="AA27" t="s">
        <v>2170</v>
      </c>
      <c r="AB27" t="s">
        <v>415</v>
      </c>
      <c r="AC27" t="s">
        <v>336</v>
      </c>
      <c r="AD27">
        <v>55731</v>
      </c>
      <c r="AE27" t="s">
        <v>2170</v>
      </c>
      <c r="AF27" t="s">
        <v>977</v>
      </c>
      <c r="AG27" t="s">
        <v>1615</v>
      </c>
      <c r="AH27" t="s">
        <v>351</v>
      </c>
      <c r="AI27" t="s">
        <v>2170</v>
      </c>
      <c r="AJ27">
        <v>1</v>
      </c>
      <c r="AK27" t="s">
        <v>2123</v>
      </c>
      <c r="AL27" t="s">
        <v>2966</v>
      </c>
      <c r="AM27" t="s">
        <v>2967</v>
      </c>
      <c r="AN27" t="s">
        <v>341</v>
      </c>
      <c r="AO27">
        <v>2183658760</v>
      </c>
      <c r="AP27" t="s">
        <v>2090</v>
      </c>
      <c r="AQ27">
        <v>2183658777</v>
      </c>
      <c r="AR27" t="s">
        <v>2968</v>
      </c>
      <c r="AS27" t="s">
        <v>2220</v>
      </c>
      <c r="AT27" t="s">
        <v>2170</v>
      </c>
      <c r="AU27" t="s">
        <v>415</v>
      </c>
      <c r="AV27" t="s">
        <v>336</v>
      </c>
      <c r="AW27">
        <v>55731</v>
      </c>
      <c r="AX27" t="s">
        <v>2170</v>
      </c>
      <c r="AY27" t="s">
        <v>2170</v>
      </c>
      <c r="AZ27" t="s">
        <v>2170</v>
      </c>
      <c r="BA27" t="s">
        <v>2170</v>
      </c>
      <c r="BB27" t="s">
        <v>2170</v>
      </c>
      <c r="BC27" t="s">
        <v>2170</v>
      </c>
      <c r="BD27" t="s">
        <v>2170</v>
      </c>
      <c r="BE27" t="s">
        <v>2170</v>
      </c>
      <c r="BF27" t="s">
        <v>2170</v>
      </c>
      <c r="BG27" t="s">
        <v>2170</v>
      </c>
      <c r="BH27" t="s">
        <v>2170</v>
      </c>
      <c r="BI27" t="s">
        <v>2170</v>
      </c>
      <c r="BJ27" t="s">
        <v>2170</v>
      </c>
      <c r="BK27" t="s">
        <v>2170</v>
      </c>
      <c r="BL27" t="s">
        <v>2966</v>
      </c>
      <c r="BM27" t="s">
        <v>2967</v>
      </c>
      <c r="BN27" t="s">
        <v>341</v>
      </c>
      <c r="BO27">
        <v>2183658760</v>
      </c>
      <c r="BP27" t="s">
        <v>2090</v>
      </c>
      <c r="BQ27">
        <v>2183658777</v>
      </c>
      <c r="BR27" t="s">
        <v>2968</v>
      </c>
      <c r="BS27" t="s">
        <v>2220</v>
      </c>
      <c r="BT27" t="s">
        <v>2170</v>
      </c>
      <c r="BU27" t="s">
        <v>415</v>
      </c>
      <c r="BV27" t="s">
        <v>336</v>
      </c>
      <c r="BW27">
        <v>55731</v>
      </c>
      <c r="BX27" t="s">
        <v>2170</v>
      </c>
      <c r="BY27" t="s">
        <v>370</v>
      </c>
    </row>
    <row r="28" spans="1:77" customFormat="1" x14ac:dyDescent="0.2">
      <c r="A28" s="504">
        <v>39</v>
      </c>
      <c r="B28">
        <v>1821066499</v>
      </c>
      <c r="C28" t="s">
        <v>2614</v>
      </c>
      <c r="D28" t="s">
        <v>416</v>
      </c>
      <c r="E28" t="s">
        <v>1868</v>
      </c>
      <c r="F28" t="s">
        <v>2090</v>
      </c>
      <c r="H28" t="s">
        <v>417</v>
      </c>
      <c r="I28" t="s">
        <v>336</v>
      </c>
      <c r="J28">
        <v>56031</v>
      </c>
      <c r="K28" t="s">
        <v>2090</v>
      </c>
      <c r="L28">
        <v>5072388100</v>
      </c>
      <c r="M28">
        <v>5072388686</v>
      </c>
      <c r="N28" t="s">
        <v>957</v>
      </c>
      <c r="O28" t="s">
        <v>2221</v>
      </c>
      <c r="P28" t="s">
        <v>1617</v>
      </c>
      <c r="Q28" t="s">
        <v>2222</v>
      </c>
      <c r="R28" t="s">
        <v>2902</v>
      </c>
      <c r="S28" t="s">
        <v>1631</v>
      </c>
      <c r="T28" t="s">
        <v>1632</v>
      </c>
      <c r="U28" t="s">
        <v>2172</v>
      </c>
      <c r="V28">
        <v>5075947197</v>
      </c>
      <c r="W28" t="s">
        <v>2090</v>
      </c>
      <c r="X28">
        <v>5075944874</v>
      </c>
      <c r="Y28" t="s">
        <v>1633</v>
      </c>
      <c r="Z28" t="s">
        <v>2903</v>
      </c>
      <c r="AA28" t="s">
        <v>357</v>
      </c>
      <c r="AB28" t="s">
        <v>193</v>
      </c>
      <c r="AC28" t="s">
        <v>336</v>
      </c>
      <c r="AD28">
        <v>56001</v>
      </c>
      <c r="AE28" t="s">
        <v>2170</v>
      </c>
      <c r="AF28" t="s">
        <v>194</v>
      </c>
      <c r="AG28" t="s">
        <v>1618</v>
      </c>
      <c r="AH28" t="s">
        <v>958</v>
      </c>
      <c r="AI28" t="s">
        <v>953</v>
      </c>
      <c r="AJ28">
        <v>0</v>
      </c>
      <c r="AK28" t="s">
        <v>2969</v>
      </c>
      <c r="AL28" t="s">
        <v>117</v>
      </c>
      <c r="AM28" t="s">
        <v>2905</v>
      </c>
      <c r="AN28" t="s">
        <v>2906</v>
      </c>
      <c r="AO28">
        <v>5074341069</v>
      </c>
      <c r="AP28" t="s">
        <v>2090</v>
      </c>
      <c r="AQ28">
        <v>5074341432</v>
      </c>
      <c r="AR28" t="s">
        <v>2907</v>
      </c>
      <c r="AS28" t="s">
        <v>2472</v>
      </c>
      <c r="AT28" t="s">
        <v>2170</v>
      </c>
      <c r="AU28" t="s">
        <v>2469</v>
      </c>
      <c r="AV28" t="s">
        <v>336</v>
      </c>
      <c r="AW28">
        <v>55912</v>
      </c>
      <c r="AX28" t="s">
        <v>2170</v>
      </c>
      <c r="AY28" t="s">
        <v>2170</v>
      </c>
      <c r="AZ28" t="s">
        <v>2170</v>
      </c>
      <c r="BA28" t="s">
        <v>2170</v>
      </c>
      <c r="BB28" t="s">
        <v>2170</v>
      </c>
      <c r="BC28" t="s">
        <v>2170</v>
      </c>
      <c r="BD28" t="s">
        <v>2170</v>
      </c>
      <c r="BE28" t="s">
        <v>2170</v>
      </c>
      <c r="BF28" t="s">
        <v>2170</v>
      </c>
      <c r="BG28" t="s">
        <v>2170</v>
      </c>
      <c r="BH28" t="s">
        <v>2170</v>
      </c>
      <c r="BI28" t="s">
        <v>2170</v>
      </c>
      <c r="BJ28" t="s">
        <v>2170</v>
      </c>
      <c r="BK28" t="s">
        <v>2170</v>
      </c>
      <c r="BL28" t="s">
        <v>1631</v>
      </c>
      <c r="BM28" t="s">
        <v>1632</v>
      </c>
      <c r="BN28" t="s">
        <v>2172</v>
      </c>
      <c r="BO28">
        <v>5075947197</v>
      </c>
      <c r="BP28" t="s">
        <v>2090</v>
      </c>
      <c r="BQ28">
        <v>5075944874</v>
      </c>
      <c r="BR28" t="s">
        <v>1633</v>
      </c>
      <c r="BS28" t="s">
        <v>2903</v>
      </c>
      <c r="BT28" t="s">
        <v>357</v>
      </c>
      <c r="BU28" t="s">
        <v>193</v>
      </c>
      <c r="BV28" t="s">
        <v>336</v>
      </c>
      <c r="BW28">
        <v>56001</v>
      </c>
      <c r="BX28" t="s">
        <v>2170</v>
      </c>
      <c r="BY28" t="s">
        <v>370</v>
      </c>
    </row>
    <row r="29" spans="1:77" customFormat="1" x14ac:dyDescent="0.2">
      <c r="A29" s="504">
        <v>41</v>
      </c>
      <c r="B29">
        <v>1922085299</v>
      </c>
      <c r="C29" t="s">
        <v>2615</v>
      </c>
      <c r="D29" t="s">
        <v>259</v>
      </c>
      <c r="E29" t="s">
        <v>2616</v>
      </c>
      <c r="F29" t="s">
        <v>2090</v>
      </c>
      <c r="H29" t="s">
        <v>260</v>
      </c>
      <c r="I29" t="s">
        <v>336</v>
      </c>
      <c r="J29">
        <v>55371</v>
      </c>
      <c r="K29">
        <v>2172</v>
      </c>
      <c r="L29">
        <v>7633891313</v>
      </c>
      <c r="M29">
        <v>7633896306</v>
      </c>
      <c r="N29" t="s">
        <v>2624</v>
      </c>
      <c r="O29" t="s">
        <v>2620</v>
      </c>
      <c r="P29" t="s">
        <v>2621</v>
      </c>
      <c r="Q29" t="s">
        <v>2885</v>
      </c>
      <c r="R29" t="s">
        <v>2587</v>
      </c>
      <c r="S29" t="s">
        <v>2970</v>
      </c>
      <c r="T29" t="s">
        <v>2971</v>
      </c>
      <c r="U29" t="s">
        <v>2972</v>
      </c>
      <c r="V29">
        <v>6126725963</v>
      </c>
      <c r="W29" t="s">
        <v>2090</v>
      </c>
      <c r="X29">
        <v>6126726986</v>
      </c>
      <c r="Y29" t="s">
        <v>2973</v>
      </c>
      <c r="Z29" t="s">
        <v>2888</v>
      </c>
      <c r="AA29" t="s">
        <v>2170</v>
      </c>
      <c r="AB29" t="s">
        <v>2177</v>
      </c>
      <c r="AC29" t="s">
        <v>336</v>
      </c>
      <c r="AD29">
        <v>55104</v>
      </c>
      <c r="AE29" t="s">
        <v>2170</v>
      </c>
      <c r="AF29" t="s">
        <v>866</v>
      </c>
      <c r="AG29" t="s">
        <v>130</v>
      </c>
      <c r="AH29" t="s">
        <v>2773</v>
      </c>
      <c r="AI29" t="s">
        <v>953</v>
      </c>
      <c r="AJ29">
        <v>0</v>
      </c>
      <c r="AK29" t="s">
        <v>2617</v>
      </c>
      <c r="AL29" t="s">
        <v>2974</v>
      </c>
      <c r="AM29" t="s">
        <v>2975</v>
      </c>
      <c r="AN29" t="s">
        <v>2591</v>
      </c>
      <c r="AO29">
        <v>6126724660</v>
      </c>
      <c r="AP29" t="s">
        <v>2090</v>
      </c>
      <c r="AQ29">
        <v>6126726986</v>
      </c>
      <c r="AR29" t="s">
        <v>2976</v>
      </c>
      <c r="AS29" t="s">
        <v>2888</v>
      </c>
      <c r="AT29" t="s">
        <v>2170</v>
      </c>
      <c r="AU29" t="s">
        <v>2177</v>
      </c>
      <c r="AV29" t="s">
        <v>336</v>
      </c>
      <c r="AW29">
        <v>55104</v>
      </c>
      <c r="AX29" t="s">
        <v>2170</v>
      </c>
      <c r="AY29" t="s">
        <v>1620</v>
      </c>
      <c r="AZ29" t="s">
        <v>2890</v>
      </c>
      <c r="BA29" t="s">
        <v>2007</v>
      </c>
      <c r="BB29">
        <v>6126727067</v>
      </c>
      <c r="BC29" t="s">
        <v>2090</v>
      </c>
      <c r="BD29">
        <v>6126726986</v>
      </c>
      <c r="BE29" t="s">
        <v>1313</v>
      </c>
      <c r="BF29" t="s">
        <v>2889</v>
      </c>
      <c r="BG29" t="s">
        <v>2170</v>
      </c>
      <c r="BH29" t="s">
        <v>2307</v>
      </c>
      <c r="BI29" t="s">
        <v>1995</v>
      </c>
      <c r="BJ29">
        <v>55104</v>
      </c>
      <c r="BK29" t="s">
        <v>2170</v>
      </c>
      <c r="BL29" t="s">
        <v>2891</v>
      </c>
      <c r="BM29" t="s">
        <v>2892</v>
      </c>
      <c r="BN29" t="s">
        <v>2203</v>
      </c>
      <c r="BO29">
        <v>6126724923</v>
      </c>
      <c r="BP29" t="s">
        <v>2090</v>
      </c>
      <c r="BQ29" t="s">
        <v>2090</v>
      </c>
      <c r="BR29" t="s">
        <v>2893</v>
      </c>
      <c r="BS29" t="s">
        <v>2894</v>
      </c>
      <c r="BT29" t="s">
        <v>2170</v>
      </c>
      <c r="BU29" t="s">
        <v>2177</v>
      </c>
      <c r="BV29" t="s">
        <v>336</v>
      </c>
      <c r="BW29">
        <v>55104</v>
      </c>
      <c r="BX29" t="s">
        <v>2170</v>
      </c>
      <c r="BY29" t="s">
        <v>370</v>
      </c>
    </row>
    <row r="30" spans="1:77" customFormat="1" x14ac:dyDescent="0.2">
      <c r="A30" s="504">
        <v>42</v>
      </c>
      <c r="B30">
        <v>1245217520</v>
      </c>
      <c r="C30" t="s">
        <v>2618</v>
      </c>
      <c r="D30" t="s">
        <v>126</v>
      </c>
      <c r="E30" t="s">
        <v>2619</v>
      </c>
      <c r="F30" t="s">
        <v>2090</v>
      </c>
      <c r="H30" t="s">
        <v>127</v>
      </c>
      <c r="I30" t="s">
        <v>336</v>
      </c>
      <c r="J30">
        <v>55337</v>
      </c>
      <c r="K30">
        <v>5714</v>
      </c>
      <c r="L30">
        <v>9528922000</v>
      </c>
      <c r="M30">
        <v>9528922107</v>
      </c>
      <c r="N30" t="s">
        <v>2624</v>
      </c>
      <c r="O30" t="s">
        <v>2620</v>
      </c>
      <c r="P30" t="s">
        <v>2977</v>
      </c>
      <c r="Q30" t="s">
        <v>2885</v>
      </c>
      <c r="R30" t="s">
        <v>2587</v>
      </c>
      <c r="S30" t="s">
        <v>128</v>
      </c>
      <c r="T30" t="s">
        <v>1167</v>
      </c>
      <c r="U30" t="s">
        <v>1621</v>
      </c>
      <c r="V30">
        <v>6126726053</v>
      </c>
      <c r="W30" t="s">
        <v>2090</v>
      </c>
      <c r="X30">
        <v>6126726986</v>
      </c>
      <c r="Y30" t="s">
        <v>1168</v>
      </c>
      <c r="Z30" t="s">
        <v>2894</v>
      </c>
      <c r="AA30" t="s">
        <v>2170</v>
      </c>
      <c r="AB30" t="s">
        <v>968</v>
      </c>
      <c r="AC30" t="s">
        <v>336</v>
      </c>
      <c r="AD30">
        <v>55104</v>
      </c>
      <c r="AE30" t="s">
        <v>2170</v>
      </c>
      <c r="AF30" t="s">
        <v>2978</v>
      </c>
      <c r="AG30" t="s">
        <v>130</v>
      </c>
      <c r="AH30" t="s">
        <v>2773</v>
      </c>
      <c r="AI30" t="s">
        <v>953</v>
      </c>
      <c r="AJ30">
        <v>0</v>
      </c>
      <c r="AK30" t="s">
        <v>2622</v>
      </c>
      <c r="AL30" t="s">
        <v>204</v>
      </c>
      <c r="AM30" t="s">
        <v>1267</v>
      </c>
      <c r="AN30" t="s">
        <v>2591</v>
      </c>
      <c r="AO30">
        <v>6126726736</v>
      </c>
      <c r="AP30" t="s">
        <v>2090</v>
      </c>
      <c r="AQ30" t="s">
        <v>2090</v>
      </c>
      <c r="AR30" t="s">
        <v>2979</v>
      </c>
      <c r="AS30" t="s">
        <v>2980</v>
      </c>
      <c r="AT30" t="s">
        <v>2170</v>
      </c>
      <c r="AU30" t="s">
        <v>968</v>
      </c>
      <c r="AV30" t="s">
        <v>336</v>
      </c>
      <c r="AW30">
        <v>55104</v>
      </c>
      <c r="AX30">
        <v>3727</v>
      </c>
      <c r="AY30" t="s">
        <v>1620</v>
      </c>
      <c r="AZ30" t="s">
        <v>2890</v>
      </c>
      <c r="BA30" t="s">
        <v>2007</v>
      </c>
      <c r="BB30">
        <v>6126727067</v>
      </c>
      <c r="BC30" t="s">
        <v>2090</v>
      </c>
      <c r="BD30">
        <v>6126726986</v>
      </c>
      <c r="BE30" t="s">
        <v>1313</v>
      </c>
      <c r="BF30" t="s">
        <v>2889</v>
      </c>
      <c r="BG30" t="s">
        <v>2170</v>
      </c>
      <c r="BH30" t="s">
        <v>2307</v>
      </c>
      <c r="BI30" t="s">
        <v>1995</v>
      </c>
      <c r="BJ30">
        <v>55104</v>
      </c>
      <c r="BK30" t="s">
        <v>2170</v>
      </c>
      <c r="BL30" t="s">
        <v>264</v>
      </c>
      <c r="BM30" t="s">
        <v>2892</v>
      </c>
      <c r="BN30" t="s">
        <v>2981</v>
      </c>
      <c r="BO30">
        <v>6127855224</v>
      </c>
      <c r="BP30" t="s">
        <v>2090</v>
      </c>
      <c r="BQ30">
        <v>6126727734</v>
      </c>
      <c r="BR30" t="s">
        <v>2893</v>
      </c>
      <c r="BS30" t="s">
        <v>2894</v>
      </c>
      <c r="BT30" t="s">
        <v>2170</v>
      </c>
      <c r="BU30" t="s">
        <v>2177</v>
      </c>
      <c r="BV30" t="s">
        <v>336</v>
      </c>
      <c r="BW30">
        <v>55104</v>
      </c>
      <c r="BX30" t="s">
        <v>2170</v>
      </c>
      <c r="BY30" t="s">
        <v>370</v>
      </c>
    </row>
    <row r="31" spans="1:77" customFormat="1" x14ac:dyDescent="0.2">
      <c r="A31" s="504">
        <v>44</v>
      </c>
      <c r="B31">
        <v>1699752915</v>
      </c>
      <c r="C31" t="s">
        <v>2623</v>
      </c>
      <c r="D31" t="s">
        <v>410</v>
      </c>
      <c r="E31" t="s">
        <v>1967</v>
      </c>
      <c r="F31" t="s">
        <v>2090</v>
      </c>
      <c r="H31" t="s">
        <v>129</v>
      </c>
      <c r="I31" t="s">
        <v>336</v>
      </c>
      <c r="J31">
        <v>55435</v>
      </c>
      <c r="K31">
        <v>2104</v>
      </c>
      <c r="L31">
        <v>9529245000</v>
      </c>
      <c r="M31">
        <v>9529245382</v>
      </c>
      <c r="N31" t="s">
        <v>2624</v>
      </c>
      <c r="O31" t="s">
        <v>2620</v>
      </c>
      <c r="P31" t="s">
        <v>2621</v>
      </c>
      <c r="Q31" t="s">
        <v>2885</v>
      </c>
      <c r="R31" t="s">
        <v>2587</v>
      </c>
      <c r="S31" t="s">
        <v>128</v>
      </c>
      <c r="T31" t="s">
        <v>1167</v>
      </c>
      <c r="U31" t="s">
        <v>1621</v>
      </c>
      <c r="V31">
        <v>6126726053</v>
      </c>
      <c r="W31" t="s">
        <v>2090</v>
      </c>
      <c r="X31">
        <v>6126726986</v>
      </c>
      <c r="Y31" t="s">
        <v>2982</v>
      </c>
      <c r="Z31" t="s">
        <v>2894</v>
      </c>
      <c r="AA31" t="s">
        <v>2170</v>
      </c>
      <c r="AB31" t="s">
        <v>968</v>
      </c>
      <c r="AC31" t="s">
        <v>336</v>
      </c>
      <c r="AD31">
        <v>55104</v>
      </c>
      <c r="AE31" t="s">
        <v>2170</v>
      </c>
      <c r="AF31" t="s">
        <v>2978</v>
      </c>
      <c r="AG31" t="s">
        <v>130</v>
      </c>
      <c r="AH31" t="s">
        <v>2773</v>
      </c>
      <c r="AI31" t="s">
        <v>953</v>
      </c>
      <c r="AJ31">
        <v>0</v>
      </c>
      <c r="AK31" t="s">
        <v>2625</v>
      </c>
      <c r="AL31" t="s">
        <v>204</v>
      </c>
      <c r="AM31" t="s">
        <v>1267</v>
      </c>
      <c r="AN31" t="s">
        <v>2591</v>
      </c>
      <c r="AO31">
        <v>6126726736</v>
      </c>
      <c r="AP31" t="s">
        <v>2090</v>
      </c>
      <c r="AQ31" t="s">
        <v>2090</v>
      </c>
      <c r="AR31" t="s">
        <v>2979</v>
      </c>
      <c r="AS31" t="s">
        <v>2980</v>
      </c>
      <c r="AT31" t="s">
        <v>2170</v>
      </c>
      <c r="AU31" t="s">
        <v>968</v>
      </c>
      <c r="AV31" t="s">
        <v>336</v>
      </c>
      <c r="AW31">
        <v>55104</v>
      </c>
      <c r="AX31">
        <v>3727</v>
      </c>
      <c r="AY31" t="s">
        <v>1620</v>
      </c>
      <c r="AZ31" t="s">
        <v>2890</v>
      </c>
      <c r="BA31" t="s">
        <v>2007</v>
      </c>
      <c r="BB31">
        <v>6126727067</v>
      </c>
      <c r="BC31" t="s">
        <v>2090</v>
      </c>
      <c r="BD31">
        <v>6126726986</v>
      </c>
      <c r="BE31" t="s">
        <v>1313</v>
      </c>
      <c r="BF31" t="s">
        <v>2889</v>
      </c>
      <c r="BG31" t="s">
        <v>2170</v>
      </c>
      <c r="BH31" t="s">
        <v>2307</v>
      </c>
      <c r="BI31" t="s">
        <v>1995</v>
      </c>
      <c r="BJ31">
        <v>55104</v>
      </c>
      <c r="BK31" t="s">
        <v>2170</v>
      </c>
      <c r="BL31" t="s">
        <v>264</v>
      </c>
      <c r="BM31" t="s">
        <v>2892</v>
      </c>
      <c r="BN31" t="s">
        <v>2981</v>
      </c>
      <c r="BO31">
        <v>6127855224</v>
      </c>
      <c r="BP31" t="s">
        <v>2090</v>
      </c>
      <c r="BQ31">
        <v>6126727734</v>
      </c>
      <c r="BR31" t="s">
        <v>2893</v>
      </c>
      <c r="BS31" t="s">
        <v>2894</v>
      </c>
      <c r="BT31" t="s">
        <v>2170</v>
      </c>
      <c r="BU31" t="s">
        <v>2177</v>
      </c>
      <c r="BV31" t="s">
        <v>336</v>
      </c>
      <c r="BW31">
        <v>55104</v>
      </c>
      <c r="BX31" t="s">
        <v>2170</v>
      </c>
      <c r="BY31" t="s">
        <v>370</v>
      </c>
    </row>
    <row r="32" spans="1:77" customFormat="1" x14ac:dyDescent="0.2">
      <c r="A32" s="504">
        <v>45</v>
      </c>
      <c r="B32">
        <v>1528041183</v>
      </c>
      <c r="C32" t="s">
        <v>1494</v>
      </c>
      <c r="D32" t="s">
        <v>1355</v>
      </c>
      <c r="E32" t="s">
        <v>2983</v>
      </c>
      <c r="F32" t="s">
        <v>2090</v>
      </c>
      <c r="H32" t="s">
        <v>1356</v>
      </c>
      <c r="I32" t="s">
        <v>336</v>
      </c>
      <c r="J32">
        <v>56649</v>
      </c>
      <c r="K32">
        <v>2154</v>
      </c>
      <c r="L32">
        <v>2182834481</v>
      </c>
      <c r="M32">
        <v>2182832281</v>
      </c>
      <c r="N32" t="s">
        <v>2626</v>
      </c>
      <c r="O32" t="s">
        <v>2627</v>
      </c>
      <c r="P32" t="s">
        <v>346</v>
      </c>
      <c r="Q32" t="s">
        <v>2628</v>
      </c>
      <c r="R32" t="s">
        <v>1622</v>
      </c>
      <c r="S32" t="s">
        <v>1299</v>
      </c>
      <c r="T32" t="s">
        <v>1307</v>
      </c>
      <c r="U32" t="s">
        <v>148</v>
      </c>
      <c r="V32">
        <v>2182835475</v>
      </c>
      <c r="W32" t="s">
        <v>2090</v>
      </c>
      <c r="X32">
        <v>2182832281</v>
      </c>
      <c r="Y32" t="s">
        <v>1173</v>
      </c>
      <c r="Z32" t="s">
        <v>2241</v>
      </c>
      <c r="AA32" t="s">
        <v>2170</v>
      </c>
      <c r="AB32" t="s">
        <v>1355</v>
      </c>
      <c r="AC32" t="s">
        <v>336</v>
      </c>
      <c r="AD32">
        <v>56649</v>
      </c>
      <c r="AE32">
        <v>2154</v>
      </c>
      <c r="AF32" t="s">
        <v>1356</v>
      </c>
      <c r="AG32" t="s">
        <v>1495</v>
      </c>
      <c r="AH32" t="s">
        <v>351</v>
      </c>
      <c r="AI32" t="s">
        <v>2170</v>
      </c>
      <c r="AJ32">
        <v>1</v>
      </c>
      <c r="AK32" t="s">
        <v>2984</v>
      </c>
      <c r="AL32" t="s">
        <v>1357</v>
      </c>
      <c r="AM32" t="s">
        <v>1358</v>
      </c>
      <c r="AN32" t="s">
        <v>341</v>
      </c>
      <c r="AO32">
        <v>2182835431</v>
      </c>
      <c r="AP32" t="s">
        <v>2090</v>
      </c>
      <c r="AQ32">
        <v>2182832281</v>
      </c>
      <c r="AR32" t="s">
        <v>1174</v>
      </c>
      <c r="AS32" t="s">
        <v>2241</v>
      </c>
      <c r="AT32" t="s">
        <v>2170</v>
      </c>
      <c r="AU32" t="s">
        <v>1359</v>
      </c>
      <c r="AV32" t="s">
        <v>336</v>
      </c>
      <c r="AW32">
        <v>56649</v>
      </c>
      <c r="AX32">
        <v>2154</v>
      </c>
      <c r="AY32" t="s">
        <v>2170</v>
      </c>
      <c r="AZ32" t="s">
        <v>2170</v>
      </c>
      <c r="BA32" t="s">
        <v>2170</v>
      </c>
      <c r="BB32" t="s">
        <v>2170</v>
      </c>
      <c r="BC32" t="s">
        <v>2170</v>
      </c>
      <c r="BD32" t="s">
        <v>2170</v>
      </c>
      <c r="BE32" t="s">
        <v>2170</v>
      </c>
      <c r="BF32" t="s">
        <v>2170</v>
      </c>
      <c r="BG32" t="s">
        <v>2170</v>
      </c>
      <c r="BH32" t="s">
        <v>2170</v>
      </c>
      <c r="BI32" t="s">
        <v>2170</v>
      </c>
      <c r="BJ32" t="s">
        <v>2170</v>
      </c>
      <c r="BK32" t="s">
        <v>2170</v>
      </c>
      <c r="BL32" t="s">
        <v>1299</v>
      </c>
      <c r="BM32" t="s">
        <v>1307</v>
      </c>
      <c r="BN32" t="s">
        <v>148</v>
      </c>
      <c r="BO32">
        <v>2182835475</v>
      </c>
      <c r="BP32" t="s">
        <v>2090</v>
      </c>
      <c r="BQ32">
        <v>2182832281</v>
      </c>
      <c r="BR32" t="s">
        <v>1173</v>
      </c>
      <c r="BS32" t="s">
        <v>2241</v>
      </c>
      <c r="BT32" t="s">
        <v>2170</v>
      </c>
      <c r="BU32" t="s">
        <v>1355</v>
      </c>
      <c r="BV32" t="s">
        <v>336</v>
      </c>
      <c r="BW32">
        <v>56649</v>
      </c>
      <c r="BX32">
        <v>2154</v>
      </c>
      <c r="BY32" t="s">
        <v>370</v>
      </c>
    </row>
    <row r="33" spans="1:77" customFormat="1" x14ac:dyDescent="0.2">
      <c r="A33" s="504">
        <v>46</v>
      </c>
      <c r="B33">
        <v>1497850119</v>
      </c>
      <c r="C33" t="s">
        <v>2985</v>
      </c>
      <c r="D33" t="s">
        <v>418</v>
      </c>
      <c r="E33" t="s">
        <v>2225</v>
      </c>
      <c r="F33" t="s">
        <v>2090</v>
      </c>
      <c r="H33" t="s">
        <v>157</v>
      </c>
      <c r="I33" t="s">
        <v>336</v>
      </c>
      <c r="J33">
        <v>56542</v>
      </c>
      <c r="K33">
        <v>1599</v>
      </c>
      <c r="L33">
        <v>2184351133</v>
      </c>
      <c r="M33">
        <v>2184351134</v>
      </c>
      <c r="N33" t="s">
        <v>261</v>
      </c>
      <c r="O33" t="s">
        <v>1626</v>
      </c>
      <c r="P33" t="s">
        <v>1069</v>
      </c>
      <c r="Q33" t="s">
        <v>1627</v>
      </c>
      <c r="R33" t="s">
        <v>420</v>
      </c>
      <c r="S33" t="s">
        <v>1317</v>
      </c>
      <c r="T33" t="s">
        <v>2629</v>
      </c>
      <c r="U33" t="s">
        <v>2866</v>
      </c>
      <c r="V33">
        <v>2184357637</v>
      </c>
      <c r="W33" t="s">
        <v>2090</v>
      </c>
      <c r="X33">
        <v>2184351134</v>
      </c>
      <c r="Y33" t="s">
        <v>2867</v>
      </c>
      <c r="Z33" t="s">
        <v>2225</v>
      </c>
      <c r="AA33" t="s">
        <v>2170</v>
      </c>
      <c r="AB33" t="s">
        <v>422</v>
      </c>
      <c r="AC33" t="s">
        <v>336</v>
      </c>
      <c r="AD33">
        <v>56542</v>
      </c>
      <c r="AE33" t="s">
        <v>2170</v>
      </c>
      <c r="AF33" t="s">
        <v>2170</v>
      </c>
      <c r="AG33" t="s">
        <v>1593</v>
      </c>
      <c r="AH33" t="s">
        <v>2091</v>
      </c>
      <c r="AI33" t="s">
        <v>953</v>
      </c>
      <c r="AJ33">
        <v>1</v>
      </c>
      <c r="AK33" t="s">
        <v>2017</v>
      </c>
      <c r="AL33" t="s">
        <v>1077</v>
      </c>
      <c r="AM33" t="s">
        <v>421</v>
      </c>
      <c r="AN33" t="s">
        <v>341</v>
      </c>
      <c r="AO33">
        <v>2184357633</v>
      </c>
      <c r="AP33" t="s">
        <v>2090</v>
      </c>
      <c r="AQ33">
        <v>2184351134</v>
      </c>
      <c r="AR33" t="s">
        <v>1869</v>
      </c>
      <c r="AS33" t="s">
        <v>2225</v>
      </c>
      <c r="AT33" t="s">
        <v>2170</v>
      </c>
      <c r="AU33" t="s">
        <v>422</v>
      </c>
      <c r="AV33" t="s">
        <v>336</v>
      </c>
      <c r="AW33">
        <v>56542</v>
      </c>
      <c r="AX33">
        <v>1599</v>
      </c>
      <c r="AY33" t="s">
        <v>2170</v>
      </c>
      <c r="AZ33" t="s">
        <v>2170</v>
      </c>
      <c r="BA33" t="s">
        <v>2170</v>
      </c>
      <c r="BB33" t="s">
        <v>2170</v>
      </c>
      <c r="BC33" t="s">
        <v>2170</v>
      </c>
      <c r="BD33" t="s">
        <v>2170</v>
      </c>
      <c r="BE33" t="s">
        <v>2170</v>
      </c>
      <c r="BF33" t="s">
        <v>2170</v>
      </c>
      <c r="BG33" t="s">
        <v>2170</v>
      </c>
      <c r="BH33" t="s">
        <v>2170</v>
      </c>
      <c r="BI33" t="s">
        <v>2170</v>
      </c>
      <c r="BJ33" t="s">
        <v>2170</v>
      </c>
      <c r="BK33" t="s">
        <v>2170</v>
      </c>
      <c r="BL33" t="s">
        <v>1077</v>
      </c>
      <c r="BM33" t="s">
        <v>421</v>
      </c>
      <c r="BN33" t="s">
        <v>341</v>
      </c>
      <c r="BO33">
        <v>2184357633</v>
      </c>
      <c r="BP33" t="s">
        <v>2090</v>
      </c>
      <c r="BQ33">
        <v>2184351134</v>
      </c>
      <c r="BR33" t="s">
        <v>1869</v>
      </c>
      <c r="BS33" t="s">
        <v>2225</v>
      </c>
      <c r="BT33" t="s">
        <v>2170</v>
      </c>
      <c r="BU33" t="s">
        <v>422</v>
      </c>
      <c r="BV33" t="s">
        <v>336</v>
      </c>
      <c r="BW33">
        <v>56542</v>
      </c>
      <c r="BX33">
        <v>1599</v>
      </c>
      <c r="BY33" t="s">
        <v>370</v>
      </c>
    </row>
    <row r="34" spans="1:77" customFormat="1" x14ac:dyDescent="0.2">
      <c r="A34" s="504">
        <v>49</v>
      </c>
      <c r="B34">
        <v>1447352836</v>
      </c>
      <c r="C34" t="s">
        <v>694</v>
      </c>
      <c r="D34" t="s">
        <v>360</v>
      </c>
      <c r="E34" t="s">
        <v>2630</v>
      </c>
      <c r="F34" t="s">
        <v>2090</v>
      </c>
      <c r="H34" t="s">
        <v>1048</v>
      </c>
      <c r="I34" t="s">
        <v>336</v>
      </c>
      <c r="J34">
        <v>55101</v>
      </c>
      <c r="K34">
        <v>2507</v>
      </c>
      <c r="L34">
        <v>6512912848</v>
      </c>
      <c r="M34">
        <v>6513252122</v>
      </c>
      <c r="N34" t="s">
        <v>264</v>
      </c>
      <c r="O34" t="s">
        <v>1906</v>
      </c>
      <c r="P34" t="s">
        <v>2631</v>
      </c>
      <c r="Q34" t="s">
        <v>1907</v>
      </c>
      <c r="R34" t="s">
        <v>2632</v>
      </c>
      <c r="S34" t="s">
        <v>1072</v>
      </c>
      <c r="T34" t="s">
        <v>2297</v>
      </c>
      <c r="U34" t="s">
        <v>967</v>
      </c>
      <c r="V34">
        <v>6513252237</v>
      </c>
      <c r="W34" t="s">
        <v>2090</v>
      </c>
      <c r="X34" t="s">
        <v>2090</v>
      </c>
      <c r="Y34" t="s">
        <v>2633</v>
      </c>
      <c r="Z34" t="s">
        <v>2170</v>
      </c>
      <c r="AA34" t="s">
        <v>2170</v>
      </c>
      <c r="AB34" t="s">
        <v>2170</v>
      </c>
      <c r="AC34" t="s">
        <v>1995</v>
      </c>
      <c r="AD34" t="s">
        <v>2170</v>
      </c>
      <c r="AE34" t="s">
        <v>2170</v>
      </c>
      <c r="AF34" t="s">
        <v>2170</v>
      </c>
      <c r="AG34" t="s">
        <v>695</v>
      </c>
      <c r="AH34" t="s">
        <v>351</v>
      </c>
      <c r="AI34" t="s">
        <v>2170</v>
      </c>
      <c r="AJ34">
        <v>0</v>
      </c>
      <c r="AK34" t="s">
        <v>103</v>
      </c>
      <c r="AL34" t="s">
        <v>2004</v>
      </c>
      <c r="AM34" t="s">
        <v>2634</v>
      </c>
      <c r="AN34" t="s">
        <v>2635</v>
      </c>
      <c r="AO34">
        <v>6513252113</v>
      </c>
      <c r="AP34" t="s">
        <v>2090</v>
      </c>
      <c r="AQ34" t="s">
        <v>2090</v>
      </c>
      <c r="AR34" t="s">
        <v>2636</v>
      </c>
      <c r="AS34" t="s">
        <v>2170</v>
      </c>
      <c r="AT34" t="s">
        <v>2170</v>
      </c>
      <c r="AU34" t="s">
        <v>2170</v>
      </c>
      <c r="AV34" t="s">
        <v>1995</v>
      </c>
      <c r="AW34" t="s">
        <v>2170</v>
      </c>
      <c r="AX34" t="s">
        <v>2170</v>
      </c>
      <c r="AY34" t="s">
        <v>2170</v>
      </c>
      <c r="AZ34" t="s">
        <v>2170</v>
      </c>
      <c r="BA34" t="s">
        <v>2170</v>
      </c>
      <c r="BB34" t="s">
        <v>2170</v>
      </c>
      <c r="BC34" t="s">
        <v>2170</v>
      </c>
      <c r="BD34" t="s">
        <v>2170</v>
      </c>
      <c r="BE34" t="s">
        <v>2170</v>
      </c>
      <c r="BF34" t="s">
        <v>2170</v>
      </c>
      <c r="BG34" t="s">
        <v>2170</v>
      </c>
      <c r="BH34" t="s">
        <v>2170</v>
      </c>
      <c r="BI34" t="s">
        <v>2170</v>
      </c>
      <c r="BJ34" t="s">
        <v>2170</v>
      </c>
      <c r="BK34" t="s">
        <v>2170</v>
      </c>
      <c r="BL34" t="s">
        <v>1072</v>
      </c>
      <c r="BM34" t="s">
        <v>2297</v>
      </c>
      <c r="BN34" t="s">
        <v>967</v>
      </c>
      <c r="BO34">
        <v>6513252237</v>
      </c>
      <c r="BP34" t="s">
        <v>2090</v>
      </c>
      <c r="BQ34" t="s">
        <v>2090</v>
      </c>
      <c r="BR34" t="s">
        <v>2633</v>
      </c>
      <c r="BS34" t="s">
        <v>2170</v>
      </c>
      <c r="BT34" t="s">
        <v>2170</v>
      </c>
      <c r="BU34" t="s">
        <v>2170</v>
      </c>
      <c r="BV34" t="s">
        <v>1995</v>
      </c>
      <c r="BW34" t="s">
        <v>2170</v>
      </c>
      <c r="BX34" t="s">
        <v>2170</v>
      </c>
      <c r="BY34" t="s">
        <v>370</v>
      </c>
    </row>
    <row r="35" spans="1:77" customFormat="1" x14ac:dyDescent="0.2">
      <c r="A35" s="504">
        <v>50</v>
      </c>
      <c r="B35">
        <v>1538178520</v>
      </c>
      <c r="C35" t="s">
        <v>428</v>
      </c>
      <c r="D35" t="s">
        <v>429</v>
      </c>
      <c r="E35" t="s">
        <v>2986</v>
      </c>
      <c r="F35" t="s">
        <v>2090</v>
      </c>
      <c r="H35" t="s">
        <v>430</v>
      </c>
      <c r="I35" t="s">
        <v>336</v>
      </c>
      <c r="J35">
        <v>56334</v>
      </c>
      <c r="K35">
        <v>1820</v>
      </c>
      <c r="L35">
        <v>3206344521</v>
      </c>
      <c r="M35">
        <v>3206342269</v>
      </c>
      <c r="N35" t="s">
        <v>431</v>
      </c>
      <c r="O35" t="s">
        <v>432</v>
      </c>
      <c r="P35" t="s">
        <v>433</v>
      </c>
      <c r="Q35" t="s">
        <v>2124</v>
      </c>
      <c r="R35" t="s">
        <v>1492</v>
      </c>
      <c r="S35" t="s">
        <v>1311</v>
      </c>
      <c r="T35" t="s">
        <v>1081</v>
      </c>
      <c r="U35" t="s">
        <v>2223</v>
      </c>
      <c r="V35">
        <v>6124559706</v>
      </c>
      <c r="W35" t="s">
        <v>2090</v>
      </c>
      <c r="X35" t="s">
        <v>2090</v>
      </c>
      <c r="Y35" t="s">
        <v>2351</v>
      </c>
      <c r="Z35" t="s">
        <v>2637</v>
      </c>
      <c r="AA35" t="s">
        <v>2170</v>
      </c>
      <c r="AB35" t="s">
        <v>429</v>
      </c>
      <c r="AC35" t="s">
        <v>336</v>
      </c>
      <c r="AD35">
        <v>55402</v>
      </c>
      <c r="AE35" t="s">
        <v>2170</v>
      </c>
      <c r="AF35" t="s">
        <v>430</v>
      </c>
      <c r="AG35" t="s">
        <v>435</v>
      </c>
      <c r="AH35" t="s">
        <v>351</v>
      </c>
      <c r="AI35" t="s">
        <v>2170</v>
      </c>
      <c r="AJ35">
        <v>1</v>
      </c>
      <c r="AK35" t="s">
        <v>2227</v>
      </c>
      <c r="AL35" t="s">
        <v>261</v>
      </c>
      <c r="AM35" t="s">
        <v>2987</v>
      </c>
      <c r="AN35" t="s">
        <v>2988</v>
      </c>
      <c r="AO35">
        <v>6124559407</v>
      </c>
      <c r="AP35" t="s">
        <v>2090</v>
      </c>
      <c r="AQ35" t="s">
        <v>2090</v>
      </c>
      <c r="AR35" t="s">
        <v>2989</v>
      </c>
      <c r="AS35" t="s">
        <v>2637</v>
      </c>
      <c r="AT35" t="s">
        <v>2170</v>
      </c>
      <c r="AU35" t="s">
        <v>119</v>
      </c>
      <c r="AV35" t="s">
        <v>336</v>
      </c>
      <c r="AW35">
        <v>55402</v>
      </c>
      <c r="AX35" t="s">
        <v>2170</v>
      </c>
      <c r="AY35" t="s">
        <v>2170</v>
      </c>
      <c r="AZ35" t="s">
        <v>2170</v>
      </c>
      <c r="BA35" t="s">
        <v>2170</v>
      </c>
      <c r="BB35" t="s">
        <v>2170</v>
      </c>
      <c r="BC35" t="s">
        <v>2170</v>
      </c>
      <c r="BD35" t="s">
        <v>2170</v>
      </c>
      <c r="BE35" t="s">
        <v>2170</v>
      </c>
      <c r="BF35" t="s">
        <v>2170</v>
      </c>
      <c r="BG35" t="s">
        <v>2170</v>
      </c>
      <c r="BH35" t="s">
        <v>2170</v>
      </c>
      <c r="BI35" t="s">
        <v>2170</v>
      </c>
      <c r="BJ35" t="s">
        <v>2170</v>
      </c>
      <c r="BK35" t="s">
        <v>2170</v>
      </c>
      <c r="BL35" t="s">
        <v>1072</v>
      </c>
      <c r="BM35" t="s">
        <v>1493</v>
      </c>
      <c r="BN35" t="s">
        <v>341</v>
      </c>
      <c r="BO35">
        <v>3206342206</v>
      </c>
      <c r="BP35" t="s">
        <v>2090</v>
      </c>
      <c r="BQ35">
        <v>3206342269</v>
      </c>
      <c r="BR35" t="s">
        <v>1623</v>
      </c>
      <c r="BS35" t="s">
        <v>2990</v>
      </c>
      <c r="BT35" t="s">
        <v>1073</v>
      </c>
      <c r="BU35" t="s">
        <v>2022</v>
      </c>
      <c r="BV35" t="s">
        <v>336</v>
      </c>
      <c r="BW35">
        <v>56334</v>
      </c>
      <c r="BX35" t="s">
        <v>2170</v>
      </c>
      <c r="BY35" t="s">
        <v>368</v>
      </c>
    </row>
    <row r="36" spans="1:77" customFormat="1" x14ac:dyDescent="0.2">
      <c r="A36" s="504">
        <v>51</v>
      </c>
      <c r="B36">
        <v>1508885633</v>
      </c>
      <c r="C36" t="s">
        <v>2638</v>
      </c>
      <c r="D36" t="s">
        <v>423</v>
      </c>
      <c r="E36" t="s">
        <v>2991</v>
      </c>
      <c r="F36" t="s">
        <v>2090</v>
      </c>
      <c r="H36" t="s">
        <v>424</v>
      </c>
      <c r="I36" t="s">
        <v>336</v>
      </c>
      <c r="J36">
        <v>55336</v>
      </c>
      <c r="K36">
        <v>1416</v>
      </c>
      <c r="L36">
        <v>3208643121</v>
      </c>
      <c r="M36">
        <v>3208647887</v>
      </c>
      <c r="N36" t="s">
        <v>2992</v>
      </c>
      <c r="O36" t="s">
        <v>2993</v>
      </c>
      <c r="P36" t="s">
        <v>1051</v>
      </c>
      <c r="Q36" t="s">
        <v>2994</v>
      </c>
      <c r="R36" t="s">
        <v>2639</v>
      </c>
      <c r="S36" t="s">
        <v>2640</v>
      </c>
      <c r="T36" t="s">
        <v>2641</v>
      </c>
      <c r="U36" t="s">
        <v>961</v>
      </c>
      <c r="V36">
        <v>3208647858</v>
      </c>
      <c r="W36" t="s">
        <v>2090</v>
      </c>
      <c r="X36">
        <v>3208647887</v>
      </c>
      <c r="Y36" t="s">
        <v>2642</v>
      </c>
      <c r="Z36" t="s">
        <v>2226</v>
      </c>
      <c r="AA36" t="s">
        <v>2170</v>
      </c>
      <c r="AB36" t="s">
        <v>423</v>
      </c>
      <c r="AC36" t="s">
        <v>336</v>
      </c>
      <c r="AD36">
        <v>55336</v>
      </c>
      <c r="AE36">
        <v>1499</v>
      </c>
      <c r="AF36" t="s">
        <v>424</v>
      </c>
      <c r="AG36" t="s">
        <v>2995</v>
      </c>
      <c r="AH36" t="s">
        <v>427</v>
      </c>
      <c r="AI36" t="s">
        <v>1060</v>
      </c>
      <c r="AJ36">
        <v>1</v>
      </c>
      <c r="AK36" t="s">
        <v>2021</v>
      </c>
      <c r="AL36" t="s">
        <v>470</v>
      </c>
      <c r="AM36" t="s">
        <v>2643</v>
      </c>
      <c r="AN36" t="s">
        <v>978</v>
      </c>
      <c r="AO36">
        <v>3208647758</v>
      </c>
      <c r="AP36" t="s">
        <v>2090</v>
      </c>
      <c r="AQ36">
        <v>3208647887</v>
      </c>
      <c r="AR36" t="s">
        <v>2644</v>
      </c>
      <c r="AS36" t="s">
        <v>2226</v>
      </c>
      <c r="AT36" t="s">
        <v>2170</v>
      </c>
      <c r="AU36" t="s">
        <v>426</v>
      </c>
      <c r="AV36" t="s">
        <v>336</v>
      </c>
      <c r="AW36">
        <v>55336</v>
      </c>
      <c r="AX36">
        <v>1499</v>
      </c>
      <c r="AY36" t="s">
        <v>1870</v>
      </c>
      <c r="AZ36" t="s">
        <v>1419</v>
      </c>
      <c r="BA36" t="s">
        <v>341</v>
      </c>
      <c r="BB36">
        <v>3208647797</v>
      </c>
      <c r="BC36" t="s">
        <v>2090</v>
      </c>
      <c r="BD36">
        <v>3208647887</v>
      </c>
      <c r="BE36" t="s">
        <v>1871</v>
      </c>
      <c r="BF36" t="s">
        <v>2226</v>
      </c>
      <c r="BG36" t="s">
        <v>2170</v>
      </c>
      <c r="BH36" t="s">
        <v>426</v>
      </c>
      <c r="BI36" t="s">
        <v>336</v>
      </c>
      <c r="BJ36">
        <v>55336</v>
      </c>
      <c r="BK36">
        <v>1499</v>
      </c>
      <c r="BL36" t="s">
        <v>2640</v>
      </c>
      <c r="BM36" t="s">
        <v>2641</v>
      </c>
      <c r="BN36" t="s">
        <v>961</v>
      </c>
      <c r="BO36">
        <v>3208647858</v>
      </c>
      <c r="BP36" t="s">
        <v>2090</v>
      </c>
      <c r="BQ36">
        <v>3208647887</v>
      </c>
      <c r="BR36" t="s">
        <v>2642</v>
      </c>
      <c r="BS36" t="s">
        <v>2226</v>
      </c>
      <c r="BT36" t="s">
        <v>2170</v>
      </c>
      <c r="BU36" t="s">
        <v>423</v>
      </c>
      <c r="BV36" t="s">
        <v>336</v>
      </c>
      <c r="BW36">
        <v>55336</v>
      </c>
      <c r="BX36">
        <v>1499</v>
      </c>
      <c r="BY36" t="s">
        <v>370</v>
      </c>
    </row>
    <row r="37" spans="1:77" customFormat="1" x14ac:dyDescent="0.2">
      <c r="A37" s="504">
        <v>53</v>
      </c>
      <c r="B37">
        <v>1700429610</v>
      </c>
      <c r="C37" t="s">
        <v>2996</v>
      </c>
      <c r="D37" t="s">
        <v>443</v>
      </c>
      <c r="E37" t="s">
        <v>2997</v>
      </c>
      <c r="F37" t="s">
        <v>2090</v>
      </c>
      <c r="H37" t="s">
        <v>136</v>
      </c>
      <c r="I37" t="s">
        <v>336</v>
      </c>
      <c r="J37">
        <v>56241</v>
      </c>
      <c r="K37" t="s">
        <v>2090</v>
      </c>
      <c r="L37">
        <v>3205643111</v>
      </c>
      <c r="M37">
        <v>3205642329</v>
      </c>
      <c r="N37" t="s">
        <v>2998</v>
      </c>
      <c r="O37" t="s">
        <v>2129</v>
      </c>
      <c r="P37" t="s">
        <v>270</v>
      </c>
      <c r="Q37" t="s">
        <v>2999</v>
      </c>
      <c r="R37" t="s">
        <v>2565</v>
      </c>
      <c r="S37" t="s">
        <v>2566</v>
      </c>
      <c r="T37" t="s">
        <v>2567</v>
      </c>
      <c r="U37" t="s">
        <v>2568</v>
      </c>
      <c r="V37">
        <v>5075372739</v>
      </c>
      <c r="W37" t="s">
        <v>2090</v>
      </c>
      <c r="X37">
        <v>5075372743</v>
      </c>
      <c r="Y37" t="s">
        <v>2569</v>
      </c>
      <c r="Z37" t="s">
        <v>2138</v>
      </c>
      <c r="AA37" t="s">
        <v>2170</v>
      </c>
      <c r="AB37" t="s">
        <v>1150</v>
      </c>
      <c r="AC37" t="s">
        <v>336</v>
      </c>
      <c r="AD37">
        <v>56258</v>
      </c>
      <c r="AE37">
        <v>1934</v>
      </c>
      <c r="AF37" t="s">
        <v>2170</v>
      </c>
      <c r="AG37" t="s">
        <v>2804</v>
      </c>
      <c r="AH37" t="s">
        <v>1360</v>
      </c>
      <c r="AI37" t="s">
        <v>953</v>
      </c>
      <c r="AJ37">
        <v>1</v>
      </c>
      <c r="AK37" t="s">
        <v>3000</v>
      </c>
      <c r="AL37" t="s">
        <v>1280</v>
      </c>
      <c r="AM37" t="s">
        <v>444</v>
      </c>
      <c r="AN37" t="s">
        <v>3001</v>
      </c>
      <c r="AO37">
        <v>3205646204</v>
      </c>
      <c r="AP37" t="s">
        <v>2090</v>
      </c>
      <c r="AQ37" t="s">
        <v>2090</v>
      </c>
      <c r="AR37" t="s">
        <v>3002</v>
      </c>
      <c r="AS37" t="s">
        <v>3003</v>
      </c>
      <c r="AT37" t="s">
        <v>2170</v>
      </c>
      <c r="AU37" t="s">
        <v>445</v>
      </c>
      <c r="AV37" t="s">
        <v>336</v>
      </c>
      <c r="AW37">
        <v>56241</v>
      </c>
      <c r="AX37" t="s">
        <v>2170</v>
      </c>
      <c r="AY37" t="s">
        <v>2170</v>
      </c>
      <c r="AZ37" t="s">
        <v>2170</v>
      </c>
      <c r="BA37" t="s">
        <v>2170</v>
      </c>
      <c r="BB37" t="s">
        <v>2170</v>
      </c>
      <c r="BC37" t="s">
        <v>2170</v>
      </c>
      <c r="BD37" t="s">
        <v>2170</v>
      </c>
      <c r="BE37" t="s">
        <v>2170</v>
      </c>
      <c r="BF37" t="s">
        <v>2170</v>
      </c>
      <c r="BG37" t="s">
        <v>2170</v>
      </c>
      <c r="BH37" t="s">
        <v>2170</v>
      </c>
      <c r="BI37" t="s">
        <v>2170</v>
      </c>
      <c r="BJ37" t="s">
        <v>2170</v>
      </c>
      <c r="BK37" t="s">
        <v>2170</v>
      </c>
      <c r="BL37" t="s">
        <v>2566</v>
      </c>
      <c r="BM37" t="s">
        <v>2567</v>
      </c>
      <c r="BN37" t="s">
        <v>2568</v>
      </c>
      <c r="BO37">
        <v>5075372739</v>
      </c>
      <c r="BP37" t="s">
        <v>2090</v>
      </c>
      <c r="BQ37">
        <v>5075372743</v>
      </c>
      <c r="BR37" t="s">
        <v>2569</v>
      </c>
      <c r="BS37" t="s">
        <v>2138</v>
      </c>
      <c r="BT37" t="s">
        <v>2170</v>
      </c>
      <c r="BU37" t="s">
        <v>1150</v>
      </c>
      <c r="BV37" t="s">
        <v>336</v>
      </c>
      <c r="BW37">
        <v>56258</v>
      </c>
      <c r="BX37">
        <v>1934</v>
      </c>
      <c r="BY37" t="s">
        <v>370</v>
      </c>
    </row>
    <row r="38" spans="1:77" customFormat="1" x14ac:dyDescent="0.2">
      <c r="A38" s="504">
        <v>54</v>
      </c>
      <c r="B38">
        <v>1407838329</v>
      </c>
      <c r="C38" t="s">
        <v>2645</v>
      </c>
      <c r="D38" t="s">
        <v>412</v>
      </c>
      <c r="E38" t="s">
        <v>3004</v>
      </c>
      <c r="F38" t="s">
        <v>2090</v>
      </c>
      <c r="H38" t="s">
        <v>413</v>
      </c>
      <c r="I38" t="s">
        <v>336</v>
      </c>
      <c r="J38">
        <v>56531</v>
      </c>
      <c r="K38" t="s">
        <v>2090</v>
      </c>
      <c r="L38">
        <v>2186857300</v>
      </c>
      <c r="M38">
        <v>2186857296</v>
      </c>
      <c r="N38" t="s">
        <v>2646</v>
      </c>
      <c r="O38" t="s">
        <v>2647</v>
      </c>
      <c r="P38" t="s">
        <v>346</v>
      </c>
      <c r="Q38" t="s">
        <v>2648</v>
      </c>
      <c r="R38" t="s">
        <v>3005</v>
      </c>
      <c r="S38" t="s">
        <v>2649</v>
      </c>
      <c r="T38" t="s">
        <v>2650</v>
      </c>
      <c r="U38" t="s">
        <v>138</v>
      </c>
      <c r="V38">
        <v>2186857337</v>
      </c>
      <c r="W38" t="s">
        <v>2090</v>
      </c>
      <c r="X38">
        <v>2186857296</v>
      </c>
      <c r="Y38" t="s">
        <v>2651</v>
      </c>
      <c r="Z38" t="s">
        <v>2170</v>
      </c>
      <c r="AA38" t="s">
        <v>2170</v>
      </c>
      <c r="AB38" t="s">
        <v>412</v>
      </c>
      <c r="AC38" t="s">
        <v>336</v>
      </c>
      <c r="AD38" t="s">
        <v>2170</v>
      </c>
      <c r="AE38" t="s">
        <v>2170</v>
      </c>
      <c r="AF38" t="s">
        <v>413</v>
      </c>
      <c r="AG38" t="s">
        <v>1625</v>
      </c>
      <c r="AH38" t="s">
        <v>2122</v>
      </c>
      <c r="AI38" t="s">
        <v>953</v>
      </c>
      <c r="AJ38">
        <v>1</v>
      </c>
      <c r="AK38" t="s">
        <v>2219</v>
      </c>
      <c r="AL38" t="s">
        <v>2170</v>
      </c>
      <c r="AM38" t="s">
        <v>2170</v>
      </c>
      <c r="AN38" t="s">
        <v>2170</v>
      </c>
      <c r="AO38" t="s">
        <v>2170</v>
      </c>
      <c r="AP38" t="s">
        <v>2170</v>
      </c>
      <c r="AQ38" t="s">
        <v>2170</v>
      </c>
      <c r="AR38" t="s">
        <v>2170</v>
      </c>
      <c r="AS38" t="s">
        <v>2170</v>
      </c>
      <c r="AT38" t="s">
        <v>2170</v>
      </c>
      <c r="AU38" t="s">
        <v>2170</v>
      </c>
      <c r="AV38" t="s">
        <v>2170</v>
      </c>
      <c r="AW38" t="s">
        <v>2170</v>
      </c>
      <c r="AX38" t="s">
        <v>2170</v>
      </c>
      <c r="AY38" t="s">
        <v>2170</v>
      </c>
      <c r="AZ38" t="s">
        <v>2170</v>
      </c>
      <c r="BA38" t="s">
        <v>2170</v>
      </c>
      <c r="BB38" t="s">
        <v>2170</v>
      </c>
      <c r="BC38" t="s">
        <v>2170</v>
      </c>
      <c r="BD38" t="s">
        <v>2170</v>
      </c>
      <c r="BE38" t="s">
        <v>2170</v>
      </c>
      <c r="BF38" t="s">
        <v>2170</v>
      </c>
      <c r="BG38" t="s">
        <v>2170</v>
      </c>
      <c r="BH38" t="s">
        <v>2170</v>
      </c>
      <c r="BI38" t="s">
        <v>2170</v>
      </c>
      <c r="BJ38" t="s">
        <v>2170</v>
      </c>
      <c r="BK38" t="s">
        <v>2170</v>
      </c>
      <c r="BL38" t="s">
        <v>2649</v>
      </c>
      <c r="BM38" t="s">
        <v>2650</v>
      </c>
      <c r="BN38" t="s">
        <v>138</v>
      </c>
      <c r="BO38">
        <v>2186857337</v>
      </c>
      <c r="BP38" t="s">
        <v>2090</v>
      </c>
      <c r="BQ38">
        <v>2186857296</v>
      </c>
      <c r="BR38" t="s">
        <v>2651</v>
      </c>
      <c r="BS38" t="s">
        <v>2170</v>
      </c>
      <c r="BT38" t="s">
        <v>2170</v>
      </c>
      <c r="BU38" t="s">
        <v>412</v>
      </c>
      <c r="BV38" t="s">
        <v>336</v>
      </c>
      <c r="BW38" t="s">
        <v>2170</v>
      </c>
      <c r="BX38" t="s">
        <v>2170</v>
      </c>
      <c r="BY38" t="s">
        <v>370</v>
      </c>
    </row>
    <row r="39" spans="1:77" customFormat="1" x14ac:dyDescent="0.2">
      <c r="A39" s="504">
        <v>57</v>
      </c>
      <c r="B39">
        <v>1528025632</v>
      </c>
      <c r="C39" t="s">
        <v>212</v>
      </c>
      <c r="D39" t="s">
        <v>213</v>
      </c>
      <c r="E39" t="s">
        <v>3006</v>
      </c>
      <c r="F39" t="s">
        <v>2090</v>
      </c>
      <c r="H39" t="s">
        <v>214</v>
      </c>
      <c r="I39" t="s">
        <v>336</v>
      </c>
      <c r="J39">
        <v>55060</v>
      </c>
      <c r="K39">
        <v>5503</v>
      </c>
      <c r="L39">
        <v>5074513850</v>
      </c>
      <c r="M39">
        <v>5079772335</v>
      </c>
      <c r="N39" t="s">
        <v>470</v>
      </c>
      <c r="O39" t="s">
        <v>3007</v>
      </c>
      <c r="P39" t="s">
        <v>116</v>
      </c>
      <c r="Q39" t="s">
        <v>3008</v>
      </c>
      <c r="R39" t="s">
        <v>2033</v>
      </c>
      <c r="S39" t="s">
        <v>2250</v>
      </c>
      <c r="T39" t="s">
        <v>2251</v>
      </c>
      <c r="U39" t="s">
        <v>118</v>
      </c>
      <c r="V39">
        <v>6122624731</v>
      </c>
      <c r="W39">
        <v>50351</v>
      </c>
      <c r="X39">
        <v>6122624737</v>
      </c>
      <c r="Y39" t="s">
        <v>3009</v>
      </c>
      <c r="Z39" t="s">
        <v>2201</v>
      </c>
      <c r="AA39" t="s">
        <v>2170</v>
      </c>
      <c r="AB39" t="s">
        <v>119</v>
      </c>
      <c r="AC39" t="s">
        <v>336</v>
      </c>
      <c r="AD39">
        <v>55440</v>
      </c>
      <c r="AE39">
        <v>43</v>
      </c>
      <c r="AF39" t="s">
        <v>120</v>
      </c>
      <c r="AG39" t="s">
        <v>2034</v>
      </c>
      <c r="AH39" t="s">
        <v>1961</v>
      </c>
      <c r="AI39" t="s">
        <v>953</v>
      </c>
      <c r="AJ39">
        <v>0</v>
      </c>
      <c r="AK39" t="s">
        <v>2652</v>
      </c>
      <c r="AL39" t="s">
        <v>1668</v>
      </c>
      <c r="AM39" t="s">
        <v>2153</v>
      </c>
      <c r="AN39" t="s">
        <v>1277</v>
      </c>
      <c r="AO39">
        <v>6122624720</v>
      </c>
      <c r="AP39" t="s">
        <v>2090</v>
      </c>
      <c r="AQ39">
        <v>6122624737</v>
      </c>
      <c r="AR39" t="s">
        <v>2202</v>
      </c>
      <c r="AS39" t="s">
        <v>2112</v>
      </c>
      <c r="AT39" t="s">
        <v>2170</v>
      </c>
      <c r="AU39" t="s">
        <v>119</v>
      </c>
      <c r="AV39" t="s">
        <v>336</v>
      </c>
      <c r="AW39">
        <v>55440</v>
      </c>
      <c r="AX39">
        <v>43</v>
      </c>
      <c r="AY39" t="s">
        <v>121</v>
      </c>
      <c r="AZ39" t="s">
        <v>122</v>
      </c>
      <c r="BA39" t="s">
        <v>1684</v>
      </c>
      <c r="BB39">
        <v>6122624719</v>
      </c>
      <c r="BC39" t="s">
        <v>2090</v>
      </c>
      <c r="BD39">
        <v>6122624737</v>
      </c>
      <c r="BE39" t="s">
        <v>123</v>
      </c>
      <c r="BF39" t="s">
        <v>2209</v>
      </c>
      <c r="BG39" t="s">
        <v>124</v>
      </c>
      <c r="BH39" t="s">
        <v>119</v>
      </c>
      <c r="BI39" t="s">
        <v>336</v>
      </c>
      <c r="BJ39">
        <v>55440</v>
      </c>
      <c r="BK39" t="s">
        <v>2170</v>
      </c>
      <c r="BL39" t="s">
        <v>2250</v>
      </c>
      <c r="BM39" t="s">
        <v>2251</v>
      </c>
      <c r="BN39" t="s">
        <v>118</v>
      </c>
      <c r="BO39">
        <v>6122624731</v>
      </c>
      <c r="BP39">
        <v>50351</v>
      </c>
      <c r="BQ39">
        <v>6122624737</v>
      </c>
      <c r="BR39" t="s">
        <v>3009</v>
      </c>
      <c r="BS39" t="s">
        <v>2201</v>
      </c>
      <c r="BT39" t="s">
        <v>2170</v>
      </c>
      <c r="BU39" t="s">
        <v>119</v>
      </c>
      <c r="BV39" t="s">
        <v>336</v>
      </c>
      <c r="BW39">
        <v>55440</v>
      </c>
      <c r="BX39">
        <v>43</v>
      </c>
      <c r="BY39" t="s">
        <v>370</v>
      </c>
    </row>
    <row r="40" spans="1:77" customFormat="1" x14ac:dyDescent="0.2">
      <c r="A40" s="504">
        <v>58</v>
      </c>
      <c r="B40">
        <v>1316026370</v>
      </c>
      <c r="C40" t="s">
        <v>452</v>
      </c>
      <c r="D40" t="s">
        <v>453</v>
      </c>
      <c r="E40" t="s">
        <v>3010</v>
      </c>
      <c r="F40" t="s">
        <v>2090</v>
      </c>
      <c r="H40" t="s">
        <v>454</v>
      </c>
      <c r="I40" t="s">
        <v>336</v>
      </c>
      <c r="J40">
        <v>56136</v>
      </c>
      <c r="K40" t="s">
        <v>2090</v>
      </c>
      <c r="L40">
        <v>5072753134</v>
      </c>
      <c r="M40">
        <v>5072753104</v>
      </c>
      <c r="N40" t="s">
        <v>142</v>
      </c>
      <c r="O40" t="s">
        <v>455</v>
      </c>
      <c r="P40" t="s">
        <v>270</v>
      </c>
      <c r="Q40" t="s">
        <v>1875</v>
      </c>
      <c r="R40" t="s">
        <v>2237</v>
      </c>
      <c r="S40" t="s">
        <v>3011</v>
      </c>
      <c r="T40" t="s">
        <v>3012</v>
      </c>
      <c r="U40" t="s">
        <v>341</v>
      </c>
      <c r="V40">
        <v>5072753134</v>
      </c>
      <c r="W40">
        <v>2513</v>
      </c>
      <c r="X40">
        <v>5072752242</v>
      </c>
      <c r="Y40" t="s">
        <v>3013</v>
      </c>
      <c r="Z40" t="s">
        <v>2170</v>
      </c>
      <c r="AA40" t="s">
        <v>2170</v>
      </c>
      <c r="AB40" t="s">
        <v>2170</v>
      </c>
      <c r="AC40" t="s">
        <v>1995</v>
      </c>
      <c r="AD40" t="s">
        <v>2170</v>
      </c>
      <c r="AE40" t="s">
        <v>2170</v>
      </c>
      <c r="AF40" t="s">
        <v>454</v>
      </c>
      <c r="AG40" t="s">
        <v>1170</v>
      </c>
      <c r="AH40" t="s">
        <v>351</v>
      </c>
      <c r="AI40" t="s">
        <v>953</v>
      </c>
      <c r="AJ40">
        <v>1</v>
      </c>
      <c r="AK40" t="s">
        <v>2024</v>
      </c>
      <c r="AL40" t="s">
        <v>142</v>
      </c>
      <c r="AM40" t="s">
        <v>455</v>
      </c>
      <c r="AN40" t="s">
        <v>346</v>
      </c>
      <c r="AO40">
        <v>5072753134</v>
      </c>
      <c r="AP40">
        <v>2206</v>
      </c>
      <c r="AQ40">
        <v>5072752242</v>
      </c>
      <c r="AR40" t="s">
        <v>1171</v>
      </c>
      <c r="AS40" t="s">
        <v>2170</v>
      </c>
      <c r="AT40" t="s">
        <v>2170</v>
      </c>
      <c r="AU40" t="s">
        <v>2170</v>
      </c>
      <c r="AV40" t="s">
        <v>1995</v>
      </c>
      <c r="AW40" t="s">
        <v>2170</v>
      </c>
      <c r="AX40" t="s">
        <v>2170</v>
      </c>
      <c r="AY40" t="s">
        <v>2170</v>
      </c>
      <c r="AZ40" t="s">
        <v>2170</v>
      </c>
      <c r="BA40" t="s">
        <v>2170</v>
      </c>
      <c r="BB40" t="s">
        <v>2170</v>
      </c>
      <c r="BC40" t="s">
        <v>2170</v>
      </c>
      <c r="BD40" t="s">
        <v>2170</v>
      </c>
      <c r="BE40" t="s">
        <v>2170</v>
      </c>
      <c r="BF40" t="s">
        <v>2170</v>
      </c>
      <c r="BG40" t="s">
        <v>2170</v>
      </c>
      <c r="BH40" t="s">
        <v>2170</v>
      </c>
      <c r="BI40" t="s">
        <v>2170</v>
      </c>
      <c r="BJ40" t="s">
        <v>2170</v>
      </c>
      <c r="BK40" t="s">
        <v>2170</v>
      </c>
      <c r="BL40" t="s">
        <v>3011</v>
      </c>
      <c r="BM40" t="s">
        <v>3012</v>
      </c>
      <c r="BN40" t="s">
        <v>341</v>
      </c>
      <c r="BO40">
        <v>5072753134</v>
      </c>
      <c r="BP40">
        <v>2513</v>
      </c>
      <c r="BQ40">
        <v>5072752242</v>
      </c>
      <c r="BR40" t="s">
        <v>3013</v>
      </c>
      <c r="BS40" t="s">
        <v>2170</v>
      </c>
      <c r="BT40" t="s">
        <v>2170</v>
      </c>
      <c r="BU40" t="s">
        <v>2170</v>
      </c>
      <c r="BV40" t="s">
        <v>1995</v>
      </c>
      <c r="BW40" t="s">
        <v>2170</v>
      </c>
      <c r="BX40" t="s">
        <v>2170</v>
      </c>
      <c r="BY40" t="s">
        <v>370</v>
      </c>
    </row>
    <row r="41" spans="1:77" customFormat="1" x14ac:dyDescent="0.2">
      <c r="A41" s="504">
        <v>59</v>
      </c>
      <c r="B41">
        <v>1407897309</v>
      </c>
      <c r="C41" t="s">
        <v>2653</v>
      </c>
      <c r="D41" t="s">
        <v>125</v>
      </c>
      <c r="E41" t="s">
        <v>2654</v>
      </c>
      <c r="F41" t="s">
        <v>2090</v>
      </c>
      <c r="H41" t="s">
        <v>129</v>
      </c>
      <c r="I41" t="s">
        <v>336</v>
      </c>
      <c r="J41">
        <v>55415</v>
      </c>
      <c r="K41">
        <v>1829</v>
      </c>
      <c r="L41">
        <v>6788733000</v>
      </c>
      <c r="M41">
        <v>6128731507</v>
      </c>
      <c r="N41" t="s">
        <v>1166</v>
      </c>
      <c r="O41" t="s">
        <v>3014</v>
      </c>
      <c r="P41" t="s">
        <v>1069</v>
      </c>
      <c r="Q41" t="s">
        <v>3015</v>
      </c>
      <c r="R41" t="s">
        <v>2266</v>
      </c>
      <c r="S41" t="s">
        <v>1235</v>
      </c>
      <c r="T41" t="s">
        <v>411</v>
      </c>
      <c r="U41" t="s">
        <v>1277</v>
      </c>
      <c r="V41">
        <v>6128734759</v>
      </c>
      <c r="W41" t="s">
        <v>2090</v>
      </c>
      <c r="X41">
        <v>6128731507</v>
      </c>
      <c r="Y41" t="s">
        <v>1236</v>
      </c>
      <c r="Z41" t="s">
        <v>2170</v>
      </c>
      <c r="AA41" t="s">
        <v>2170</v>
      </c>
      <c r="AB41" t="s">
        <v>2170</v>
      </c>
      <c r="AC41" t="s">
        <v>1995</v>
      </c>
      <c r="AD41" t="s">
        <v>2170</v>
      </c>
      <c r="AE41" t="s">
        <v>2170</v>
      </c>
      <c r="AF41" t="s">
        <v>2170</v>
      </c>
      <c r="AG41" t="s">
        <v>2655</v>
      </c>
      <c r="AH41" t="s">
        <v>351</v>
      </c>
      <c r="AI41" t="s">
        <v>2170</v>
      </c>
      <c r="AJ41">
        <v>0</v>
      </c>
      <c r="AK41" t="s">
        <v>2028</v>
      </c>
      <c r="AL41" t="s">
        <v>2656</v>
      </c>
      <c r="AM41" t="s">
        <v>2657</v>
      </c>
      <c r="AN41" t="s">
        <v>118</v>
      </c>
      <c r="AO41">
        <v>6128733513</v>
      </c>
      <c r="AP41" t="s">
        <v>2090</v>
      </c>
      <c r="AQ41">
        <v>6128731507</v>
      </c>
      <c r="AR41" t="s">
        <v>2658</v>
      </c>
      <c r="AS41" t="s">
        <v>2170</v>
      </c>
      <c r="AT41" t="s">
        <v>2170</v>
      </c>
      <c r="AU41" t="s">
        <v>2170</v>
      </c>
      <c r="AV41" t="s">
        <v>1995</v>
      </c>
      <c r="AW41" t="s">
        <v>2170</v>
      </c>
      <c r="AX41" t="s">
        <v>2170</v>
      </c>
      <c r="AY41" t="s">
        <v>2170</v>
      </c>
      <c r="AZ41" t="s">
        <v>2170</v>
      </c>
      <c r="BA41" t="s">
        <v>2170</v>
      </c>
      <c r="BB41" t="s">
        <v>2170</v>
      </c>
      <c r="BC41" t="s">
        <v>2170</v>
      </c>
      <c r="BD41" t="s">
        <v>2170</v>
      </c>
      <c r="BE41" t="s">
        <v>2170</v>
      </c>
      <c r="BF41" t="s">
        <v>2170</v>
      </c>
      <c r="BG41" t="s">
        <v>2170</v>
      </c>
      <c r="BH41" t="s">
        <v>2170</v>
      </c>
      <c r="BI41" t="s">
        <v>2170</v>
      </c>
      <c r="BJ41" t="s">
        <v>2170</v>
      </c>
      <c r="BK41" t="s">
        <v>2170</v>
      </c>
      <c r="BL41" t="s">
        <v>2267</v>
      </c>
      <c r="BM41" t="s">
        <v>2268</v>
      </c>
      <c r="BN41" t="s">
        <v>138</v>
      </c>
      <c r="BO41">
        <v>6128739316</v>
      </c>
      <c r="BP41" t="s">
        <v>2090</v>
      </c>
      <c r="BQ41">
        <v>6128731507</v>
      </c>
      <c r="BR41" t="s">
        <v>2269</v>
      </c>
      <c r="BS41" t="s">
        <v>2170</v>
      </c>
      <c r="BT41" t="s">
        <v>2170</v>
      </c>
      <c r="BU41" t="s">
        <v>2170</v>
      </c>
      <c r="BV41" t="s">
        <v>1995</v>
      </c>
      <c r="BW41" t="s">
        <v>2170</v>
      </c>
      <c r="BX41" t="s">
        <v>2170</v>
      </c>
      <c r="BY41" t="s">
        <v>365</v>
      </c>
    </row>
    <row r="42" spans="1:77" customFormat="1" x14ac:dyDescent="0.2">
      <c r="A42" s="504">
        <v>61</v>
      </c>
      <c r="B42">
        <v>1982673620</v>
      </c>
      <c r="C42" t="s">
        <v>3016</v>
      </c>
      <c r="D42" t="s">
        <v>438</v>
      </c>
      <c r="E42" t="s">
        <v>3017</v>
      </c>
      <c r="F42" t="s">
        <v>2090</v>
      </c>
      <c r="H42" t="s">
        <v>439</v>
      </c>
      <c r="I42" t="s">
        <v>336</v>
      </c>
      <c r="J42">
        <v>56240</v>
      </c>
      <c r="K42" t="s">
        <v>2090</v>
      </c>
      <c r="L42">
        <v>3207487223</v>
      </c>
      <c r="M42">
        <v>3207487225</v>
      </c>
      <c r="N42" t="s">
        <v>195</v>
      </c>
      <c r="O42" t="s">
        <v>2125</v>
      </c>
      <c r="P42" t="s">
        <v>270</v>
      </c>
      <c r="Q42" t="s">
        <v>2126</v>
      </c>
      <c r="R42" t="s">
        <v>420</v>
      </c>
      <c r="S42" t="s">
        <v>1317</v>
      </c>
      <c r="T42" t="s">
        <v>2629</v>
      </c>
      <c r="U42" t="s">
        <v>2866</v>
      </c>
      <c r="V42">
        <v>2184357637</v>
      </c>
      <c r="W42" t="s">
        <v>2090</v>
      </c>
      <c r="X42">
        <v>2184351134</v>
      </c>
      <c r="Y42" t="s">
        <v>2867</v>
      </c>
      <c r="Z42" t="s">
        <v>2225</v>
      </c>
      <c r="AA42" t="s">
        <v>2170</v>
      </c>
      <c r="AB42" t="s">
        <v>422</v>
      </c>
      <c r="AC42" t="s">
        <v>336</v>
      </c>
      <c r="AD42">
        <v>56542</v>
      </c>
      <c r="AE42" t="s">
        <v>2170</v>
      </c>
      <c r="AF42" t="s">
        <v>2170</v>
      </c>
      <c r="AG42" t="s">
        <v>1305</v>
      </c>
      <c r="AH42" t="s">
        <v>2091</v>
      </c>
      <c r="AI42" t="s">
        <v>953</v>
      </c>
      <c r="AJ42">
        <v>1</v>
      </c>
      <c r="AK42" t="s">
        <v>1628</v>
      </c>
      <c r="AL42" t="s">
        <v>1077</v>
      </c>
      <c r="AM42" t="s">
        <v>421</v>
      </c>
      <c r="AN42" t="s">
        <v>341</v>
      </c>
      <c r="AO42">
        <v>2184357633</v>
      </c>
      <c r="AP42" t="s">
        <v>2090</v>
      </c>
      <c r="AQ42">
        <v>2184351134</v>
      </c>
      <c r="AR42" t="s">
        <v>1869</v>
      </c>
      <c r="AS42" t="s">
        <v>2225</v>
      </c>
      <c r="AT42" t="s">
        <v>2170</v>
      </c>
      <c r="AU42" t="s">
        <v>422</v>
      </c>
      <c r="AV42" t="s">
        <v>336</v>
      </c>
      <c r="AW42">
        <v>56542</v>
      </c>
      <c r="AX42">
        <v>1599</v>
      </c>
      <c r="AY42" t="s">
        <v>2170</v>
      </c>
      <c r="AZ42" t="s">
        <v>2170</v>
      </c>
      <c r="BA42" t="s">
        <v>2170</v>
      </c>
      <c r="BB42" t="s">
        <v>2170</v>
      </c>
      <c r="BC42" t="s">
        <v>2170</v>
      </c>
      <c r="BD42" t="s">
        <v>2170</v>
      </c>
      <c r="BE42" t="s">
        <v>2170</v>
      </c>
      <c r="BF42" t="s">
        <v>2170</v>
      </c>
      <c r="BG42" t="s">
        <v>2170</v>
      </c>
      <c r="BH42" t="s">
        <v>2170</v>
      </c>
      <c r="BI42" t="s">
        <v>2170</v>
      </c>
      <c r="BJ42" t="s">
        <v>2170</v>
      </c>
      <c r="BK42" t="s">
        <v>2170</v>
      </c>
      <c r="BL42" t="s">
        <v>1077</v>
      </c>
      <c r="BM42" t="s">
        <v>421</v>
      </c>
      <c r="BN42" t="s">
        <v>341</v>
      </c>
      <c r="BO42">
        <v>2184357633</v>
      </c>
      <c r="BP42" t="s">
        <v>2090</v>
      </c>
      <c r="BQ42">
        <v>2184351134</v>
      </c>
      <c r="BR42" t="s">
        <v>1869</v>
      </c>
      <c r="BS42" t="s">
        <v>2225</v>
      </c>
      <c r="BT42" t="s">
        <v>2170</v>
      </c>
      <c r="BU42" t="s">
        <v>422</v>
      </c>
      <c r="BV42" t="s">
        <v>336</v>
      </c>
      <c r="BW42">
        <v>56542</v>
      </c>
      <c r="BX42">
        <v>1599</v>
      </c>
      <c r="BY42" t="s">
        <v>370</v>
      </c>
    </row>
    <row r="43" spans="1:77" customFormat="1" x14ac:dyDescent="0.2">
      <c r="A43" s="504">
        <v>62</v>
      </c>
      <c r="B43">
        <v>1053508820</v>
      </c>
      <c r="C43" t="s">
        <v>1876</v>
      </c>
      <c r="D43" t="s">
        <v>462</v>
      </c>
      <c r="E43" t="s">
        <v>2239</v>
      </c>
      <c r="F43" t="s">
        <v>2090</v>
      </c>
      <c r="H43" t="s">
        <v>424</v>
      </c>
      <c r="I43" t="s">
        <v>336</v>
      </c>
      <c r="J43">
        <v>55350</v>
      </c>
      <c r="K43">
        <v>5000</v>
      </c>
      <c r="L43">
        <v>3202345000</v>
      </c>
      <c r="M43">
        <v>9528833088</v>
      </c>
      <c r="N43" t="s">
        <v>2659</v>
      </c>
      <c r="O43" t="s">
        <v>2660</v>
      </c>
      <c r="P43" t="s">
        <v>116</v>
      </c>
      <c r="Q43" t="s">
        <v>3018</v>
      </c>
      <c r="R43" t="s">
        <v>3019</v>
      </c>
      <c r="S43" t="s">
        <v>1270</v>
      </c>
      <c r="T43" t="s">
        <v>1172</v>
      </c>
      <c r="U43" t="s">
        <v>967</v>
      </c>
      <c r="V43">
        <v>3204844471</v>
      </c>
      <c r="W43" t="s">
        <v>2090</v>
      </c>
      <c r="X43">
        <v>9528833051</v>
      </c>
      <c r="Y43" t="s">
        <v>3020</v>
      </c>
      <c r="Z43" t="s">
        <v>2239</v>
      </c>
      <c r="AA43" t="s">
        <v>2170</v>
      </c>
      <c r="AB43" t="s">
        <v>462</v>
      </c>
      <c r="AC43" t="s">
        <v>336</v>
      </c>
      <c r="AD43">
        <v>55350</v>
      </c>
      <c r="AE43">
        <v>3500</v>
      </c>
      <c r="AF43" t="s">
        <v>424</v>
      </c>
      <c r="AG43" t="s">
        <v>1629</v>
      </c>
      <c r="AH43" t="s">
        <v>702</v>
      </c>
      <c r="AI43" t="s">
        <v>953</v>
      </c>
      <c r="AJ43">
        <v>0</v>
      </c>
      <c r="AK43" t="s">
        <v>3021</v>
      </c>
      <c r="AL43" t="s">
        <v>704</v>
      </c>
      <c r="AM43" t="s">
        <v>1081</v>
      </c>
      <c r="AN43" t="s">
        <v>356</v>
      </c>
      <c r="AO43">
        <v>3202345000</v>
      </c>
      <c r="AP43">
        <v>7098</v>
      </c>
      <c r="AQ43" t="s">
        <v>2090</v>
      </c>
      <c r="AR43" t="s">
        <v>1630</v>
      </c>
      <c r="AS43" t="s">
        <v>2239</v>
      </c>
      <c r="AT43" t="s">
        <v>2170</v>
      </c>
      <c r="AU43" t="s">
        <v>1353</v>
      </c>
      <c r="AV43" t="s">
        <v>336</v>
      </c>
      <c r="AW43">
        <v>55350</v>
      </c>
      <c r="AX43">
        <v>3500</v>
      </c>
      <c r="AY43" t="s">
        <v>3022</v>
      </c>
      <c r="AZ43" t="s">
        <v>1352</v>
      </c>
      <c r="BA43" t="s">
        <v>341</v>
      </c>
      <c r="BB43">
        <v>3204844472</v>
      </c>
      <c r="BC43" t="s">
        <v>2090</v>
      </c>
      <c r="BD43">
        <v>9528833088</v>
      </c>
      <c r="BE43" t="s">
        <v>3023</v>
      </c>
      <c r="BF43" t="s">
        <v>2239</v>
      </c>
      <c r="BG43" t="s">
        <v>2170</v>
      </c>
      <c r="BH43" t="s">
        <v>1353</v>
      </c>
      <c r="BI43" t="s">
        <v>336</v>
      </c>
      <c r="BJ43">
        <v>55350</v>
      </c>
      <c r="BK43">
        <v>3500</v>
      </c>
      <c r="BL43" t="s">
        <v>1270</v>
      </c>
      <c r="BM43" t="s">
        <v>1172</v>
      </c>
      <c r="BN43" t="s">
        <v>967</v>
      </c>
      <c r="BO43">
        <v>3204844471</v>
      </c>
      <c r="BP43" t="s">
        <v>2090</v>
      </c>
      <c r="BQ43">
        <v>9528833051</v>
      </c>
      <c r="BR43" t="s">
        <v>3020</v>
      </c>
      <c r="BS43" t="s">
        <v>2239</v>
      </c>
      <c r="BT43" t="s">
        <v>2170</v>
      </c>
      <c r="BU43" t="s">
        <v>462</v>
      </c>
      <c r="BV43" t="s">
        <v>336</v>
      </c>
      <c r="BW43">
        <v>55350</v>
      </c>
      <c r="BX43">
        <v>3500</v>
      </c>
      <c r="BY43" t="s">
        <v>370</v>
      </c>
    </row>
    <row r="44" spans="1:77" customFormat="1" x14ac:dyDescent="0.2">
      <c r="A44" s="504">
        <v>63</v>
      </c>
      <c r="B44">
        <v>1154302487</v>
      </c>
      <c r="C44" t="s">
        <v>2661</v>
      </c>
      <c r="D44" t="s">
        <v>355</v>
      </c>
      <c r="E44" t="s">
        <v>2662</v>
      </c>
      <c r="F44" t="s">
        <v>2090</v>
      </c>
      <c r="H44" t="s">
        <v>1067</v>
      </c>
      <c r="I44" t="s">
        <v>336</v>
      </c>
      <c r="J44">
        <v>56001</v>
      </c>
      <c r="K44" t="s">
        <v>2090</v>
      </c>
      <c r="L44">
        <v>5076254031</v>
      </c>
      <c r="M44">
        <v>5073452926</v>
      </c>
      <c r="N44" t="s">
        <v>2260</v>
      </c>
      <c r="O44" t="s">
        <v>2261</v>
      </c>
      <c r="P44" t="s">
        <v>2262</v>
      </c>
      <c r="Q44" t="s">
        <v>2263</v>
      </c>
      <c r="R44" t="s">
        <v>2902</v>
      </c>
      <c r="S44" t="s">
        <v>1631</v>
      </c>
      <c r="T44" t="s">
        <v>1632</v>
      </c>
      <c r="U44" t="s">
        <v>2172</v>
      </c>
      <c r="V44">
        <v>5075947197</v>
      </c>
      <c r="W44" t="s">
        <v>2090</v>
      </c>
      <c r="X44">
        <v>5075944874</v>
      </c>
      <c r="Y44" t="s">
        <v>1633</v>
      </c>
      <c r="Z44" t="s">
        <v>2903</v>
      </c>
      <c r="AA44" t="s">
        <v>357</v>
      </c>
      <c r="AB44" t="s">
        <v>193</v>
      </c>
      <c r="AC44" t="s">
        <v>336</v>
      </c>
      <c r="AD44">
        <v>56001</v>
      </c>
      <c r="AE44" t="s">
        <v>2170</v>
      </c>
      <c r="AF44" t="s">
        <v>194</v>
      </c>
      <c r="AG44" t="s">
        <v>2598</v>
      </c>
      <c r="AH44" t="s">
        <v>958</v>
      </c>
      <c r="AI44" t="s">
        <v>953</v>
      </c>
      <c r="AJ44">
        <v>0</v>
      </c>
      <c r="AK44" t="s">
        <v>2969</v>
      </c>
      <c r="AL44" t="s">
        <v>117</v>
      </c>
      <c r="AM44" t="s">
        <v>2905</v>
      </c>
      <c r="AN44" t="s">
        <v>2906</v>
      </c>
      <c r="AO44">
        <v>5074341069</v>
      </c>
      <c r="AP44" t="s">
        <v>2090</v>
      </c>
      <c r="AQ44">
        <v>5074341432</v>
      </c>
      <c r="AR44" t="s">
        <v>2907</v>
      </c>
      <c r="AS44" t="s">
        <v>2472</v>
      </c>
      <c r="AT44" t="s">
        <v>2170</v>
      </c>
      <c r="AU44" t="s">
        <v>2469</v>
      </c>
      <c r="AV44" t="s">
        <v>336</v>
      </c>
      <c r="AW44">
        <v>55912</v>
      </c>
      <c r="AX44" t="s">
        <v>2170</v>
      </c>
      <c r="AY44" t="s">
        <v>2170</v>
      </c>
      <c r="AZ44" t="s">
        <v>2170</v>
      </c>
      <c r="BA44" t="s">
        <v>2170</v>
      </c>
      <c r="BB44" t="s">
        <v>2170</v>
      </c>
      <c r="BC44" t="s">
        <v>2170</v>
      </c>
      <c r="BD44" t="s">
        <v>2170</v>
      </c>
      <c r="BE44" t="s">
        <v>2170</v>
      </c>
      <c r="BF44" t="s">
        <v>2170</v>
      </c>
      <c r="BG44" t="s">
        <v>2170</v>
      </c>
      <c r="BH44" t="s">
        <v>2170</v>
      </c>
      <c r="BI44" t="s">
        <v>2170</v>
      </c>
      <c r="BJ44" t="s">
        <v>2170</v>
      </c>
      <c r="BK44" t="s">
        <v>2170</v>
      </c>
      <c r="BL44" t="s">
        <v>117</v>
      </c>
      <c r="BM44" t="s">
        <v>2905</v>
      </c>
      <c r="BN44" t="s">
        <v>3024</v>
      </c>
      <c r="BO44">
        <v>5074341069</v>
      </c>
      <c r="BP44" t="s">
        <v>2090</v>
      </c>
      <c r="BQ44">
        <v>5074341432</v>
      </c>
      <c r="BR44" t="s">
        <v>2907</v>
      </c>
      <c r="BS44" t="s">
        <v>2472</v>
      </c>
      <c r="BT44" t="s">
        <v>2170</v>
      </c>
      <c r="BU44" t="s">
        <v>2469</v>
      </c>
      <c r="BV44" t="s">
        <v>336</v>
      </c>
      <c r="BW44">
        <v>55912</v>
      </c>
      <c r="BX44" t="s">
        <v>2170</v>
      </c>
      <c r="BY44" t="s">
        <v>370</v>
      </c>
    </row>
    <row r="45" spans="1:77" customFormat="1" x14ac:dyDescent="0.2">
      <c r="A45" s="504">
        <v>64</v>
      </c>
      <c r="B45">
        <v>1669426631</v>
      </c>
      <c r="C45" t="s">
        <v>1634</v>
      </c>
      <c r="D45" t="s">
        <v>442</v>
      </c>
      <c r="E45" t="s">
        <v>2232</v>
      </c>
      <c r="F45" t="s">
        <v>2090</v>
      </c>
      <c r="H45" t="s">
        <v>1063</v>
      </c>
      <c r="I45" t="s">
        <v>336</v>
      </c>
      <c r="J45">
        <v>55744</v>
      </c>
      <c r="K45">
        <v>3698</v>
      </c>
      <c r="L45">
        <v>2183263401</v>
      </c>
      <c r="M45">
        <v>2183267743</v>
      </c>
      <c r="N45" t="s">
        <v>3025</v>
      </c>
      <c r="O45" t="s">
        <v>3026</v>
      </c>
      <c r="P45" t="s">
        <v>116</v>
      </c>
      <c r="Q45" t="s">
        <v>3027</v>
      </c>
      <c r="R45" t="s">
        <v>2587</v>
      </c>
      <c r="S45" t="s">
        <v>204</v>
      </c>
      <c r="T45" t="s">
        <v>1267</v>
      </c>
      <c r="U45" t="s">
        <v>2591</v>
      </c>
      <c r="V45">
        <v>6126726736</v>
      </c>
      <c r="W45" t="s">
        <v>2090</v>
      </c>
      <c r="X45" t="s">
        <v>2090</v>
      </c>
      <c r="Y45" t="s">
        <v>2979</v>
      </c>
      <c r="Z45" t="s">
        <v>2980</v>
      </c>
      <c r="AA45" t="s">
        <v>2170</v>
      </c>
      <c r="AB45" t="s">
        <v>968</v>
      </c>
      <c r="AC45" t="s">
        <v>336</v>
      </c>
      <c r="AD45">
        <v>55104</v>
      </c>
      <c r="AE45">
        <v>3727</v>
      </c>
      <c r="AF45" t="s">
        <v>2978</v>
      </c>
      <c r="AG45" t="s">
        <v>1306</v>
      </c>
      <c r="AH45" t="s">
        <v>2773</v>
      </c>
      <c r="AI45" t="s">
        <v>953</v>
      </c>
      <c r="AJ45">
        <v>0</v>
      </c>
      <c r="AK45" t="s">
        <v>2128</v>
      </c>
      <c r="AL45" t="s">
        <v>1620</v>
      </c>
      <c r="AM45" t="s">
        <v>2890</v>
      </c>
      <c r="AN45" t="s">
        <v>2007</v>
      </c>
      <c r="AO45">
        <v>6126727067</v>
      </c>
      <c r="AP45" t="s">
        <v>2090</v>
      </c>
      <c r="AQ45">
        <v>6126726986</v>
      </c>
      <c r="AR45" t="s">
        <v>1313</v>
      </c>
      <c r="AS45" t="s">
        <v>2889</v>
      </c>
      <c r="AT45" t="s">
        <v>2170</v>
      </c>
      <c r="AU45" t="s">
        <v>2307</v>
      </c>
      <c r="AV45" t="s">
        <v>1995</v>
      </c>
      <c r="AW45">
        <v>55104</v>
      </c>
      <c r="AX45" t="s">
        <v>2170</v>
      </c>
      <c r="AY45" t="s">
        <v>2170</v>
      </c>
      <c r="AZ45" t="s">
        <v>2170</v>
      </c>
      <c r="BA45" t="s">
        <v>2170</v>
      </c>
      <c r="BB45" t="s">
        <v>2170</v>
      </c>
      <c r="BC45" t="s">
        <v>2170</v>
      </c>
      <c r="BD45" t="s">
        <v>2170</v>
      </c>
      <c r="BE45" t="s">
        <v>2170</v>
      </c>
      <c r="BF45" t="s">
        <v>2170</v>
      </c>
      <c r="BG45" t="s">
        <v>2170</v>
      </c>
      <c r="BH45" t="s">
        <v>2170</v>
      </c>
      <c r="BI45" t="s">
        <v>2170</v>
      </c>
      <c r="BJ45" t="s">
        <v>2170</v>
      </c>
      <c r="BK45" t="s">
        <v>2170</v>
      </c>
      <c r="BL45" t="s">
        <v>2891</v>
      </c>
      <c r="BM45" t="s">
        <v>2892</v>
      </c>
      <c r="BN45" t="s">
        <v>2203</v>
      </c>
      <c r="BO45">
        <v>6126724923</v>
      </c>
      <c r="BP45" t="s">
        <v>2090</v>
      </c>
      <c r="BQ45" t="s">
        <v>2090</v>
      </c>
      <c r="BR45" t="s">
        <v>2893</v>
      </c>
      <c r="BS45" t="s">
        <v>2894</v>
      </c>
      <c r="BT45" t="s">
        <v>2170</v>
      </c>
      <c r="BU45" t="s">
        <v>2177</v>
      </c>
      <c r="BV45" t="s">
        <v>336</v>
      </c>
      <c r="BW45">
        <v>55104</v>
      </c>
      <c r="BX45" t="s">
        <v>2170</v>
      </c>
      <c r="BY45" t="s">
        <v>370</v>
      </c>
    </row>
    <row r="46" spans="1:77" customFormat="1" x14ac:dyDescent="0.2">
      <c r="A46" s="504">
        <v>65</v>
      </c>
      <c r="B46">
        <v>1326069097</v>
      </c>
      <c r="C46" t="s">
        <v>1496</v>
      </c>
      <c r="D46" t="s">
        <v>1361</v>
      </c>
      <c r="E46" t="s">
        <v>3028</v>
      </c>
      <c r="F46" t="s">
        <v>2090</v>
      </c>
      <c r="H46" t="s">
        <v>1361</v>
      </c>
      <c r="I46" t="s">
        <v>336</v>
      </c>
      <c r="J46">
        <v>56143</v>
      </c>
      <c r="K46">
        <v>1093</v>
      </c>
      <c r="L46">
        <v>5078472420</v>
      </c>
      <c r="M46">
        <v>5078473728</v>
      </c>
      <c r="N46" t="s">
        <v>1912</v>
      </c>
      <c r="O46" t="s">
        <v>2242</v>
      </c>
      <c r="P46" t="s">
        <v>2663</v>
      </c>
      <c r="Q46" t="s">
        <v>2243</v>
      </c>
      <c r="R46" t="s">
        <v>2664</v>
      </c>
      <c r="S46" t="s">
        <v>2104</v>
      </c>
      <c r="T46" t="s">
        <v>2925</v>
      </c>
      <c r="U46" t="s">
        <v>2922</v>
      </c>
      <c r="V46">
        <v>7012341213</v>
      </c>
      <c r="W46" t="s">
        <v>2090</v>
      </c>
      <c r="X46" t="s">
        <v>2090</v>
      </c>
      <c r="Y46" t="s">
        <v>2923</v>
      </c>
      <c r="Z46" t="s">
        <v>2170</v>
      </c>
      <c r="AA46" t="s">
        <v>2170</v>
      </c>
      <c r="AB46" t="s">
        <v>2170</v>
      </c>
      <c r="AC46" t="s">
        <v>1995</v>
      </c>
      <c r="AD46" t="s">
        <v>2170</v>
      </c>
      <c r="AE46" t="s">
        <v>2170</v>
      </c>
      <c r="AF46" t="s">
        <v>2170</v>
      </c>
      <c r="AG46" t="s">
        <v>1636</v>
      </c>
      <c r="AH46" t="s">
        <v>1274</v>
      </c>
      <c r="AI46" t="s">
        <v>953</v>
      </c>
      <c r="AJ46">
        <v>1</v>
      </c>
      <c r="AK46" t="s">
        <v>2665</v>
      </c>
      <c r="AL46" t="s">
        <v>2170</v>
      </c>
      <c r="AM46" t="s">
        <v>2170</v>
      </c>
      <c r="AN46" t="s">
        <v>2170</v>
      </c>
      <c r="AO46" t="s">
        <v>2170</v>
      </c>
      <c r="AP46" t="s">
        <v>2170</v>
      </c>
      <c r="AQ46" t="s">
        <v>2170</v>
      </c>
      <c r="AR46" t="s">
        <v>2170</v>
      </c>
      <c r="AS46" t="s">
        <v>2170</v>
      </c>
      <c r="AT46" t="s">
        <v>2170</v>
      </c>
      <c r="AU46" t="s">
        <v>2170</v>
      </c>
      <c r="AV46" t="s">
        <v>2170</v>
      </c>
      <c r="AW46" t="s">
        <v>2170</v>
      </c>
      <c r="AX46" t="s">
        <v>2170</v>
      </c>
      <c r="AY46" t="s">
        <v>2170</v>
      </c>
      <c r="AZ46" t="s">
        <v>2170</v>
      </c>
      <c r="BA46" t="s">
        <v>2170</v>
      </c>
      <c r="BB46" t="s">
        <v>2170</v>
      </c>
      <c r="BC46" t="s">
        <v>2170</v>
      </c>
      <c r="BD46" t="s">
        <v>2170</v>
      </c>
      <c r="BE46" t="s">
        <v>2170</v>
      </c>
      <c r="BF46" t="s">
        <v>2170</v>
      </c>
      <c r="BG46" t="s">
        <v>2170</v>
      </c>
      <c r="BH46" t="s">
        <v>2170</v>
      </c>
      <c r="BI46" t="s">
        <v>2170</v>
      </c>
      <c r="BJ46" t="s">
        <v>2170</v>
      </c>
      <c r="BK46" t="s">
        <v>2170</v>
      </c>
      <c r="BL46" t="s">
        <v>2218</v>
      </c>
      <c r="BM46" t="s">
        <v>2666</v>
      </c>
      <c r="BN46" t="s">
        <v>961</v>
      </c>
      <c r="BO46">
        <v>0</v>
      </c>
      <c r="BP46" t="s">
        <v>2090</v>
      </c>
      <c r="BQ46" t="s">
        <v>2090</v>
      </c>
      <c r="BR46" t="s">
        <v>2090</v>
      </c>
      <c r="BS46" t="s">
        <v>2170</v>
      </c>
      <c r="BT46" t="s">
        <v>2170</v>
      </c>
      <c r="BU46" t="s">
        <v>2170</v>
      </c>
      <c r="BV46" t="s">
        <v>1995</v>
      </c>
      <c r="BW46" t="s">
        <v>2170</v>
      </c>
      <c r="BX46" t="s">
        <v>2170</v>
      </c>
      <c r="BY46" t="s">
        <v>370</v>
      </c>
    </row>
    <row r="47" spans="1:77" customFormat="1" x14ac:dyDescent="0.2">
      <c r="A47" s="504">
        <v>66</v>
      </c>
      <c r="B47">
        <v>1093745051</v>
      </c>
      <c r="C47" t="s">
        <v>165</v>
      </c>
      <c r="D47" t="s">
        <v>166</v>
      </c>
      <c r="E47" t="s">
        <v>2214</v>
      </c>
      <c r="F47" t="s">
        <v>2090</v>
      </c>
      <c r="H47" t="s">
        <v>167</v>
      </c>
      <c r="I47" t="s">
        <v>336</v>
      </c>
      <c r="J47">
        <v>56232</v>
      </c>
      <c r="K47">
        <v>2333</v>
      </c>
      <c r="L47">
        <v>3207694323</v>
      </c>
      <c r="M47">
        <v>3207692972</v>
      </c>
      <c r="N47" t="s">
        <v>2115</v>
      </c>
      <c r="O47" t="s">
        <v>169</v>
      </c>
      <c r="P47" t="s">
        <v>270</v>
      </c>
      <c r="Q47" t="s">
        <v>2116</v>
      </c>
      <c r="R47" t="s">
        <v>1858</v>
      </c>
      <c r="S47" t="s">
        <v>1859</v>
      </c>
      <c r="T47" t="s">
        <v>1860</v>
      </c>
      <c r="U47" t="s">
        <v>341</v>
      </c>
      <c r="V47">
        <v>3203122104</v>
      </c>
      <c r="W47" t="s">
        <v>2090</v>
      </c>
      <c r="X47">
        <v>3207692972</v>
      </c>
      <c r="Y47" t="s">
        <v>1861</v>
      </c>
      <c r="Z47" t="s">
        <v>2214</v>
      </c>
      <c r="AA47" t="s">
        <v>2170</v>
      </c>
      <c r="AB47" t="s">
        <v>166</v>
      </c>
      <c r="AC47" t="s">
        <v>336</v>
      </c>
      <c r="AD47">
        <v>56232</v>
      </c>
      <c r="AE47">
        <v>2333</v>
      </c>
      <c r="AF47" t="s">
        <v>167</v>
      </c>
      <c r="AG47" t="s">
        <v>1637</v>
      </c>
      <c r="AH47" t="s">
        <v>351</v>
      </c>
      <c r="AI47" t="s">
        <v>2170</v>
      </c>
      <c r="AJ47">
        <v>1</v>
      </c>
      <c r="AK47" t="s">
        <v>3029</v>
      </c>
      <c r="AL47" t="s">
        <v>3030</v>
      </c>
      <c r="AM47" t="s">
        <v>3031</v>
      </c>
      <c r="AN47" t="s">
        <v>978</v>
      </c>
      <c r="AO47">
        <v>3203122142</v>
      </c>
      <c r="AP47" t="s">
        <v>2090</v>
      </c>
      <c r="AQ47">
        <v>3207692972</v>
      </c>
      <c r="AR47" t="s">
        <v>3032</v>
      </c>
      <c r="AS47" t="s">
        <v>2170</v>
      </c>
      <c r="AT47" t="s">
        <v>2170</v>
      </c>
      <c r="AU47" t="s">
        <v>2170</v>
      </c>
      <c r="AV47" t="s">
        <v>1995</v>
      </c>
      <c r="AW47" t="s">
        <v>2170</v>
      </c>
      <c r="AX47" t="s">
        <v>2170</v>
      </c>
      <c r="AY47" t="s">
        <v>2170</v>
      </c>
      <c r="AZ47" t="s">
        <v>2170</v>
      </c>
      <c r="BA47" t="s">
        <v>2170</v>
      </c>
      <c r="BB47" t="s">
        <v>2170</v>
      </c>
      <c r="BC47" t="s">
        <v>2170</v>
      </c>
      <c r="BD47" t="s">
        <v>2170</v>
      </c>
      <c r="BE47" t="s">
        <v>2170</v>
      </c>
      <c r="BF47" t="s">
        <v>2170</v>
      </c>
      <c r="BG47" t="s">
        <v>2170</v>
      </c>
      <c r="BH47" t="s">
        <v>2170</v>
      </c>
      <c r="BI47" t="s">
        <v>2170</v>
      </c>
      <c r="BJ47" t="s">
        <v>2170</v>
      </c>
      <c r="BK47" t="s">
        <v>2170</v>
      </c>
      <c r="BL47" t="s">
        <v>1859</v>
      </c>
      <c r="BM47" t="s">
        <v>1860</v>
      </c>
      <c r="BN47" t="s">
        <v>341</v>
      </c>
      <c r="BO47">
        <v>3203122104</v>
      </c>
      <c r="BP47" t="s">
        <v>2090</v>
      </c>
      <c r="BQ47">
        <v>3207692972</v>
      </c>
      <c r="BR47" t="s">
        <v>1861</v>
      </c>
      <c r="BS47" t="s">
        <v>2214</v>
      </c>
      <c r="BT47" t="s">
        <v>2170</v>
      </c>
      <c r="BU47" t="s">
        <v>166</v>
      </c>
      <c r="BV47" t="s">
        <v>336</v>
      </c>
      <c r="BW47">
        <v>56232</v>
      </c>
      <c r="BX47">
        <v>2333</v>
      </c>
      <c r="BY47" t="s">
        <v>368</v>
      </c>
    </row>
    <row r="48" spans="1:77" customFormat="1" x14ac:dyDescent="0.2">
      <c r="A48" s="504">
        <v>67</v>
      </c>
      <c r="B48">
        <v>1528031390</v>
      </c>
      <c r="C48" t="s">
        <v>2667</v>
      </c>
      <c r="D48" t="s">
        <v>184</v>
      </c>
      <c r="E48" t="s">
        <v>3033</v>
      </c>
      <c r="F48" t="s">
        <v>2090</v>
      </c>
      <c r="H48" t="s">
        <v>185</v>
      </c>
      <c r="I48" t="s">
        <v>336</v>
      </c>
      <c r="J48">
        <v>55051</v>
      </c>
      <c r="K48">
        <v>1899</v>
      </c>
      <c r="L48">
        <v>3206791212</v>
      </c>
      <c r="M48">
        <v>3206791643</v>
      </c>
      <c r="N48" t="s">
        <v>186</v>
      </c>
      <c r="O48" t="s">
        <v>187</v>
      </c>
      <c r="P48" t="s">
        <v>1069</v>
      </c>
      <c r="Q48" t="s">
        <v>188</v>
      </c>
      <c r="R48" t="s">
        <v>189</v>
      </c>
      <c r="S48" t="s">
        <v>2276</v>
      </c>
      <c r="T48" t="s">
        <v>2277</v>
      </c>
      <c r="U48" t="s">
        <v>341</v>
      </c>
      <c r="V48">
        <v>3202253605</v>
      </c>
      <c r="W48" t="s">
        <v>2090</v>
      </c>
      <c r="X48" t="s">
        <v>2090</v>
      </c>
      <c r="Y48" t="s">
        <v>2278</v>
      </c>
      <c r="Z48" t="s">
        <v>2170</v>
      </c>
      <c r="AA48" t="s">
        <v>2170</v>
      </c>
      <c r="AB48" t="s">
        <v>184</v>
      </c>
      <c r="AC48" t="s">
        <v>336</v>
      </c>
      <c r="AD48" t="s">
        <v>2170</v>
      </c>
      <c r="AE48" t="s">
        <v>2170</v>
      </c>
      <c r="AF48" t="s">
        <v>185</v>
      </c>
      <c r="AG48" t="s">
        <v>1883</v>
      </c>
      <c r="AH48" t="s">
        <v>351</v>
      </c>
      <c r="AI48" t="s">
        <v>2170</v>
      </c>
      <c r="AJ48">
        <v>1</v>
      </c>
      <c r="AK48" t="s">
        <v>2279</v>
      </c>
      <c r="AL48" t="s">
        <v>2170</v>
      </c>
      <c r="AM48" t="s">
        <v>2170</v>
      </c>
      <c r="AN48" t="s">
        <v>2170</v>
      </c>
      <c r="AO48" t="s">
        <v>2170</v>
      </c>
      <c r="AP48" t="s">
        <v>2170</v>
      </c>
      <c r="AQ48" t="s">
        <v>2170</v>
      </c>
      <c r="AR48" t="s">
        <v>2170</v>
      </c>
      <c r="AS48" t="s">
        <v>2170</v>
      </c>
      <c r="AT48" t="s">
        <v>2170</v>
      </c>
      <c r="AU48" t="s">
        <v>2170</v>
      </c>
      <c r="AV48" t="s">
        <v>2170</v>
      </c>
      <c r="AW48" t="s">
        <v>2170</v>
      </c>
      <c r="AX48" t="s">
        <v>2170</v>
      </c>
      <c r="AY48" t="s">
        <v>2170</v>
      </c>
      <c r="AZ48" t="s">
        <v>2170</v>
      </c>
      <c r="BA48" t="s">
        <v>2170</v>
      </c>
      <c r="BB48" t="s">
        <v>2170</v>
      </c>
      <c r="BC48" t="s">
        <v>2170</v>
      </c>
      <c r="BD48" t="s">
        <v>2170</v>
      </c>
      <c r="BE48" t="s">
        <v>2170</v>
      </c>
      <c r="BF48" t="s">
        <v>2170</v>
      </c>
      <c r="BG48" t="s">
        <v>2170</v>
      </c>
      <c r="BH48" t="s">
        <v>2170</v>
      </c>
      <c r="BI48" t="s">
        <v>2170</v>
      </c>
      <c r="BJ48" t="s">
        <v>2170</v>
      </c>
      <c r="BK48" t="s">
        <v>2170</v>
      </c>
      <c r="BL48" t="s">
        <v>2280</v>
      </c>
      <c r="BM48" t="s">
        <v>2277</v>
      </c>
      <c r="BN48" t="s">
        <v>341</v>
      </c>
      <c r="BO48">
        <v>3202253605</v>
      </c>
      <c r="BP48" t="s">
        <v>2090</v>
      </c>
      <c r="BQ48" t="s">
        <v>2090</v>
      </c>
      <c r="BR48" t="s">
        <v>2278</v>
      </c>
      <c r="BS48" t="s">
        <v>2170</v>
      </c>
      <c r="BT48" t="s">
        <v>2170</v>
      </c>
      <c r="BU48" t="s">
        <v>2170</v>
      </c>
      <c r="BV48" t="s">
        <v>1995</v>
      </c>
      <c r="BW48" t="s">
        <v>2170</v>
      </c>
      <c r="BX48" t="s">
        <v>2170</v>
      </c>
      <c r="BY48" t="s">
        <v>365</v>
      </c>
    </row>
    <row r="49" spans="1:77" customFormat="1" x14ac:dyDescent="0.2">
      <c r="A49" s="504">
        <v>69</v>
      </c>
      <c r="B49">
        <v>1669403846</v>
      </c>
      <c r="C49" t="s">
        <v>446</v>
      </c>
      <c r="D49" t="s">
        <v>447</v>
      </c>
      <c r="E49" t="s">
        <v>3034</v>
      </c>
      <c r="F49" t="s">
        <v>2090</v>
      </c>
      <c r="H49" t="s">
        <v>448</v>
      </c>
      <c r="I49" t="s">
        <v>336</v>
      </c>
      <c r="J49">
        <v>56728</v>
      </c>
      <c r="K49">
        <v>4208</v>
      </c>
      <c r="L49">
        <v>2188433612</v>
      </c>
      <c r="M49">
        <v>2188432311</v>
      </c>
      <c r="N49" t="s">
        <v>3035</v>
      </c>
      <c r="O49" t="s">
        <v>3036</v>
      </c>
      <c r="P49" t="s">
        <v>346</v>
      </c>
      <c r="Q49" t="s">
        <v>3037</v>
      </c>
      <c r="R49" t="s">
        <v>2668</v>
      </c>
      <c r="S49" t="s">
        <v>339</v>
      </c>
      <c r="T49" t="s">
        <v>2233</v>
      </c>
      <c r="U49" t="s">
        <v>1843</v>
      </c>
      <c r="V49">
        <v>6123973277</v>
      </c>
      <c r="W49" t="s">
        <v>2090</v>
      </c>
      <c r="X49">
        <v>6123764850</v>
      </c>
      <c r="Y49" t="s">
        <v>2234</v>
      </c>
      <c r="Z49" t="s">
        <v>2196</v>
      </c>
      <c r="AA49" t="s">
        <v>2170</v>
      </c>
      <c r="AB49" t="s">
        <v>447</v>
      </c>
      <c r="AC49" t="s">
        <v>336</v>
      </c>
      <c r="AD49">
        <v>55402</v>
      </c>
      <c r="AE49">
        <v>1436</v>
      </c>
      <c r="AF49" t="s">
        <v>448</v>
      </c>
      <c r="AG49" t="s">
        <v>2235</v>
      </c>
      <c r="AH49" t="s">
        <v>351</v>
      </c>
      <c r="AI49" t="s">
        <v>2170</v>
      </c>
      <c r="AJ49">
        <v>1</v>
      </c>
      <c r="AK49" t="s">
        <v>2669</v>
      </c>
      <c r="AL49" t="s">
        <v>2670</v>
      </c>
      <c r="AM49" t="s">
        <v>2671</v>
      </c>
      <c r="AN49" t="s">
        <v>2672</v>
      </c>
      <c r="AO49">
        <v>6123764591</v>
      </c>
      <c r="AP49" t="s">
        <v>2090</v>
      </c>
      <c r="AQ49">
        <v>6123764850</v>
      </c>
      <c r="AR49" t="s">
        <v>2673</v>
      </c>
      <c r="AS49" t="s">
        <v>2196</v>
      </c>
      <c r="AT49" t="s">
        <v>2170</v>
      </c>
      <c r="AU49" t="s">
        <v>119</v>
      </c>
      <c r="AV49" t="s">
        <v>336</v>
      </c>
      <c r="AW49">
        <v>55402</v>
      </c>
      <c r="AX49">
        <v>1436</v>
      </c>
      <c r="AY49" t="s">
        <v>3038</v>
      </c>
      <c r="AZ49" t="s">
        <v>3039</v>
      </c>
      <c r="BA49" t="s">
        <v>341</v>
      </c>
      <c r="BB49">
        <v>2188433802</v>
      </c>
      <c r="BC49" t="s">
        <v>2090</v>
      </c>
      <c r="BD49">
        <v>2188432311</v>
      </c>
      <c r="BE49" t="s">
        <v>3040</v>
      </c>
      <c r="BF49" t="s">
        <v>2236</v>
      </c>
      <c r="BG49" t="s">
        <v>2170</v>
      </c>
      <c r="BH49" t="s">
        <v>1640</v>
      </c>
      <c r="BI49" t="s">
        <v>336</v>
      </c>
      <c r="BJ49">
        <v>56728</v>
      </c>
      <c r="BK49">
        <v>1436</v>
      </c>
      <c r="BL49" t="s">
        <v>2170</v>
      </c>
      <c r="BM49" t="s">
        <v>2170</v>
      </c>
      <c r="BN49" t="s">
        <v>2170</v>
      </c>
      <c r="BO49" t="s">
        <v>2170</v>
      </c>
      <c r="BP49" t="s">
        <v>2170</v>
      </c>
      <c r="BQ49" t="s">
        <v>2170</v>
      </c>
      <c r="BR49" t="s">
        <v>2170</v>
      </c>
      <c r="BS49" t="s">
        <v>2170</v>
      </c>
      <c r="BT49" t="s">
        <v>2170</v>
      </c>
      <c r="BU49" t="s">
        <v>2170</v>
      </c>
      <c r="BV49" t="s">
        <v>2170</v>
      </c>
      <c r="BW49" t="s">
        <v>2170</v>
      </c>
      <c r="BX49" t="s">
        <v>2170</v>
      </c>
      <c r="BY49" t="s">
        <v>370</v>
      </c>
    </row>
    <row r="50" spans="1:77" customFormat="1" x14ac:dyDescent="0.2">
      <c r="A50" s="504">
        <v>70</v>
      </c>
      <c r="B50">
        <v>1538113022</v>
      </c>
      <c r="C50" t="s">
        <v>2674</v>
      </c>
      <c r="D50" t="s">
        <v>463</v>
      </c>
      <c r="E50" t="s">
        <v>2675</v>
      </c>
      <c r="F50" t="s">
        <v>2090</v>
      </c>
      <c r="H50" t="s">
        <v>141</v>
      </c>
      <c r="I50" t="s">
        <v>336</v>
      </c>
      <c r="J50">
        <v>55041</v>
      </c>
      <c r="K50">
        <v>1143</v>
      </c>
      <c r="L50">
        <v>6513453321</v>
      </c>
      <c r="M50">
        <v>6513451182</v>
      </c>
      <c r="N50" t="s">
        <v>2899</v>
      </c>
      <c r="O50" t="s">
        <v>2900</v>
      </c>
      <c r="P50" t="s">
        <v>270</v>
      </c>
      <c r="Q50" t="s">
        <v>2901</v>
      </c>
      <c r="R50" t="s">
        <v>2902</v>
      </c>
      <c r="S50" t="s">
        <v>1631</v>
      </c>
      <c r="T50" t="s">
        <v>1632</v>
      </c>
      <c r="U50" t="s">
        <v>2172</v>
      </c>
      <c r="V50">
        <v>5075947197</v>
      </c>
      <c r="W50" t="s">
        <v>2090</v>
      </c>
      <c r="X50">
        <v>5075944874</v>
      </c>
      <c r="Y50" t="s">
        <v>1633</v>
      </c>
      <c r="Z50" t="s">
        <v>2903</v>
      </c>
      <c r="AA50" t="s">
        <v>357</v>
      </c>
      <c r="AB50" t="s">
        <v>193</v>
      </c>
      <c r="AC50" t="s">
        <v>336</v>
      </c>
      <c r="AD50">
        <v>56001</v>
      </c>
      <c r="AE50" t="s">
        <v>2170</v>
      </c>
      <c r="AF50" t="s">
        <v>194</v>
      </c>
      <c r="AG50" t="s">
        <v>2676</v>
      </c>
      <c r="AH50" t="s">
        <v>958</v>
      </c>
      <c r="AI50" t="s">
        <v>953</v>
      </c>
      <c r="AJ50">
        <v>1</v>
      </c>
      <c r="AK50" t="s">
        <v>2904</v>
      </c>
      <c r="AL50" t="s">
        <v>117</v>
      </c>
      <c r="AM50" t="s">
        <v>2905</v>
      </c>
      <c r="AN50" t="s">
        <v>2906</v>
      </c>
      <c r="AO50">
        <v>5074341069</v>
      </c>
      <c r="AP50" t="s">
        <v>2090</v>
      </c>
      <c r="AQ50">
        <v>5074341432</v>
      </c>
      <c r="AR50" t="s">
        <v>2907</v>
      </c>
      <c r="AS50" t="s">
        <v>2472</v>
      </c>
      <c r="AT50" t="s">
        <v>2170</v>
      </c>
      <c r="AU50" t="s">
        <v>2469</v>
      </c>
      <c r="AV50" t="s">
        <v>336</v>
      </c>
      <c r="AW50">
        <v>55912</v>
      </c>
      <c r="AX50" t="s">
        <v>2170</v>
      </c>
      <c r="AY50" t="s">
        <v>2170</v>
      </c>
      <c r="AZ50" t="s">
        <v>2170</v>
      </c>
      <c r="BA50" t="s">
        <v>2170</v>
      </c>
      <c r="BB50" t="s">
        <v>2170</v>
      </c>
      <c r="BC50" t="s">
        <v>2170</v>
      </c>
      <c r="BD50" t="s">
        <v>2170</v>
      </c>
      <c r="BE50" t="s">
        <v>2170</v>
      </c>
      <c r="BF50" t="s">
        <v>2170</v>
      </c>
      <c r="BG50" t="s">
        <v>2170</v>
      </c>
      <c r="BH50" t="s">
        <v>2170</v>
      </c>
      <c r="BI50" t="s">
        <v>2170</v>
      </c>
      <c r="BJ50" t="s">
        <v>2170</v>
      </c>
      <c r="BK50" t="s">
        <v>2170</v>
      </c>
      <c r="BL50" t="s">
        <v>1631</v>
      </c>
      <c r="BM50" t="s">
        <v>1632</v>
      </c>
      <c r="BN50" t="s">
        <v>2172</v>
      </c>
      <c r="BO50">
        <v>5075947197</v>
      </c>
      <c r="BP50" t="s">
        <v>2090</v>
      </c>
      <c r="BQ50">
        <v>5075944874</v>
      </c>
      <c r="BR50" t="s">
        <v>1633</v>
      </c>
      <c r="BS50" t="s">
        <v>2903</v>
      </c>
      <c r="BT50" t="s">
        <v>357</v>
      </c>
      <c r="BU50" t="s">
        <v>193</v>
      </c>
      <c r="BV50" t="s">
        <v>336</v>
      </c>
      <c r="BW50">
        <v>56001</v>
      </c>
      <c r="BX50" t="s">
        <v>2170</v>
      </c>
      <c r="BY50" t="s">
        <v>370</v>
      </c>
    </row>
    <row r="51" spans="1:77" customFormat="1" x14ac:dyDescent="0.2">
      <c r="A51" s="504">
        <v>71</v>
      </c>
      <c r="B51">
        <v>1093713372</v>
      </c>
      <c r="C51" t="s">
        <v>2445</v>
      </c>
      <c r="D51" t="s">
        <v>563</v>
      </c>
      <c r="E51" t="s">
        <v>2446</v>
      </c>
      <c r="F51" t="s">
        <v>2090</v>
      </c>
      <c r="H51" t="s">
        <v>1278</v>
      </c>
      <c r="I51" t="s">
        <v>336</v>
      </c>
      <c r="J51">
        <v>56537</v>
      </c>
      <c r="K51" t="s">
        <v>2090</v>
      </c>
      <c r="L51">
        <v>2187368000</v>
      </c>
      <c r="M51">
        <v>2187368723</v>
      </c>
      <c r="N51" t="s">
        <v>3041</v>
      </c>
      <c r="O51" t="s">
        <v>3042</v>
      </c>
      <c r="P51" t="s">
        <v>1069</v>
      </c>
      <c r="Q51" t="s">
        <v>3043</v>
      </c>
      <c r="R51" t="s">
        <v>3044</v>
      </c>
      <c r="S51" t="s">
        <v>1870</v>
      </c>
      <c r="T51" t="s">
        <v>3045</v>
      </c>
      <c r="U51" t="s">
        <v>967</v>
      </c>
      <c r="V51">
        <v>2187368421</v>
      </c>
      <c r="W51" t="s">
        <v>2090</v>
      </c>
      <c r="X51" t="s">
        <v>2090</v>
      </c>
      <c r="Y51" t="s">
        <v>3046</v>
      </c>
      <c r="Z51" t="s">
        <v>3047</v>
      </c>
      <c r="AA51" t="s">
        <v>2170</v>
      </c>
      <c r="AB51" t="s">
        <v>563</v>
      </c>
      <c r="AC51" t="s">
        <v>336</v>
      </c>
      <c r="AD51">
        <v>56537</v>
      </c>
      <c r="AE51" t="s">
        <v>2170</v>
      </c>
      <c r="AF51" t="s">
        <v>1278</v>
      </c>
      <c r="AG51" t="s">
        <v>1282</v>
      </c>
      <c r="AH51" t="s">
        <v>351</v>
      </c>
      <c r="AI51" t="s">
        <v>2170</v>
      </c>
      <c r="AJ51">
        <v>0</v>
      </c>
      <c r="AK51" t="s">
        <v>2677</v>
      </c>
      <c r="AL51" t="s">
        <v>3048</v>
      </c>
      <c r="AM51" t="s">
        <v>3049</v>
      </c>
      <c r="AN51" t="s">
        <v>341</v>
      </c>
      <c r="AO51">
        <v>2187368687</v>
      </c>
      <c r="AP51" t="s">
        <v>2090</v>
      </c>
      <c r="AQ51">
        <v>2187368740</v>
      </c>
      <c r="AR51" t="s">
        <v>3050</v>
      </c>
      <c r="AS51" t="s">
        <v>2170</v>
      </c>
      <c r="AT51" t="s">
        <v>2170</v>
      </c>
      <c r="AU51" t="s">
        <v>1281</v>
      </c>
      <c r="AV51" t="s">
        <v>336</v>
      </c>
      <c r="AW51" t="s">
        <v>2170</v>
      </c>
      <c r="AX51" t="s">
        <v>2170</v>
      </c>
      <c r="AY51" t="s">
        <v>2170</v>
      </c>
      <c r="AZ51" t="s">
        <v>2170</v>
      </c>
      <c r="BA51" t="s">
        <v>2170</v>
      </c>
      <c r="BB51" t="s">
        <v>2170</v>
      </c>
      <c r="BC51" t="s">
        <v>2170</v>
      </c>
      <c r="BD51" t="s">
        <v>2170</v>
      </c>
      <c r="BE51" t="s">
        <v>2170</v>
      </c>
      <c r="BF51" t="s">
        <v>2170</v>
      </c>
      <c r="BG51" t="s">
        <v>2170</v>
      </c>
      <c r="BH51" t="s">
        <v>2170</v>
      </c>
      <c r="BI51" t="s">
        <v>2170</v>
      </c>
      <c r="BJ51" t="s">
        <v>2170</v>
      </c>
      <c r="BK51" t="s">
        <v>2170</v>
      </c>
      <c r="BL51" t="s">
        <v>1870</v>
      </c>
      <c r="BM51" t="s">
        <v>3045</v>
      </c>
      <c r="BN51" t="s">
        <v>967</v>
      </c>
      <c r="BO51">
        <v>2187368421</v>
      </c>
      <c r="BP51" t="s">
        <v>2090</v>
      </c>
      <c r="BQ51" t="s">
        <v>2090</v>
      </c>
      <c r="BR51" t="s">
        <v>3046</v>
      </c>
      <c r="BS51" t="s">
        <v>3047</v>
      </c>
      <c r="BT51" t="s">
        <v>2170</v>
      </c>
      <c r="BU51" t="s">
        <v>563</v>
      </c>
      <c r="BV51" t="s">
        <v>336</v>
      </c>
      <c r="BW51">
        <v>56537</v>
      </c>
      <c r="BX51" t="s">
        <v>2170</v>
      </c>
      <c r="BY51" t="s">
        <v>370</v>
      </c>
    </row>
    <row r="52" spans="1:77" customFormat="1" x14ac:dyDescent="0.2">
      <c r="A52" s="504">
        <v>72</v>
      </c>
      <c r="B52">
        <v>1023067642</v>
      </c>
      <c r="C52" t="s">
        <v>3051</v>
      </c>
      <c r="D52" t="s">
        <v>1463</v>
      </c>
      <c r="E52" t="s">
        <v>2310</v>
      </c>
      <c r="F52" t="s">
        <v>2090</v>
      </c>
      <c r="H52" t="s">
        <v>1464</v>
      </c>
      <c r="I52" t="s">
        <v>336</v>
      </c>
      <c r="J52">
        <v>55616</v>
      </c>
      <c r="K52">
        <v>1300</v>
      </c>
      <c r="L52">
        <v>2188347300</v>
      </c>
      <c r="M52">
        <v>2188347388</v>
      </c>
      <c r="N52" t="s">
        <v>2065</v>
      </c>
      <c r="O52" t="s">
        <v>2066</v>
      </c>
      <c r="P52" t="s">
        <v>1051</v>
      </c>
      <c r="Q52" t="s">
        <v>2067</v>
      </c>
      <c r="R52" t="s">
        <v>1681</v>
      </c>
      <c r="S52" t="s">
        <v>1863</v>
      </c>
      <c r="T52" t="s">
        <v>1864</v>
      </c>
      <c r="U52" t="s">
        <v>2311</v>
      </c>
      <c r="V52">
        <v>2188347383</v>
      </c>
      <c r="W52" t="s">
        <v>2090</v>
      </c>
      <c r="X52">
        <v>2188347388</v>
      </c>
      <c r="Y52" t="s">
        <v>1865</v>
      </c>
      <c r="Z52" t="s">
        <v>2310</v>
      </c>
      <c r="AA52" t="s">
        <v>2170</v>
      </c>
      <c r="AB52" t="s">
        <v>1463</v>
      </c>
      <c r="AC52" t="s">
        <v>336</v>
      </c>
      <c r="AD52">
        <v>55616</v>
      </c>
      <c r="AE52">
        <v>1300</v>
      </c>
      <c r="AF52" t="s">
        <v>1464</v>
      </c>
      <c r="AG52" t="s">
        <v>1465</v>
      </c>
      <c r="AH52" t="s">
        <v>1466</v>
      </c>
      <c r="AI52" t="s">
        <v>953</v>
      </c>
      <c r="AJ52">
        <v>1</v>
      </c>
      <c r="AK52" t="s">
        <v>3052</v>
      </c>
      <c r="AL52" t="s">
        <v>3053</v>
      </c>
      <c r="AM52" t="s">
        <v>362</v>
      </c>
      <c r="AN52" t="s">
        <v>3054</v>
      </c>
      <c r="AO52">
        <v>2182495486</v>
      </c>
      <c r="AP52" t="s">
        <v>2090</v>
      </c>
      <c r="AQ52">
        <v>2182493090</v>
      </c>
      <c r="AR52" t="s">
        <v>2015</v>
      </c>
      <c r="AS52" t="s">
        <v>1704</v>
      </c>
      <c r="AT52" t="s">
        <v>2170</v>
      </c>
      <c r="AU52" t="s">
        <v>1298</v>
      </c>
      <c r="AV52" t="s">
        <v>336</v>
      </c>
      <c r="AW52">
        <v>55805</v>
      </c>
      <c r="AX52">
        <v>2193</v>
      </c>
      <c r="AY52" t="s">
        <v>2170</v>
      </c>
      <c r="AZ52" t="s">
        <v>2170</v>
      </c>
      <c r="BA52" t="s">
        <v>2170</v>
      </c>
      <c r="BB52" t="s">
        <v>2170</v>
      </c>
      <c r="BC52" t="s">
        <v>2170</v>
      </c>
      <c r="BD52" t="s">
        <v>2170</v>
      </c>
      <c r="BE52" t="s">
        <v>2170</v>
      </c>
      <c r="BF52" t="s">
        <v>2170</v>
      </c>
      <c r="BG52" t="s">
        <v>2170</v>
      </c>
      <c r="BH52" t="s">
        <v>2170</v>
      </c>
      <c r="BI52" t="s">
        <v>2170</v>
      </c>
      <c r="BJ52" t="s">
        <v>2170</v>
      </c>
      <c r="BK52" t="s">
        <v>2170</v>
      </c>
      <c r="BL52" t="s">
        <v>1863</v>
      </c>
      <c r="BM52" t="s">
        <v>1864</v>
      </c>
      <c r="BN52" t="s">
        <v>2311</v>
      </c>
      <c r="BO52">
        <v>2188347383</v>
      </c>
      <c r="BP52" t="s">
        <v>2090</v>
      </c>
      <c r="BQ52">
        <v>2188347388</v>
      </c>
      <c r="BR52" t="s">
        <v>1865</v>
      </c>
      <c r="BS52" t="s">
        <v>2310</v>
      </c>
      <c r="BT52" t="s">
        <v>2170</v>
      </c>
      <c r="BU52" t="s">
        <v>1463</v>
      </c>
      <c r="BV52" t="s">
        <v>336</v>
      </c>
      <c r="BW52">
        <v>55616</v>
      </c>
      <c r="BX52">
        <v>1300</v>
      </c>
      <c r="BY52" t="s">
        <v>370</v>
      </c>
    </row>
    <row r="53" spans="1:77" customFormat="1" x14ac:dyDescent="0.2">
      <c r="A53" s="504">
        <v>74</v>
      </c>
      <c r="B53">
        <v>1538138003</v>
      </c>
      <c r="C53" t="s">
        <v>2678</v>
      </c>
      <c r="D53" t="s">
        <v>713</v>
      </c>
      <c r="E53" t="s">
        <v>3055</v>
      </c>
      <c r="F53" t="s">
        <v>2090</v>
      </c>
      <c r="H53" t="s">
        <v>714</v>
      </c>
      <c r="I53" t="s">
        <v>336</v>
      </c>
      <c r="J53">
        <v>55082</v>
      </c>
      <c r="K53">
        <v>5930</v>
      </c>
      <c r="L53">
        <v>6514395330</v>
      </c>
      <c r="M53">
        <v>6514304528</v>
      </c>
      <c r="N53" t="s">
        <v>2057</v>
      </c>
      <c r="O53" t="s">
        <v>2058</v>
      </c>
      <c r="P53" t="s">
        <v>116</v>
      </c>
      <c r="Q53" t="s">
        <v>2158</v>
      </c>
      <c r="R53" t="s">
        <v>715</v>
      </c>
      <c r="S53" t="s">
        <v>648</v>
      </c>
      <c r="T53" t="s">
        <v>699</v>
      </c>
      <c r="U53" t="s">
        <v>118</v>
      </c>
      <c r="V53">
        <v>6512541614</v>
      </c>
      <c r="W53" t="s">
        <v>2090</v>
      </c>
      <c r="X53">
        <v>6512540806</v>
      </c>
      <c r="Y53" t="s">
        <v>700</v>
      </c>
      <c r="Z53" t="s">
        <v>2298</v>
      </c>
      <c r="AA53" t="s">
        <v>2170</v>
      </c>
      <c r="AB53" t="s">
        <v>360</v>
      </c>
      <c r="AC53" t="s">
        <v>336</v>
      </c>
      <c r="AD53">
        <v>55101</v>
      </c>
      <c r="AE53">
        <v>2595</v>
      </c>
      <c r="AF53" t="s">
        <v>1048</v>
      </c>
      <c r="AG53" t="s">
        <v>2059</v>
      </c>
      <c r="AH53" t="s">
        <v>702</v>
      </c>
      <c r="AI53" t="s">
        <v>953</v>
      </c>
      <c r="AJ53">
        <v>0</v>
      </c>
      <c r="AK53" t="s">
        <v>2159</v>
      </c>
      <c r="AL53" t="s">
        <v>2060</v>
      </c>
      <c r="AM53" t="s">
        <v>2061</v>
      </c>
      <c r="AN53" t="s">
        <v>961</v>
      </c>
      <c r="AO53">
        <v>6514304547</v>
      </c>
      <c r="AP53" t="s">
        <v>2090</v>
      </c>
      <c r="AQ53">
        <v>6514308538</v>
      </c>
      <c r="AR53" t="s">
        <v>2062</v>
      </c>
      <c r="AS53" t="s">
        <v>2308</v>
      </c>
      <c r="AT53" t="s">
        <v>2170</v>
      </c>
      <c r="AU53" t="s">
        <v>716</v>
      </c>
      <c r="AV53" t="s">
        <v>336</v>
      </c>
      <c r="AW53" t="s">
        <v>2170</v>
      </c>
      <c r="AX53" t="s">
        <v>2170</v>
      </c>
      <c r="AY53" t="s">
        <v>2170</v>
      </c>
      <c r="AZ53" t="s">
        <v>2170</v>
      </c>
      <c r="BA53" t="s">
        <v>2170</v>
      </c>
      <c r="BB53" t="s">
        <v>2170</v>
      </c>
      <c r="BC53" t="s">
        <v>2170</v>
      </c>
      <c r="BD53" t="s">
        <v>2170</v>
      </c>
      <c r="BE53" t="s">
        <v>2170</v>
      </c>
      <c r="BF53" t="s">
        <v>2170</v>
      </c>
      <c r="BG53" t="s">
        <v>2170</v>
      </c>
      <c r="BH53" t="s">
        <v>2170</v>
      </c>
      <c r="BI53" t="s">
        <v>2170</v>
      </c>
      <c r="BJ53" t="s">
        <v>2170</v>
      </c>
      <c r="BK53" t="s">
        <v>2170</v>
      </c>
      <c r="BL53" t="s">
        <v>2060</v>
      </c>
      <c r="BM53" t="s">
        <v>2061</v>
      </c>
      <c r="BN53" t="s">
        <v>961</v>
      </c>
      <c r="BO53">
        <v>6514304547</v>
      </c>
      <c r="BP53" t="s">
        <v>2090</v>
      </c>
      <c r="BQ53">
        <v>6514308538</v>
      </c>
      <c r="BR53" t="s">
        <v>2062</v>
      </c>
      <c r="BS53" t="s">
        <v>2308</v>
      </c>
      <c r="BT53" t="s">
        <v>2170</v>
      </c>
      <c r="BU53" t="s">
        <v>716</v>
      </c>
      <c r="BV53" t="s">
        <v>336</v>
      </c>
      <c r="BW53" t="s">
        <v>2170</v>
      </c>
      <c r="BX53" t="s">
        <v>2170</v>
      </c>
      <c r="BY53" t="s">
        <v>370</v>
      </c>
    </row>
    <row r="54" spans="1:77" customFormat="1" x14ac:dyDescent="0.2">
      <c r="A54" s="504">
        <v>76</v>
      </c>
      <c r="B54">
        <v>1164471678</v>
      </c>
      <c r="C54" t="s">
        <v>1641</v>
      </c>
      <c r="D54" t="s">
        <v>477</v>
      </c>
      <c r="E54" t="s">
        <v>2249</v>
      </c>
      <c r="F54" t="s">
        <v>2090</v>
      </c>
      <c r="H54" t="s">
        <v>478</v>
      </c>
      <c r="I54" t="s">
        <v>336</v>
      </c>
      <c r="J54">
        <v>56347</v>
      </c>
      <c r="K54">
        <v>1404</v>
      </c>
      <c r="L54">
        <v>3207322141</v>
      </c>
      <c r="M54">
        <v>3207323802</v>
      </c>
      <c r="N54" t="s">
        <v>1424</v>
      </c>
      <c r="O54" t="s">
        <v>972</v>
      </c>
      <c r="P54" t="s">
        <v>270</v>
      </c>
      <c r="Q54" t="s">
        <v>1497</v>
      </c>
      <c r="R54" t="s">
        <v>3056</v>
      </c>
      <c r="S54" t="s">
        <v>271</v>
      </c>
      <c r="T54" t="s">
        <v>479</v>
      </c>
      <c r="U54" t="s">
        <v>425</v>
      </c>
      <c r="V54">
        <v>3207327240</v>
      </c>
      <c r="W54">
        <v>27240</v>
      </c>
      <c r="X54">
        <v>3207323802</v>
      </c>
      <c r="Y54" t="s">
        <v>480</v>
      </c>
      <c r="Z54" t="s">
        <v>2249</v>
      </c>
      <c r="AA54" t="s">
        <v>2170</v>
      </c>
      <c r="AB54" t="s">
        <v>481</v>
      </c>
      <c r="AC54" t="s">
        <v>336</v>
      </c>
      <c r="AD54">
        <v>56347</v>
      </c>
      <c r="AE54" t="s">
        <v>2170</v>
      </c>
      <c r="AF54" t="s">
        <v>2170</v>
      </c>
      <c r="AG54" t="s">
        <v>482</v>
      </c>
      <c r="AH54" t="s">
        <v>1308</v>
      </c>
      <c r="AI54" t="s">
        <v>953</v>
      </c>
      <c r="AJ54">
        <v>1</v>
      </c>
      <c r="AK54" t="s">
        <v>483</v>
      </c>
      <c r="AL54" t="s">
        <v>2140</v>
      </c>
      <c r="AM54" t="s">
        <v>2141</v>
      </c>
      <c r="AN54" t="s">
        <v>3057</v>
      </c>
      <c r="AO54">
        <v>3202512700</v>
      </c>
      <c r="AP54">
        <v>54553</v>
      </c>
      <c r="AQ54">
        <v>3202555737</v>
      </c>
      <c r="AR54" t="s">
        <v>2143</v>
      </c>
      <c r="AS54" t="s">
        <v>2252</v>
      </c>
      <c r="AT54" t="s">
        <v>2170</v>
      </c>
      <c r="AU54" t="s">
        <v>649</v>
      </c>
      <c r="AV54" t="s">
        <v>336</v>
      </c>
      <c r="AW54">
        <v>56303</v>
      </c>
      <c r="AX54">
        <v>1901</v>
      </c>
      <c r="AY54" t="s">
        <v>2170</v>
      </c>
      <c r="AZ54" t="s">
        <v>2170</v>
      </c>
      <c r="BA54" t="s">
        <v>2170</v>
      </c>
      <c r="BB54" t="s">
        <v>2170</v>
      </c>
      <c r="BC54" t="s">
        <v>2170</v>
      </c>
      <c r="BD54" t="s">
        <v>2170</v>
      </c>
      <c r="BE54" t="s">
        <v>2170</v>
      </c>
      <c r="BF54" t="s">
        <v>2170</v>
      </c>
      <c r="BG54" t="s">
        <v>2170</v>
      </c>
      <c r="BH54" t="s">
        <v>2170</v>
      </c>
      <c r="BI54" t="s">
        <v>2170</v>
      </c>
      <c r="BJ54" t="s">
        <v>2170</v>
      </c>
      <c r="BK54" t="s">
        <v>2170</v>
      </c>
      <c r="BL54" t="s">
        <v>271</v>
      </c>
      <c r="BM54" t="s">
        <v>479</v>
      </c>
      <c r="BN54" t="s">
        <v>425</v>
      </c>
      <c r="BO54">
        <v>3207327240</v>
      </c>
      <c r="BP54">
        <v>27240</v>
      </c>
      <c r="BQ54">
        <v>3207323802</v>
      </c>
      <c r="BR54" t="s">
        <v>480</v>
      </c>
      <c r="BS54" t="s">
        <v>2249</v>
      </c>
      <c r="BT54" t="s">
        <v>2170</v>
      </c>
      <c r="BU54" t="s">
        <v>481</v>
      </c>
      <c r="BV54" t="s">
        <v>336</v>
      </c>
      <c r="BW54">
        <v>56347</v>
      </c>
      <c r="BX54" t="s">
        <v>2170</v>
      </c>
      <c r="BY54" t="s">
        <v>370</v>
      </c>
    </row>
    <row r="55" spans="1:77" customFormat="1" x14ac:dyDescent="0.2">
      <c r="A55" s="504">
        <v>77</v>
      </c>
      <c r="B55">
        <v>1912999137</v>
      </c>
      <c r="C55" t="s">
        <v>2679</v>
      </c>
      <c r="D55" t="s">
        <v>486</v>
      </c>
      <c r="E55" t="s">
        <v>3058</v>
      </c>
      <c r="F55" t="s">
        <v>2090</v>
      </c>
      <c r="H55" t="s">
        <v>487</v>
      </c>
      <c r="I55" t="s">
        <v>336</v>
      </c>
      <c r="J55">
        <v>56062</v>
      </c>
      <c r="K55">
        <v>1841</v>
      </c>
      <c r="L55">
        <v>5076423255</v>
      </c>
      <c r="M55">
        <v>5016428516</v>
      </c>
      <c r="N55" t="s">
        <v>142</v>
      </c>
      <c r="O55" t="s">
        <v>2680</v>
      </c>
      <c r="P55" t="s">
        <v>270</v>
      </c>
      <c r="Q55" t="s">
        <v>2681</v>
      </c>
      <c r="R55" t="s">
        <v>2682</v>
      </c>
      <c r="S55" t="s">
        <v>1424</v>
      </c>
      <c r="T55" t="s">
        <v>1842</v>
      </c>
      <c r="U55" t="s">
        <v>1843</v>
      </c>
      <c r="V55">
        <v>5072802328</v>
      </c>
      <c r="W55" t="s">
        <v>2090</v>
      </c>
      <c r="X55">
        <v>5042802339</v>
      </c>
      <c r="Y55" t="s">
        <v>1844</v>
      </c>
      <c r="Z55" t="s">
        <v>2188</v>
      </c>
      <c r="AA55" t="s">
        <v>2170</v>
      </c>
      <c r="AB55" t="s">
        <v>941</v>
      </c>
      <c r="AC55" t="s">
        <v>336</v>
      </c>
      <c r="AD55">
        <v>55901</v>
      </c>
      <c r="AE55" t="s">
        <v>2170</v>
      </c>
      <c r="AF55" t="s">
        <v>3059</v>
      </c>
      <c r="AG55" t="s">
        <v>488</v>
      </c>
      <c r="AH55" t="s">
        <v>351</v>
      </c>
      <c r="AI55" t="s">
        <v>2170</v>
      </c>
      <c r="AJ55">
        <v>1</v>
      </c>
      <c r="AK55" t="s">
        <v>2683</v>
      </c>
      <c r="AL55" t="s">
        <v>2253</v>
      </c>
      <c r="AM55" t="s">
        <v>3060</v>
      </c>
      <c r="AN55" t="s">
        <v>341</v>
      </c>
      <c r="AO55">
        <v>5076425204</v>
      </c>
      <c r="AP55" t="s">
        <v>2090</v>
      </c>
      <c r="AQ55">
        <v>5076428516</v>
      </c>
      <c r="AR55" t="s">
        <v>2255</v>
      </c>
      <c r="AS55" t="s">
        <v>2170</v>
      </c>
      <c r="AT55" t="s">
        <v>2170</v>
      </c>
      <c r="AU55" t="s">
        <v>2170</v>
      </c>
      <c r="AV55" t="s">
        <v>1995</v>
      </c>
      <c r="AW55" t="s">
        <v>2170</v>
      </c>
      <c r="AX55" t="s">
        <v>2170</v>
      </c>
      <c r="AY55" t="s">
        <v>2170</v>
      </c>
      <c r="AZ55" t="s">
        <v>2170</v>
      </c>
      <c r="BA55" t="s">
        <v>2170</v>
      </c>
      <c r="BB55" t="s">
        <v>2170</v>
      </c>
      <c r="BC55" t="s">
        <v>2170</v>
      </c>
      <c r="BD55" t="s">
        <v>2170</v>
      </c>
      <c r="BE55" t="s">
        <v>2170</v>
      </c>
      <c r="BF55" t="s">
        <v>2170</v>
      </c>
      <c r="BG55" t="s">
        <v>2170</v>
      </c>
      <c r="BH55" t="s">
        <v>2170</v>
      </c>
      <c r="BI55" t="s">
        <v>2170</v>
      </c>
      <c r="BJ55" t="s">
        <v>2170</v>
      </c>
      <c r="BK55" t="s">
        <v>2170</v>
      </c>
      <c r="BL55" t="s">
        <v>2253</v>
      </c>
      <c r="BM55" t="s">
        <v>2254</v>
      </c>
      <c r="BN55" t="s">
        <v>341</v>
      </c>
      <c r="BO55">
        <v>5076425204</v>
      </c>
      <c r="BP55" t="s">
        <v>2090</v>
      </c>
      <c r="BQ55">
        <v>5076428516</v>
      </c>
      <c r="BR55" t="s">
        <v>2255</v>
      </c>
      <c r="BS55" t="s">
        <v>2170</v>
      </c>
      <c r="BT55" t="s">
        <v>2170</v>
      </c>
      <c r="BU55" t="s">
        <v>2170</v>
      </c>
      <c r="BV55" t="s">
        <v>1995</v>
      </c>
      <c r="BW55" t="s">
        <v>2170</v>
      </c>
      <c r="BX55" t="s">
        <v>2170</v>
      </c>
      <c r="BY55" t="s">
        <v>370</v>
      </c>
    </row>
    <row r="56" spans="1:77" customFormat="1" x14ac:dyDescent="0.2">
      <c r="A56" s="504">
        <v>78</v>
      </c>
      <c r="B56">
        <v>1942246848</v>
      </c>
      <c r="C56" t="s">
        <v>3061</v>
      </c>
      <c r="D56" t="s">
        <v>489</v>
      </c>
      <c r="E56" t="s">
        <v>3062</v>
      </c>
      <c r="F56" t="s">
        <v>2090</v>
      </c>
      <c r="H56" t="s">
        <v>167</v>
      </c>
      <c r="I56" t="s">
        <v>336</v>
      </c>
      <c r="J56">
        <v>56256</v>
      </c>
      <c r="K56">
        <v>1006</v>
      </c>
      <c r="L56">
        <v>3205987551</v>
      </c>
      <c r="M56">
        <v>3205983923</v>
      </c>
      <c r="N56" t="s">
        <v>2130</v>
      </c>
      <c r="O56" t="s">
        <v>2131</v>
      </c>
      <c r="P56" t="s">
        <v>346</v>
      </c>
      <c r="Q56" t="s">
        <v>2132</v>
      </c>
      <c r="R56" t="s">
        <v>1642</v>
      </c>
      <c r="S56" t="s">
        <v>1309</v>
      </c>
      <c r="T56" t="s">
        <v>1498</v>
      </c>
      <c r="U56" t="s">
        <v>341</v>
      </c>
      <c r="V56">
        <v>3205987536</v>
      </c>
      <c r="W56" t="s">
        <v>2090</v>
      </c>
      <c r="X56">
        <v>3205983923</v>
      </c>
      <c r="Y56" t="s">
        <v>1643</v>
      </c>
      <c r="Z56" t="s">
        <v>2256</v>
      </c>
      <c r="AA56" t="s">
        <v>2170</v>
      </c>
      <c r="AB56" t="s">
        <v>489</v>
      </c>
      <c r="AC56" t="s">
        <v>336</v>
      </c>
      <c r="AD56">
        <v>56256</v>
      </c>
      <c r="AE56">
        <v>1006</v>
      </c>
      <c r="AF56" t="s">
        <v>167</v>
      </c>
      <c r="AG56" t="s">
        <v>1644</v>
      </c>
      <c r="AH56" t="s">
        <v>351</v>
      </c>
      <c r="AI56" t="s">
        <v>2170</v>
      </c>
      <c r="AJ56">
        <v>1</v>
      </c>
      <c r="AK56" t="s">
        <v>1877</v>
      </c>
      <c r="AL56" t="s">
        <v>2130</v>
      </c>
      <c r="AM56" t="s">
        <v>2131</v>
      </c>
      <c r="AN56" t="s">
        <v>346</v>
      </c>
      <c r="AO56">
        <v>3205987536</v>
      </c>
      <c r="AP56" t="s">
        <v>2090</v>
      </c>
      <c r="AQ56">
        <v>3205983923</v>
      </c>
      <c r="AR56" t="s">
        <v>2132</v>
      </c>
      <c r="AS56" t="s">
        <v>2256</v>
      </c>
      <c r="AT56" t="s">
        <v>2170</v>
      </c>
      <c r="AU56" t="s">
        <v>490</v>
      </c>
      <c r="AV56" t="s">
        <v>336</v>
      </c>
      <c r="AW56">
        <v>56256</v>
      </c>
      <c r="AX56">
        <v>1006</v>
      </c>
      <c r="AY56" t="s">
        <v>2170</v>
      </c>
      <c r="AZ56" t="s">
        <v>2170</v>
      </c>
      <c r="BA56" t="s">
        <v>2170</v>
      </c>
      <c r="BB56" t="s">
        <v>2170</v>
      </c>
      <c r="BC56" t="s">
        <v>2170</v>
      </c>
      <c r="BD56" t="s">
        <v>2170</v>
      </c>
      <c r="BE56" t="s">
        <v>2170</v>
      </c>
      <c r="BF56" t="s">
        <v>2170</v>
      </c>
      <c r="BG56" t="s">
        <v>2170</v>
      </c>
      <c r="BH56" t="s">
        <v>2170</v>
      </c>
      <c r="BI56" t="s">
        <v>2170</v>
      </c>
      <c r="BJ56" t="s">
        <v>2170</v>
      </c>
      <c r="BK56" t="s">
        <v>2170</v>
      </c>
      <c r="BL56" t="s">
        <v>1309</v>
      </c>
      <c r="BM56" t="s">
        <v>1498</v>
      </c>
      <c r="BN56" t="s">
        <v>341</v>
      </c>
      <c r="BO56">
        <v>3205987536</v>
      </c>
      <c r="BP56" t="s">
        <v>2090</v>
      </c>
      <c r="BQ56">
        <v>3205983923</v>
      </c>
      <c r="BR56" t="s">
        <v>1643</v>
      </c>
      <c r="BS56" t="s">
        <v>2256</v>
      </c>
      <c r="BT56" t="s">
        <v>2170</v>
      </c>
      <c r="BU56" t="s">
        <v>489</v>
      </c>
      <c r="BV56" t="s">
        <v>336</v>
      </c>
      <c r="BW56">
        <v>56256</v>
      </c>
      <c r="BX56">
        <v>1006</v>
      </c>
      <c r="BY56" t="s">
        <v>370</v>
      </c>
    </row>
    <row r="57" spans="1:77" customFormat="1" x14ac:dyDescent="0.2">
      <c r="A57" s="504">
        <v>79</v>
      </c>
      <c r="B57">
        <v>1942233234</v>
      </c>
      <c r="C57" t="s">
        <v>491</v>
      </c>
      <c r="D57" t="s">
        <v>492</v>
      </c>
      <c r="E57" t="s">
        <v>2684</v>
      </c>
      <c r="F57" t="s">
        <v>2090</v>
      </c>
      <c r="H57" t="s">
        <v>492</v>
      </c>
      <c r="I57" t="s">
        <v>336</v>
      </c>
      <c r="J57">
        <v>56557</v>
      </c>
      <c r="K57">
        <v>4912</v>
      </c>
      <c r="L57">
        <v>2189352511</v>
      </c>
      <c r="M57">
        <v>2189352370</v>
      </c>
      <c r="N57" t="s">
        <v>1468</v>
      </c>
      <c r="O57" t="s">
        <v>1469</v>
      </c>
      <c r="P57" t="s">
        <v>270</v>
      </c>
      <c r="Q57" t="s">
        <v>2257</v>
      </c>
      <c r="R57" t="s">
        <v>2133</v>
      </c>
      <c r="S57" t="s">
        <v>2074</v>
      </c>
      <c r="T57" t="s">
        <v>2075</v>
      </c>
      <c r="U57" t="s">
        <v>1843</v>
      </c>
      <c r="V57">
        <v>6123764549</v>
      </c>
      <c r="W57" t="s">
        <v>2090</v>
      </c>
      <c r="X57" t="s">
        <v>2090</v>
      </c>
      <c r="Y57" t="s">
        <v>2076</v>
      </c>
      <c r="Z57" t="s">
        <v>2258</v>
      </c>
      <c r="AA57" t="s">
        <v>2170</v>
      </c>
      <c r="AB57" t="s">
        <v>492</v>
      </c>
      <c r="AC57" t="s">
        <v>336</v>
      </c>
      <c r="AD57">
        <v>55402</v>
      </c>
      <c r="AE57" t="s">
        <v>2170</v>
      </c>
      <c r="AF57" t="s">
        <v>492</v>
      </c>
      <c r="AG57" t="s">
        <v>354</v>
      </c>
      <c r="AH57" t="s">
        <v>1274</v>
      </c>
      <c r="AI57" t="s">
        <v>1060</v>
      </c>
      <c r="AJ57">
        <v>1</v>
      </c>
      <c r="AK57" t="s">
        <v>2685</v>
      </c>
      <c r="AL57" t="s">
        <v>966</v>
      </c>
      <c r="AM57" t="s">
        <v>2135</v>
      </c>
      <c r="AN57" t="s">
        <v>341</v>
      </c>
      <c r="AO57">
        <v>0</v>
      </c>
      <c r="AP57" t="s">
        <v>2090</v>
      </c>
      <c r="AQ57" t="s">
        <v>2090</v>
      </c>
      <c r="AR57" t="s">
        <v>2136</v>
      </c>
      <c r="AS57" t="s">
        <v>2259</v>
      </c>
      <c r="AT57" t="s">
        <v>2170</v>
      </c>
      <c r="AU57" t="s">
        <v>1645</v>
      </c>
      <c r="AV57" t="s">
        <v>336</v>
      </c>
      <c r="AW57">
        <v>56557</v>
      </c>
      <c r="AX57">
        <v>4912</v>
      </c>
      <c r="AY57" t="s">
        <v>1468</v>
      </c>
      <c r="AZ57" t="s">
        <v>1469</v>
      </c>
      <c r="BA57" t="s">
        <v>346</v>
      </c>
      <c r="BB57">
        <v>0</v>
      </c>
      <c r="BC57" t="s">
        <v>2090</v>
      </c>
      <c r="BD57" t="s">
        <v>2090</v>
      </c>
      <c r="BE57" t="s">
        <v>2134</v>
      </c>
      <c r="BF57" t="s">
        <v>2259</v>
      </c>
      <c r="BG57" t="s">
        <v>2170</v>
      </c>
      <c r="BH57" t="s">
        <v>1645</v>
      </c>
      <c r="BI57" t="s">
        <v>336</v>
      </c>
      <c r="BJ57">
        <v>56557</v>
      </c>
      <c r="BK57">
        <v>4912</v>
      </c>
      <c r="BL57" t="s">
        <v>2170</v>
      </c>
      <c r="BM57" t="s">
        <v>2170</v>
      </c>
      <c r="BN57" t="s">
        <v>2170</v>
      </c>
      <c r="BO57" t="s">
        <v>2170</v>
      </c>
      <c r="BP57" t="s">
        <v>2170</v>
      </c>
      <c r="BQ57" t="s">
        <v>2170</v>
      </c>
      <c r="BR57" t="s">
        <v>2170</v>
      </c>
      <c r="BS57" t="s">
        <v>2170</v>
      </c>
      <c r="BT57" t="s">
        <v>2170</v>
      </c>
      <c r="BU57" t="s">
        <v>2170</v>
      </c>
      <c r="BV57" t="s">
        <v>2170</v>
      </c>
      <c r="BW57" t="s">
        <v>2170</v>
      </c>
      <c r="BX57" t="s">
        <v>2170</v>
      </c>
      <c r="BY57" t="s">
        <v>366</v>
      </c>
    </row>
    <row r="58" spans="1:77" customFormat="1" x14ac:dyDescent="0.2">
      <c r="A58" s="504">
        <v>80</v>
      </c>
      <c r="B58">
        <v>1598860215</v>
      </c>
      <c r="C58" t="s">
        <v>3063</v>
      </c>
      <c r="D58" t="s">
        <v>468</v>
      </c>
      <c r="E58" t="s">
        <v>2247</v>
      </c>
      <c r="F58" t="s">
        <v>2090</v>
      </c>
      <c r="H58" t="s">
        <v>469</v>
      </c>
      <c r="I58" t="s">
        <v>336</v>
      </c>
      <c r="J58">
        <v>55355</v>
      </c>
      <c r="K58">
        <v>3340</v>
      </c>
      <c r="L58">
        <v>3206934500</v>
      </c>
      <c r="M58">
        <v>3206934567</v>
      </c>
      <c r="N58" t="s">
        <v>2002</v>
      </c>
      <c r="O58" t="s">
        <v>2003</v>
      </c>
      <c r="P58" t="s">
        <v>346</v>
      </c>
      <c r="Q58" t="s">
        <v>2686</v>
      </c>
      <c r="R58" t="s">
        <v>3064</v>
      </c>
      <c r="S58" t="s">
        <v>2687</v>
      </c>
      <c r="T58" t="s">
        <v>2688</v>
      </c>
      <c r="U58" t="s">
        <v>341</v>
      </c>
      <c r="V58">
        <v>3206934512</v>
      </c>
      <c r="W58" t="s">
        <v>2090</v>
      </c>
      <c r="X58" t="s">
        <v>2090</v>
      </c>
      <c r="Y58" t="s">
        <v>2689</v>
      </c>
      <c r="Z58" t="s">
        <v>2170</v>
      </c>
      <c r="AA58" t="s">
        <v>2170</v>
      </c>
      <c r="AB58" t="s">
        <v>2170</v>
      </c>
      <c r="AC58" t="s">
        <v>1995</v>
      </c>
      <c r="AD58" t="s">
        <v>2170</v>
      </c>
      <c r="AE58" t="s">
        <v>2170</v>
      </c>
      <c r="AF58" t="s">
        <v>2170</v>
      </c>
      <c r="AG58" t="s">
        <v>3065</v>
      </c>
      <c r="AH58" t="s">
        <v>351</v>
      </c>
      <c r="AI58" t="s">
        <v>2170</v>
      </c>
      <c r="AJ58">
        <v>1</v>
      </c>
      <c r="AK58" t="s">
        <v>472</v>
      </c>
      <c r="AL58" t="s">
        <v>2002</v>
      </c>
      <c r="AM58" t="s">
        <v>2003</v>
      </c>
      <c r="AN58" t="s">
        <v>346</v>
      </c>
      <c r="AO58">
        <v>3206934507</v>
      </c>
      <c r="AP58" t="s">
        <v>2090</v>
      </c>
      <c r="AQ58" t="s">
        <v>2090</v>
      </c>
      <c r="AR58" t="s">
        <v>2686</v>
      </c>
      <c r="AS58" t="s">
        <v>2170</v>
      </c>
      <c r="AT58" t="s">
        <v>2170</v>
      </c>
      <c r="AU58" t="s">
        <v>2170</v>
      </c>
      <c r="AV58" t="s">
        <v>1995</v>
      </c>
      <c r="AW58" t="s">
        <v>2170</v>
      </c>
      <c r="AX58" t="s">
        <v>2170</v>
      </c>
      <c r="AY58" t="s">
        <v>2170</v>
      </c>
      <c r="AZ58" t="s">
        <v>2170</v>
      </c>
      <c r="BA58" t="s">
        <v>2170</v>
      </c>
      <c r="BB58" t="s">
        <v>2170</v>
      </c>
      <c r="BC58" t="s">
        <v>2170</v>
      </c>
      <c r="BD58" t="s">
        <v>2170</v>
      </c>
      <c r="BE58" t="s">
        <v>2170</v>
      </c>
      <c r="BF58" t="s">
        <v>2170</v>
      </c>
      <c r="BG58" t="s">
        <v>2170</v>
      </c>
      <c r="BH58" t="s">
        <v>2170</v>
      </c>
      <c r="BI58" t="s">
        <v>2170</v>
      </c>
      <c r="BJ58" t="s">
        <v>2170</v>
      </c>
      <c r="BK58" t="s">
        <v>2170</v>
      </c>
      <c r="BL58" t="s">
        <v>2687</v>
      </c>
      <c r="BM58" t="s">
        <v>2688</v>
      </c>
      <c r="BN58" t="s">
        <v>341</v>
      </c>
      <c r="BO58">
        <v>3206934512</v>
      </c>
      <c r="BP58" t="s">
        <v>2090</v>
      </c>
      <c r="BQ58" t="s">
        <v>2090</v>
      </c>
      <c r="BR58" t="s">
        <v>2689</v>
      </c>
      <c r="BS58" t="s">
        <v>2170</v>
      </c>
      <c r="BT58" t="s">
        <v>2170</v>
      </c>
      <c r="BU58" t="s">
        <v>2170</v>
      </c>
      <c r="BV58" t="s">
        <v>1995</v>
      </c>
      <c r="BW58" t="s">
        <v>2170</v>
      </c>
      <c r="BX58" t="s">
        <v>2170</v>
      </c>
      <c r="BY58" t="s">
        <v>365</v>
      </c>
    </row>
    <row r="59" spans="1:77" customFormat="1" x14ac:dyDescent="0.2">
      <c r="A59" s="504">
        <v>81</v>
      </c>
      <c r="B59">
        <v>1720045073</v>
      </c>
      <c r="C59" t="s">
        <v>2139</v>
      </c>
      <c r="D59" t="s">
        <v>1151</v>
      </c>
      <c r="E59" t="s">
        <v>2332</v>
      </c>
      <c r="F59" t="s">
        <v>2090</v>
      </c>
      <c r="H59" t="s">
        <v>268</v>
      </c>
      <c r="I59" t="s">
        <v>336</v>
      </c>
      <c r="J59">
        <v>56352</v>
      </c>
      <c r="K59">
        <v>1071</v>
      </c>
      <c r="L59">
        <v>3202564231</v>
      </c>
      <c r="M59">
        <v>3202564949</v>
      </c>
      <c r="N59" t="s">
        <v>936</v>
      </c>
      <c r="O59" t="s">
        <v>1175</v>
      </c>
      <c r="P59" t="s">
        <v>346</v>
      </c>
      <c r="Q59" t="s">
        <v>1176</v>
      </c>
      <c r="R59" t="s">
        <v>3056</v>
      </c>
      <c r="S59" t="s">
        <v>1315</v>
      </c>
      <c r="T59" t="s">
        <v>3066</v>
      </c>
      <c r="U59" t="s">
        <v>2142</v>
      </c>
      <c r="V59">
        <v>3202512700</v>
      </c>
      <c r="W59" t="s">
        <v>2090</v>
      </c>
      <c r="X59">
        <v>3202555737</v>
      </c>
      <c r="Y59" t="s">
        <v>3067</v>
      </c>
      <c r="Z59" t="s">
        <v>2252</v>
      </c>
      <c r="AA59" t="s">
        <v>2170</v>
      </c>
      <c r="AB59" t="s">
        <v>649</v>
      </c>
      <c r="AC59" t="s">
        <v>336</v>
      </c>
      <c r="AD59">
        <v>56303</v>
      </c>
      <c r="AE59">
        <v>1901</v>
      </c>
      <c r="AF59" t="s">
        <v>2170</v>
      </c>
      <c r="AG59" t="s">
        <v>482</v>
      </c>
      <c r="AH59" t="s">
        <v>1308</v>
      </c>
      <c r="AI59" t="s">
        <v>953</v>
      </c>
      <c r="AJ59">
        <v>1</v>
      </c>
      <c r="AK59" t="s">
        <v>2690</v>
      </c>
      <c r="AL59" t="s">
        <v>2140</v>
      </c>
      <c r="AM59" t="s">
        <v>2141</v>
      </c>
      <c r="AN59" t="s">
        <v>3057</v>
      </c>
      <c r="AO59">
        <v>3202512700</v>
      </c>
      <c r="AP59">
        <v>54553</v>
      </c>
      <c r="AQ59">
        <v>3202555737</v>
      </c>
      <c r="AR59" t="s">
        <v>2143</v>
      </c>
      <c r="AS59" t="s">
        <v>2252</v>
      </c>
      <c r="AT59" t="s">
        <v>2170</v>
      </c>
      <c r="AU59" t="s">
        <v>649</v>
      </c>
      <c r="AV59" t="s">
        <v>336</v>
      </c>
      <c r="AW59">
        <v>56303</v>
      </c>
      <c r="AX59">
        <v>1901</v>
      </c>
      <c r="AY59" t="s">
        <v>1263</v>
      </c>
      <c r="AZ59" t="s">
        <v>177</v>
      </c>
      <c r="BA59" t="s">
        <v>961</v>
      </c>
      <c r="BB59">
        <v>3202561760</v>
      </c>
      <c r="BC59" t="s">
        <v>2090</v>
      </c>
      <c r="BD59">
        <v>3202561814</v>
      </c>
      <c r="BE59" t="s">
        <v>1646</v>
      </c>
      <c r="BF59" t="s">
        <v>2265</v>
      </c>
      <c r="BG59" t="s">
        <v>2170</v>
      </c>
      <c r="BH59" t="s">
        <v>1152</v>
      </c>
      <c r="BI59" t="s">
        <v>336</v>
      </c>
      <c r="BJ59">
        <v>56352</v>
      </c>
      <c r="BK59">
        <v>1098</v>
      </c>
      <c r="BL59" t="s">
        <v>2170</v>
      </c>
      <c r="BM59" t="s">
        <v>2170</v>
      </c>
      <c r="BN59" t="s">
        <v>2170</v>
      </c>
      <c r="BO59" t="s">
        <v>2170</v>
      </c>
      <c r="BP59" t="s">
        <v>2170</v>
      </c>
      <c r="BQ59" t="s">
        <v>2170</v>
      </c>
      <c r="BR59" t="s">
        <v>2170</v>
      </c>
      <c r="BS59" t="s">
        <v>2170</v>
      </c>
      <c r="BT59" t="s">
        <v>2170</v>
      </c>
      <c r="BU59" t="s">
        <v>2170</v>
      </c>
      <c r="BV59" t="s">
        <v>2170</v>
      </c>
      <c r="BW59" t="s">
        <v>2170</v>
      </c>
      <c r="BX59" t="s">
        <v>2170</v>
      </c>
      <c r="BY59" t="s">
        <v>370</v>
      </c>
    </row>
    <row r="60" spans="1:77" customFormat="1" x14ac:dyDescent="0.2">
      <c r="A60" s="504">
        <v>83</v>
      </c>
      <c r="B60">
        <v>1942398029</v>
      </c>
      <c r="C60" t="s">
        <v>153</v>
      </c>
      <c r="D60" t="s">
        <v>182</v>
      </c>
      <c r="E60" t="s">
        <v>3068</v>
      </c>
      <c r="F60" t="s">
        <v>2090</v>
      </c>
      <c r="H60" t="s">
        <v>144</v>
      </c>
      <c r="I60" t="s">
        <v>336</v>
      </c>
      <c r="J60">
        <v>55767</v>
      </c>
      <c r="K60" t="s">
        <v>2090</v>
      </c>
      <c r="L60">
        <v>2184854481</v>
      </c>
      <c r="M60">
        <v>2184855654</v>
      </c>
      <c r="N60" t="s">
        <v>345</v>
      </c>
      <c r="O60" t="s">
        <v>1635</v>
      </c>
      <c r="P60" t="s">
        <v>346</v>
      </c>
      <c r="Q60" t="s">
        <v>3069</v>
      </c>
      <c r="R60" t="s">
        <v>3070</v>
      </c>
      <c r="S60" t="s">
        <v>1870</v>
      </c>
      <c r="T60" t="s">
        <v>3071</v>
      </c>
      <c r="U60" t="s">
        <v>961</v>
      </c>
      <c r="V60">
        <v>2184855591</v>
      </c>
      <c r="W60" t="s">
        <v>2090</v>
      </c>
      <c r="X60" t="s">
        <v>2090</v>
      </c>
      <c r="Y60" t="s">
        <v>3072</v>
      </c>
      <c r="Z60" t="s">
        <v>3073</v>
      </c>
      <c r="AA60" t="s">
        <v>2170</v>
      </c>
      <c r="AB60" t="s">
        <v>3074</v>
      </c>
      <c r="AC60" t="s">
        <v>336</v>
      </c>
      <c r="AD60">
        <v>55767</v>
      </c>
      <c r="AE60">
        <v>9405</v>
      </c>
      <c r="AF60" t="s">
        <v>2170</v>
      </c>
      <c r="AG60" t="s">
        <v>183</v>
      </c>
      <c r="AH60" t="s">
        <v>351</v>
      </c>
      <c r="AI60" t="s">
        <v>2170</v>
      </c>
      <c r="AJ60">
        <v>1</v>
      </c>
      <c r="AK60" t="s">
        <v>1471</v>
      </c>
      <c r="AL60" t="s">
        <v>2170</v>
      </c>
      <c r="AM60" t="s">
        <v>2170</v>
      </c>
      <c r="AN60" t="s">
        <v>2170</v>
      </c>
      <c r="AO60" t="s">
        <v>2170</v>
      </c>
      <c r="AP60" t="s">
        <v>2170</v>
      </c>
      <c r="AQ60" t="s">
        <v>2170</v>
      </c>
      <c r="AR60" t="s">
        <v>2170</v>
      </c>
      <c r="AS60" t="s">
        <v>2170</v>
      </c>
      <c r="AT60" t="s">
        <v>2170</v>
      </c>
      <c r="AU60" t="s">
        <v>2170</v>
      </c>
      <c r="AV60" t="s">
        <v>2170</v>
      </c>
      <c r="AW60" t="s">
        <v>2170</v>
      </c>
      <c r="AX60" t="s">
        <v>2170</v>
      </c>
      <c r="AY60" t="s">
        <v>2170</v>
      </c>
      <c r="AZ60" t="s">
        <v>2170</v>
      </c>
      <c r="BA60" t="s">
        <v>2170</v>
      </c>
      <c r="BB60" t="s">
        <v>2170</v>
      </c>
      <c r="BC60" t="s">
        <v>2170</v>
      </c>
      <c r="BD60" t="s">
        <v>2170</v>
      </c>
      <c r="BE60" t="s">
        <v>2170</v>
      </c>
      <c r="BF60" t="s">
        <v>2170</v>
      </c>
      <c r="BG60" t="s">
        <v>2170</v>
      </c>
      <c r="BH60" t="s">
        <v>2170</v>
      </c>
      <c r="BI60" t="s">
        <v>2170</v>
      </c>
      <c r="BJ60" t="s">
        <v>2170</v>
      </c>
      <c r="BK60" t="s">
        <v>2170</v>
      </c>
      <c r="BL60" t="s">
        <v>1870</v>
      </c>
      <c r="BM60" t="s">
        <v>3071</v>
      </c>
      <c r="BN60" t="s">
        <v>961</v>
      </c>
      <c r="BO60">
        <v>2184855591</v>
      </c>
      <c r="BP60" t="s">
        <v>2090</v>
      </c>
      <c r="BQ60" t="s">
        <v>2090</v>
      </c>
      <c r="BR60" t="s">
        <v>3072</v>
      </c>
      <c r="BS60" t="s">
        <v>3073</v>
      </c>
      <c r="BT60" t="s">
        <v>2170</v>
      </c>
      <c r="BU60" t="s">
        <v>3074</v>
      </c>
      <c r="BV60" t="s">
        <v>336</v>
      </c>
      <c r="BW60">
        <v>55767</v>
      </c>
      <c r="BX60">
        <v>9405</v>
      </c>
      <c r="BY60" t="s">
        <v>368</v>
      </c>
    </row>
    <row r="61" spans="1:77" customFormat="1" x14ac:dyDescent="0.2">
      <c r="A61" s="504">
        <v>84</v>
      </c>
      <c r="B61">
        <v>1316904287</v>
      </c>
      <c r="C61" t="s">
        <v>153</v>
      </c>
      <c r="D61" t="s">
        <v>154</v>
      </c>
      <c r="E61" t="s">
        <v>3075</v>
      </c>
      <c r="F61" t="s">
        <v>2090</v>
      </c>
      <c r="H61" t="s">
        <v>964</v>
      </c>
      <c r="I61" t="s">
        <v>336</v>
      </c>
      <c r="J61">
        <v>55433</v>
      </c>
      <c r="K61">
        <v>2522</v>
      </c>
      <c r="L61">
        <v>7632366000</v>
      </c>
      <c r="M61">
        <v>7632368650</v>
      </c>
      <c r="N61" t="s">
        <v>1266</v>
      </c>
      <c r="O61" t="s">
        <v>1329</v>
      </c>
      <c r="P61" t="s">
        <v>1647</v>
      </c>
      <c r="Q61" t="s">
        <v>1648</v>
      </c>
      <c r="R61" t="s">
        <v>2863</v>
      </c>
      <c r="S61" t="s">
        <v>2204</v>
      </c>
      <c r="T61" t="s">
        <v>2205</v>
      </c>
      <c r="U61" t="s">
        <v>118</v>
      </c>
      <c r="V61">
        <v>6122624722</v>
      </c>
      <c r="W61" t="s">
        <v>2090</v>
      </c>
      <c r="X61">
        <v>6122624737</v>
      </c>
      <c r="Y61" t="s">
        <v>3076</v>
      </c>
      <c r="Z61" t="s">
        <v>2209</v>
      </c>
      <c r="AA61" t="s">
        <v>2170</v>
      </c>
      <c r="AB61" t="s">
        <v>119</v>
      </c>
      <c r="AC61" t="s">
        <v>336</v>
      </c>
      <c r="AD61">
        <v>55440</v>
      </c>
      <c r="AE61" t="s">
        <v>2170</v>
      </c>
      <c r="AF61" t="s">
        <v>120</v>
      </c>
      <c r="AG61" t="s">
        <v>2011</v>
      </c>
      <c r="AH61" t="s">
        <v>1961</v>
      </c>
      <c r="AI61" t="s">
        <v>953</v>
      </c>
      <c r="AJ61">
        <v>0</v>
      </c>
      <c r="AK61" t="s">
        <v>2694</v>
      </c>
      <c r="AL61" t="s">
        <v>1854</v>
      </c>
      <c r="AM61" t="s">
        <v>1855</v>
      </c>
      <c r="AN61" t="s">
        <v>1856</v>
      </c>
      <c r="AO61">
        <v>6122624721</v>
      </c>
      <c r="AP61" t="s">
        <v>2090</v>
      </c>
      <c r="AQ61">
        <v>6122624737</v>
      </c>
      <c r="AR61" t="s">
        <v>1857</v>
      </c>
      <c r="AS61" t="s">
        <v>2209</v>
      </c>
      <c r="AT61" t="s">
        <v>2170</v>
      </c>
      <c r="AU61" t="s">
        <v>119</v>
      </c>
      <c r="AV61" t="s">
        <v>336</v>
      </c>
      <c r="AW61">
        <v>55440</v>
      </c>
      <c r="AX61" t="s">
        <v>2170</v>
      </c>
      <c r="AY61" t="s">
        <v>121</v>
      </c>
      <c r="AZ61" t="s">
        <v>122</v>
      </c>
      <c r="BA61" t="s">
        <v>1684</v>
      </c>
      <c r="BB61">
        <v>6122624719</v>
      </c>
      <c r="BC61" t="s">
        <v>2090</v>
      </c>
      <c r="BD61">
        <v>6122624737</v>
      </c>
      <c r="BE61" t="s">
        <v>123</v>
      </c>
      <c r="BF61" t="s">
        <v>2209</v>
      </c>
      <c r="BG61" t="s">
        <v>124</v>
      </c>
      <c r="BH61" t="s">
        <v>119</v>
      </c>
      <c r="BI61" t="s">
        <v>336</v>
      </c>
      <c r="BJ61">
        <v>55440</v>
      </c>
      <c r="BK61" t="s">
        <v>2170</v>
      </c>
      <c r="BL61" t="s">
        <v>2204</v>
      </c>
      <c r="BM61" t="s">
        <v>2205</v>
      </c>
      <c r="BN61" t="s">
        <v>118</v>
      </c>
      <c r="BO61">
        <v>6122624722</v>
      </c>
      <c r="BP61" t="s">
        <v>2090</v>
      </c>
      <c r="BQ61">
        <v>6122624737</v>
      </c>
      <c r="BR61" t="s">
        <v>3076</v>
      </c>
      <c r="BS61" t="s">
        <v>2209</v>
      </c>
      <c r="BT61" t="s">
        <v>2170</v>
      </c>
      <c r="BU61" t="s">
        <v>119</v>
      </c>
      <c r="BV61" t="s">
        <v>336</v>
      </c>
      <c r="BW61">
        <v>55440</v>
      </c>
      <c r="BX61" t="s">
        <v>2170</v>
      </c>
      <c r="BY61" t="s">
        <v>370</v>
      </c>
    </row>
    <row r="62" spans="1:77" customFormat="1" x14ac:dyDescent="0.2">
      <c r="A62" s="504">
        <v>85</v>
      </c>
      <c r="B62">
        <v>1356321699</v>
      </c>
      <c r="C62" t="s">
        <v>2695</v>
      </c>
      <c r="D62" t="s">
        <v>457</v>
      </c>
      <c r="E62" t="s">
        <v>2238</v>
      </c>
      <c r="F62" t="s">
        <v>2090</v>
      </c>
      <c r="H62" t="s">
        <v>977</v>
      </c>
      <c r="I62" t="s">
        <v>336</v>
      </c>
      <c r="J62">
        <v>55746</v>
      </c>
      <c r="K62">
        <v>2341</v>
      </c>
      <c r="L62">
        <v>2182624881</v>
      </c>
      <c r="M62">
        <v>2183626619</v>
      </c>
      <c r="N62" t="s">
        <v>3025</v>
      </c>
      <c r="O62" t="s">
        <v>3026</v>
      </c>
      <c r="P62" t="s">
        <v>3077</v>
      </c>
      <c r="Q62" t="s">
        <v>3027</v>
      </c>
      <c r="R62" t="s">
        <v>2587</v>
      </c>
      <c r="S62" t="s">
        <v>2588</v>
      </c>
      <c r="T62" t="s">
        <v>2589</v>
      </c>
      <c r="U62" t="s">
        <v>1621</v>
      </c>
      <c r="V62">
        <v>6126722287</v>
      </c>
      <c r="W62" t="s">
        <v>2090</v>
      </c>
      <c r="X62">
        <v>6126726986</v>
      </c>
      <c r="Y62" t="s">
        <v>3078</v>
      </c>
      <c r="Z62" t="s">
        <v>2894</v>
      </c>
      <c r="AA62" t="s">
        <v>2170</v>
      </c>
      <c r="AB62" t="s">
        <v>968</v>
      </c>
      <c r="AC62" t="s">
        <v>336</v>
      </c>
      <c r="AD62">
        <v>55104</v>
      </c>
      <c r="AE62" t="s">
        <v>2170</v>
      </c>
      <c r="AF62" t="s">
        <v>2978</v>
      </c>
      <c r="AG62" t="s">
        <v>130</v>
      </c>
      <c r="AH62" t="s">
        <v>2773</v>
      </c>
      <c r="AI62" t="s">
        <v>953</v>
      </c>
      <c r="AJ62">
        <v>0</v>
      </c>
      <c r="AK62" t="s">
        <v>3079</v>
      </c>
      <c r="AL62" t="s">
        <v>204</v>
      </c>
      <c r="AM62" t="s">
        <v>1267</v>
      </c>
      <c r="AN62" t="s">
        <v>2591</v>
      </c>
      <c r="AO62">
        <v>6126726736</v>
      </c>
      <c r="AP62" t="s">
        <v>2090</v>
      </c>
      <c r="AQ62" t="s">
        <v>2090</v>
      </c>
      <c r="AR62" t="s">
        <v>2979</v>
      </c>
      <c r="AS62" t="s">
        <v>2980</v>
      </c>
      <c r="AT62" t="s">
        <v>2170</v>
      </c>
      <c r="AU62" t="s">
        <v>968</v>
      </c>
      <c r="AV62" t="s">
        <v>336</v>
      </c>
      <c r="AW62">
        <v>55104</v>
      </c>
      <c r="AX62">
        <v>3727</v>
      </c>
      <c r="AY62" t="s">
        <v>1299</v>
      </c>
      <c r="AZ62" t="s">
        <v>459</v>
      </c>
      <c r="BA62" t="s">
        <v>356</v>
      </c>
      <c r="BB62">
        <v>2183626265</v>
      </c>
      <c r="BC62" t="s">
        <v>2090</v>
      </c>
      <c r="BD62">
        <v>2183626775</v>
      </c>
      <c r="BE62" t="s">
        <v>460</v>
      </c>
      <c r="BF62" t="s">
        <v>2238</v>
      </c>
      <c r="BG62" t="s">
        <v>2170</v>
      </c>
      <c r="BH62" t="s">
        <v>461</v>
      </c>
      <c r="BI62" t="s">
        <v>336</v>
      </c>
      <c r="BJ62">
        <v>55746</v>
      </c>
      <c r="BK62" t="s">
        <v>2170</v>
      </c>
      <c r="BL62" t="s">
        <v>2891</v>
      </c>
      <c r="BM62" t="s">
        <v>2892</v>
      </c>
      <c r="BN62" t="s">
        <v>2203</v>
      </c>
      <c r="BO62">
        <v>6126724923</v>
      </c>
      <c r="BP62" t="s">
        <v>2090</v>
      </c>
      <c r="BQ62" t="s">
        <v>2090</v>
      </c>
      <c r="BR62" t="s">
        <v>2893</v>
      </c>
      <c r="BS62" t="s">
        <v>2894</v>
      </c>
      <c r="BT62" t="s">
        <v>2170</v>
      </c>
      <c r="BU62" t="s">
        <v>2177</v>
      </c>
      <c r="BV62" t="s">
        <v>336</v>
      </c>
      <c r="BW62">
        <v>55104</v>
      </c>
      <c r="BX62" t="s">
        <v>2170</v>
      </c>
      <c r="BY62" t="s">
        <v>370</v>
      </c>
    </row>
    <row r="63" spans="1:77" customFormat="1" x14ac:dyDescent="0.2">
      <c r="A63" s="504">
        <v>86</v>
      </c>
      <c r="B63">
        <v>1649220724</v>
      </c>
      <c r="C63" t="s">
        <v>1323</v>
      </c>
      <c r="D63" t="s">
        <v>718</v>
      </c>
      <c r="E63" t="s">
        <v>3080</v>
      </c>
      <c r="F63" t="s">
        <v>2090</v>
      </c>
      <c r="H63" t="s">
        <v>129</v>
      </c>
      <c r="I63" t="s">
        <v>336</v>
      </c>
      <c r="J63">
        <v>55426</v>
      </c>
      <c r="K63">
        <v>4702</v>
      </c>
      <c r="L63">
        <v>9529935000</v>
      </c>
      <c r="M63">
        <v>9529935936</v>
      </c>
      <c r="N63" t="s">
        <v>1159</v>
      </c>
      <c r="O63" t="s">
        <v>2048</v>
      </c>
      <c r="P63" t="s">
        <v>2049</v>
      </c>
      <c r="Q63" t="s">
        <v>2050</v>
      </c>
      <c r="R63" t="s">
        <v>3081</v>
      </c>
      <c r="S63" t="s">
        <v>1899</v>
      </c>
      <c r="T63" t="s">
        <v>1900</v>
      </c>
      <c r="U63" t="s">
        <v>1901</v>
      </c>
      <c r="V63">
        <v>9529931690</v>
      </c>
      <c r="W63" t="s">
        <v>2090</v>
      </c>
      <c r="X63">
        <v>9529931808</v>
      </c>
      <c r="Y63" t="s">
        <v>1902</v>
      </c>
      <c r="Z63" t="s">
        <v>3082</v>
      </c>
      <c r="AA63" t="s">
        <v>691</v>
      </c>
      <c r="AB63" t="s">
        <v>718</v>
      </c>
      <c r="AC63" t="s">
        <v>336</v>
      </c>
      <c r="AD63">
        <v>55426</v>
      </c>
      <c r="AE63">
        <v>4702</v>
      </c>
      <c r="AF63" t="s">
        <v>129</v>
      </c>
      <c r="AG63" t="s">
        <v>693</v>
      </c>
      <c r="AH63" t="s">
        <v>427</v>
      </c>
      <c r="AI63" t="s">
        <v>953</v>
      </c>
      <c r="AJ63">
        <v>0</v>
      </c>
      <c r="AK63" t="s">
        <v>2696</v>
      </c>
      <c r="AL63" t="s">
        <v>646</v>
      </c>
      <c r="AM63" t="s">
        <v>1352</v>
      </c>
      <c r="AN63" t="s">
        <v>1904</v>
      </c>
      <c r="AO63">
        <v>9529931845</v>
      </c>
      <c r="AP63" t="s">
        <v>2090</v>
      </c>
      <c r="AQ63">
        <v>9529931808</v>
      </c>
      <c r="AR63" t="s">
        <v>1905</v>
      </c>
      <c r="AS63" t="s">
        <v>3083</v>
      </c>
      <c r="AT63" t="s">
        <v>2051</v>
      </c>
      <c r="AU63" t="s">
        <v>692</v>
      </c>
      <c r="AV63" t="s">
        <v>336</v>
      </c>
      <c r="AW63">
        <v>55426</v>
      </c>
      <c r="AX63">
        <v>4702</v>
      </c>
      <c r="AY63" t="s">
        <v>1301</v>
      </c>
      <c r="AZ63" t="s">
        <v>719</v>
      </c>
      <c r="BA63" t="s">
        <v>1649</v>
      </c>
      <c r="BB63">
        <v>9529931835</v>
      </c>
      <c r="BC63" t="s">
        <v>2090</v>
      </c>
      <c r="BD63">
        <v>9529931808</v>
      </c>
      <c r="BE63" t="s">
        <v>690</v>
      </c>
      <c r="BF63" t="s">
        <v>3082</v>
      </c>
      <c r="BG63" t="s">
        <v>691</v>
      </c>
      <c r="BH63" t="s">
        <v>692</v>
      </c>
      <c r="BI63" t="s">
        <v>336</v>
      </c>
      <c r="BJ63">
        <v>55426</v>
      </c>
      <c r="BK63">
        <v>4702</v>
      </c>
      <c r="BL63" t="s">
        <v>419</v>
      </c>
      <c r="BM63" t="s">
        <v>1324</v>
      </c>
      <c r="BN63" t="s">
        <v>1325</v>
      </c>
      <c r="BO63">
        <v>9529939255</v>
      </c>
      <c r="BP63" t="s">
        <v>2090</v>
      </c>
      <c r="BQ63">
        <v>9529931808</v>
      </c>
      <c r="BR63" t="s">
        <v>1326</v>
      </c>
      <c r="BS63" t="s">
        <v>1903</v>
      </c>
      <c r="BT63" t="s">
        <v>2170</v>
      </c>
      <c r="BU63" t="s">
        <v>692</v>
      </c>
      <c r="BV63" t="s">
        <v>336</v>
      </c>
      <c r="BW63">
        <v>55426</v>
      </c>
      <c r="BX63">
        <v>4702</v>
      </c>
      <c r="BY63" t="s">
        <v>370</v>
      </c>
    </row>
    <row r="64" spans="1:77" customFormat="1" x14ac:dyDescent="0.2">
      <c r="A64" s="504">
        <v>90</v>
      </c>
      <c r="B64">
        <v>1033153895</v>
      </c>
      <c r="C64" t="s">
        <v>1987</v>
      </c>
      <c r="D64" t="s">
        <v>171</v>
      </c>
      <c r="E64" t="s">
        <v>1988</v>
      </c>
      <c r="F64" t="s">
        <v>2090</v>
      </c>
      <c r="H64" t="s">
        <v>977</v>
      </c>
      <c r="I64" t="s">
        <v>336</v>
      </c>
      <c r="J64">
        <v>55805</v>
      </c>
      <c r="K64">
        <v>1984</v>
      </c>
      <c r="L64">
        <v>2187864000</v>
      </c>
      <c r="M64">
        <v>2187861456</v>
      </c>
      <c r="N64" t="s">
        <v>251</v>
      </c>
      <c r="O64" t="s">
        <v>3084</v>
      </c>
      <c r="P64" t="s">
        <v>458</v>
      </c>
      <c r="Q64" t="s">
        <v>3085</v>
      </c>
      <c r="R64" t="s">
        <v>1839</v>
      </c>
      <c r="S64" t="s">
        <v>1689</v>
      </c>
      <c r="T64" t="s">
        <v>1690</v>
      </c>
      <c r="U64" t="s">
        <v>1600</v>
      </c>
      <c r="V64">
        <v>2187861429</v>
      </c>
      <c r="W64" t="s">
        <v>2090</v>
      </c>
      <c r="X64">
        <v>2187868406</v>
      </c>
      <c r="Y64" t="s">
        <v>1840</v>
      </c>
      <c r="Z64" t="s">
        <v>2216</v>
      </c>
      <c r="AA64" t="s">
        <v>2170</v>
      </c>
      <c r="AB64" t="s">
        <v>1298</v>
      </c>
      <c r="AC64" t="s">
        <v>336</v>
      </c>
      <c r="AD64">
        <v>55805</v>
      </c>
      <c r="AE64">
        <v>1984</v>
      </c>
      <c r="AF64" t="s">
        <v>977</v>
      </c>
      <c r="AG64" t="s">
        <v>1593</v>
      </c>
      <c r="AH64" t="s">
        <v>2091</v>
      </c>
      <c r="AI64" t="s">
        <v>953</v>
      </c>
      <c r="AJ64">
        <v>0</v>
      </c>
      <c r="AK64">
        <v>0</v>
      </c>
      <c r="AL64" t="s">
        <v>2183</v>
      </c>
      <c r="AM64" t="s">
        <v>2184</v>
      </c>
      <c r="AN64" t="s">
        <v>2945</v>
      </c>
      <c r="AO64">
        <v>2187861419</v>
      </c>
      <c r="AP64" t="s">
        <v>2090</v>
      </c>
      <c r="AQ64" t="s">
        <v>2090</v>
      </c>
      <c r="AR64" t="s">
        <v>2185</v>
      </c>
      <c r="AS64" t="s">
        <v>2181</v>
      </c>
      <c r="AT64" t="s">
        <v>2170</v>
      </c>
      <c r="AU64" t="s">
        <v>1298</v>
      </c>
      <c r="AV64" t="s">
        <v>336</v>
      </c>
      <c r="AW64">
        <v>55805</v>
      </c>
      <c r="AX64" t="s">
        <v>2170</v>
      </c>
      <c r="AY64" t="s">
        <v>2170</v>
      </c>
      <c r="AZ64" t="s">
        <v>2170</v>
      </c>
      <c r="BA64" t="s">
        <v>2170</v>
      </c>
      <c r="BB64" t="s">
        <v>2170</v>
      </c>
      <c r="BC64" t="s">
        <v>2170</v>
      </c>
      <c r="BD64" t="s">
        <v>2170</v>
      </c>
      <c r="BE64" t="s">
        <v>2170</v>
      </c>
      <c r="BF64" t="s">
        <v>2170</v>
      </c>
      <c r="BG64" t="s">
        <v>2170</v>
      </c>
      <c r="BH64" t="s">
        <v>2170</v>
      </c>
      <c r="BI64" t="s">
        <v>2170</v>
      </c>
      <c r="BJ64" t="s">
        <v>2170</v>
      </c>
      <c r="BK64" t="s">
        <v>2170</v>
      </c>
      <c r="BL64" t="s">
        <v>1266</v>
      </c>
      <c r="BM64" t="s">
        <v>2946</v>
      </c>
      <c r="BN64" t="s">
        <v>2947</v>
      </c>
      <c r="BO64">
        <v>2187868169</v>
      </c>
      <c r="BP64" t="s">
        <v>2090</v>
      </c>
      <c r="BQ64">
        <v>2187868406</v>
      </c>
      <c r="BR64" t="s">
        <v>2948</v>
      </c>
      <c r="BS64" t="s">
        <v>2181</v>
      </c>
      <c r="BT64" t="s">
        <v>2170</v>
      </c>
      <c r="BU64" t="s">
        <v>1298</v>
      </c>
      <c r="BV64" t="s">
        <v>336</v>
      </c>
      <c r="BW64">
        <v>55805</v>
      </c>
      <c r="BX64" t="s">
        <v>2170</v>
      </c>
      <c r="BY64" t="s">
        <v>370</v>
      </c>
    </row>
    <row r="65" spans="1:77" customFormat="1" x14ac:dyDescent="0.2">
      <c r="A65" s="504">
        <v>91</v>
      </c>
      <c r="B65">
        <v>1881793750</v>
      </c>
      <c r="C65" t="s">
        <v>2697</v>
      </c>
      <c r="D65" t="s">
        <v>125</v>
      </c>
      <c r="E65" t="s">
        <v>2698</v>
      </c>
      <c r="F65" t="s">
        <v>2090</v>
      </c>
      <c r="H65" t="s">
        <v>129</v>
      </c>
      <c r="I65" t="s">
        <v>336</v>
      </c>
      <c r="J65">
        <v>55404</v>
      </c>
      <c r="K65">
        <v>4518</v>
      </c>
      <c r="L65">
        <v>6128136100</v>
      </c>
      <c r="M65">
        <v>9529926994</v>
      </c>
      <c r="N65" t="s">
        <v>2699</v>
      </c>
      <c r="O65" t="s">
        <v>2700</v>
      </c>
      <c r="P65" t="s">
        <v>2701</v>
      </c>
      <c r="Q65" t="s">
        <v>2702</v>
      </c>
      <c r="R65" t="s">
        <v>3086</v>
      </c>
      <c r="S65" t="s">
        <v>1177</v>
      </c>
      <c r="T65" t="s">
        <v>1178</v>
      </c>
      <c r="U65" t="s">
        <v>2145</v>
      </c>
      <c r="V65">
        <v>9529925632</v>
      </c>
      <c r="W65" t="s">
        <v>2090</v>
      </c>
      <c r="X65">
        <v>9529926994</v>
      </c>
      <c r="Y65" t="s">
        <v>2270</v>
      </c>
      <c r="Z65" t="s">
        <v>2271</v>
      </c>
      <c r="AA65" t="s">
        <v>2170</v>
      </c>
      <c r="AB65" t="s">
        <v>125</v>
      </c>
      <c r="AC65" t="s">
        <v>336</v>
      </c>
      <c r="AD65">
        <v>55436</v>
      </c>
      <c r="AE65" t="s">
        <v>2170</v>
      </c>
      <c r="AF65" t="s">
        <v>2170</v>
      </c>
      <c r="AG65" t="s">
        <v>1153</v>
      </c>
      <c r="AH65" t="s">
        <v>1154</v>
      </c>
      <c r="AI65" t="s">
        <v>953</v>
      </c>
      <c r="AJ65">
        <v>0</v>
      </c>
      <c r="AK65" t="s">
        <v>1499</v>
      </c>
      <c r="AL65" t="s">
        <v>2170</v>
      </c>
      <c r="AM65" t="s">
        <v>2170</v>
      </c>
      <c r="AN65" t="s">
        <v>2170</v>
      </c>
      <c r="AO65" t="s">
        <v>2170</v>
      </c>
      <c r="AP65" t="s">
        <v>2170</v>
      </c>
      <c r="AQ65" t="s">
        <v>2170</v>
      </c>
      <c r="AR65" t="s">
        <v>2170</v>
      </c>
      <c r="AS65" t="s">
        <v>2170</v>
      </c>
      <c r="AT65" t="s">
        <v>2170</v>
      </c>
      <c r="AU65" t="s">
        <v>2170</v>
      </c>
      <c r="AV65" t="s">
        <v>2170</v>
      </c>
      <c r="AW65" t="s">
        <v>2170</v>
      </c>
      <c r="AX65" t="s">
        <v>2170</v>
      </c>
      <c r="AY65" t="s">
        <v>2170</v>
      </c>
      <c r="AZ65" t="s">
        <v>2170</v>
      </c>
      <c r="BA65" t="s">
        <v>2170</v>
      </c>
      <c r="BB65" t="s">
        <v>2170</v>
      </c>
      <c r="BC65" t="s">
        <v>2170</v>
      </c>
      <c r="BD65" t="s">
        <v>2170</v>
      </c>
      <c r="BE65" t="s">
        <v>2170</v>
      </c>
      <c r="BF65" t="s">
        <v>2170</v>
      </c>
      <c r="BG65" t="s">
        <v>2170</v>
      </c>
      <c r="BH65" t="s">
        <v>2170</v>
      </c>
      <c r="BI65" t="s">
        <v>2170</v>
      </c>
      <c r="BJ65" t="s">
        <v>2170</v>
      </c>
      <c r="BK65" t="s">
        <v>2170</v>
      </c>
      <c r="BL65" t="s">
        <v>1481</v>
      </c>
      <c r="BM65" t="s">
        <v>1879</v>
      </c>
      <c r="BN65" t="s">
        <v>2146</v>
      </c>
      <c r="BO65">
        <v>9529925404</v>
      </c>
      <c r="BP65" t="s">
        <v>2090</v>
      </c>
      <c r="BQ65">
        <v>9529926994</v>
      </c>
      <c r="BR65" t="s">
        <v>1880</v>
      </c>
      <c r="BS65" t="s">
        <v>2271</v>
      </c>
      <c r="BT65" t="s">
        <v>2170</v>
      </c>
      <c r="BU65" t="s">
        <v>2144</v>
      </c>
      <c r="BV65" t="s">
        <v>336</v>
      </c>
      <c r="BW65">
        <v>55436</v>
      </c>
      <c r="BX65" t="s">
        <v>2170</v>
      </c>
      <c r="BY65" t="s">
        <v>371</v>
      </c>
    </row>
    <row r="66" spans="1:77" customFormat="1" x14ac:dyDescent="0.2">
      <c r="A66" s="504">
        <v>92</v>
      </c>
      <c r="B66">
        <v>1730248907</v>
      </c>
      <c r="C66" t="s">
        <v>2703</v>
      </c>
      <c r="D66" t="s">
        <v>465</v>
      </c>
      <c r="E66" t="s">
        <v>2245</v>
      </c>
      <c r="F66" t="s">
        <v>2090</v>
      </c>
      <c r="H66" t="s">
        <v>465</v>
      </c>
      <c r="I66" t="s">
        <v>336</v>
      </c>
      <c r="J66">
        <v>56058</v>
      </c>
      <c r="K66">
        <v>2298</v>
      </c>
      <c r="L66">
        <v>5076653375</v>
      </c>
      <c r="M66">
        <v>5076652191</v>
      </c>
      <c r="N66" t="s">
        <v>1312</v>
      </c>
      <c r="O66" t="s">
        <v>1149</v>
      </c>
      <c r="P66" t="s">
        <v>2704</v>
      </c>
      <c r="Q66" t="s">
        <v>2705</v>
      </c>
      <c r="R66" t="s">
        <v>466</v>
      </c>
      <c r="S66" t="s">
        <v>419</v>
      </c>
      <c r="T66" t="s">
        <v>467</v>
      </c>
      <c r="U66" t="s">
        <v>961</v>
      </c>
      <c r="V66">
        <v>5076658683</v>
      </c>
      <c r="W66" t="s">
        <v>2090</v>
      </c>
      <c r="X66">
        <v>5076652711</v>
      </c>
      <c r="Y66" t="s">
        <v>2244</v>
      </c>
      <c r="Z66" t="s">
        <v>2245</v>
      </c>
      <c r="AA66" t="s">
        <v>2170</v>
      </c>
      <c r="AB66" t="s">
        <v>465</v>
      </c>
      <c r="AC66" t="s">
        <v>336</v>
      </c>
      <c r="AD66">
        <v>56058</v>
      </c>
      <c r="AE66">
        <v>2298</v>
      </c>
      <c r="AF66" t="s">
        <v>465</v>
      </c>
      <c r="AG66" t="s">
        <v>3087</v>
      </c>
      <c r="AH66" t="s">
        <v>1478</v>
      </c>
      <c r="AI66" t="s">
        <v>953</v>
      </c>
      <c r="AJ66">
        <v>1</v>
      </c>
      <c r="AK66" t="s">
        <v>2246</v>
      </c>
      <c r="AL66" t="s">
        <v>2170</v>
      </c>
      <c r="AM66" t="s">
        <v>2170</v>
      </c>
      <c r="AN66" t="s">
        <v>2170</v>
      </c>
      <c r="AO66" t="s">
        <v>2170</v>
      </c>
      <c r="AP66" t="s">
        <v>2170</v>
      </c>
      <c r="AQ66" t="s">
        <v>2170</v>
      </c>
      <c r="AR66" t="s">
        <v>2170</v>
      </c>
      <c r="AS66" t="s">
        <v>2170</v>
      </c>
      <c r="AT66" t="s">
        <v>2170</v>
      </c>
      <c r="AU66" t="s">
        <v>2170</v>
      </c>
      <c r="AV66" t="s">
        <v>2170</v>
      </c>
      <c r="AW66" t="s">
        <v>2170</v>
      </c>
      <c r="AX66" t="s">
        <v>2170</v>
      </c>
      <c r="AY66" t="s">
        <v>2170</v>
      </c>
      <c r="AZ66" t="s">
        <v>2170</v>
      </c>
      <c r="BA66" t="s">
        <v>2170</v>
      </c>
      <c r="BB66" t="s">
        <v>2170</v>
      </c>
      <c r="BC66" t="s">
        <v>2170</v>
      </c>
      <c r="BD66" t="s">
        <v>2170</v>
      </c>
      <c r="BE66" t="s">
        <v>2170</v>
      </c>
      <c r="BF66" t="s">
        <v>2170</v>
      </c>
      <c r="BG66" t="s">
        <v>2170</v>
      </c>
      <c r="BH66" t="s">
        <v>2170</v>
      </c>
      <c r="BI66" t="s">
        <v>2170</v>
      </c>
      <c r="BJ66" t="s">
        <v>2170</v>
      </c>
      <c r="BK66" t="s">
        <v>2170</v>
      </c>
      <c r="BL66" t="s">
        <v>419</v>
      </c>
      <c r="BM66" t="s">
        <v>467</v>
      </c>
      <c r="BN66" t="s">
        <v>961</v>
      </c>
      <c r="BO66">
        <v>5076658683</v>
      </c>
      <c r="BP66" t="s">
        <v>2090</v>
      </c>
      <c r="BQ66">
        <v>5076652711</v>
      </c>
      <c r="BR66" t="s">
        <v>2244</v>
      </c>
      <c r="BS66" t="s">
        <v>2245</v>
      </c>
      <c r="BT66" t="s">
        <v>2170</v>
      </c>
      <c r="BU66" t="s">
        <v>465</v>
      </c>
      <c r="BV66" t="s">
        <v>336</v>
      </c>
      <c r="BW66">
        <v>56058</v>
      </c>
      <c r="BX66">
        <v>2298</v>
      </c>
      <c r="BY66" t="s">
        <v>370</v>
      </c>
    </row>
    <row r="67" spans="1:77" customFormat="1" x14ac:dyDescent="0.2">
      <c r="A67" s="504">
        <v>94</v>
      </c>
      <c r="B67">
        <v>1275872772</v>
      </c>
      <c r="C67" t="s">
        <v>1989</v>
      </c>
      <c r="D67" t="s">
        <v>179</v>
      </c>
      <c r="E67" t="s">
        <v>2273</v>
      </c>
      <c r="F67" t="s">
        <v>2090</v>
      </c>
      <c r="H67" t="s">
        <v>1087</v>
      </c>
      <c r="I67" t="s">
        <v>336</v>
      </c>
      <c r="J67">
        <v>55362</v>
      </c>
      <c r="K67">
        <v>8575</v>
      </c>
      <c r="L67">
        <v>7632952945</v>
      </c>
      <c r="M67">
        <v>7632712299</v>
      </c>
      <c r="N67" t="s">
        <v>1301</v>
      </c>
      <c r="O67" t="s">
        <v>3088</v>
      </c>
      <c r="P67" t="s">
        <v>270</v>
      </c>
      <c r="Q67" t="s">
        <v>3089</v>
      </c>
      <c r="R67" t="s">
        <v>3056</v>
      </c>
      <c r="S67" t="s">
        <v>2140</v>
      </c>
      <c r="T67" t="s">
        <v>2141</v>
      </c>
      <c r="U67" t="s">
        <v>3057</v>
      </c>
      <c r="V67">
        <v>3202512700</v>
      </c>
      <c r="W67">
        <v>54553</v>
      </c>
      <c r="X67">
        <v>3202555737</v>
      </c>
      <c r="Y67" t="s">
        <v>2143</v>
      </c>
      <c r="Z67" t="s">
        <v>2252</v>
      </c>
      <c r="AA67" t="s">
        <v>2170</v>
      </c>
      <c r="AB67" t="s">
        <v>649</v>
      </c>
      <c r="AC67" t="s">
        <v>336</v>
      </c>
      <c r="AD67">
        <v>56303</v>
      </c>
      <c r="AE67">
        <v>1901</v>
      </c>
      <c r="AF67" t="s">
        <v>2170</v>
      </c>
      <c r="AG67" t="s">
        <v>482</v>
      </c>
      <c r="AH67" t="s">
        <v>1308</v>
      </c>
      <c r="AI67" t="s">
        <v>342</v>
      </c>
      <c r="AJ67">
        <v>1</v>
      </c>
      <c r="AK67" t="s">
        <v>181</v>
      </c>
      <c r="AL67" t="s">
        <v>449</v>
      </c>
      <c r="AM67" t="s">
        <v>2274</v>
      </c>
      <c r="AN67" t="s">
        <v>425</v>
      </c>
      <c r="AO67">
        <v>7632712842</v>
      </c>
      <c r="AP67" t="s">
        <v>2090</v>
      </c>
      <c r="AQ67">
        <v>7632712299</v>
      </c>
      <c r="AR67" t="s">
        <v>2275</v>
      </c>
      <c r="AS67" t="s">
        <v>2273</v>
      </c>
      <c r="AT67" t="s">
        <v>2170</v>
      </c>
      <c r="AU67" t="s">
        <v>179</v>
      </c>
      <c r="AV67" t="s">
        <v>336</v>
      </c>
      <c r="AW67">
        <v>55362</v>
      </c>
      <c r="AX67">
        <v>8575</v>
      </c>
      <c r="AY67" t="s">
        <v>2170</v>
      </c>
      <c r="AZ67" t="s">
        <v>2170</v>
      </c>
      <c r="BA67" t="s">
        <v>2170</v>
      </c>
      <c r="BB67" t="s">
        <v>2170</v>
      </c>
      <c r="BC67" t="s">
        <v>2170</v>
      </c>
      <c r="BD67" t="s">
        <v>2170</v>
      </c>
      <c r="BE67" t="s">
        <v>2170</v>
      </c>
      <c r="BF67" t="s">
        <v>2170</v>
      </c>
      <c r="BG67" t="s">
        <v>2170</v>
      </c>
      <c r="BH67" t="s">
        <v>2170</v>
      </c>
      <c r="BI67" t="s">
        <v>2170</v>
      </c>
      <c r="BJ67" t="s">
        <v>2170</v>
      </c>
      <c r="BK67" t="s">
        <v>2170</v>
      </c>
      <c r="BL67" t="s">
        <v>449</v>
      </c>
      <c r="BM67" t="s">
        <v>2274</v>
      </c>
      <c r="BN67" t="s">
        <v>425</v>
      </c>
      <c r="BO67">
        <v>7632712842</v>
      </c>
      <c r="BP67" t="s">
        <v>2090</v>
      </c>
      <c r="BQ67">
        <v>7632712299</v>
      </c>
      <c r="BR67" t="s">
        <v>2275</v>
      </c>
      <c r="BS67" t="s">
        <v>2273</v>
      </c>
      <c r="BT67" t="s">
        <v>2170</v>
      </c>
      <c r="BU67" t="s">
        <v>179</v>
      </c>
      <c r="BV67" t="s">
        <v>336</v>
      </c>
      <c r="BW67">
        <v>55362</v>
      </c>
      <c r="BX67">
        <v>8575</v>
      </c>
      <c r="BY67" t="s">
        <v>370</v>
      </c>
    </row>
    <row r="68" spans="1:77" customFormat="1" x14ac:dyDescent="0.2">
      <c r="A68" s="504">
        <v>98</v>
      </c>
      <c r="B68">
        <v>1194206748</v>
      </c>
      <c r="C68" t="s">
        <v>2706</v>
      </c>
      <c r="D68" t="s">
        <v>265</v>
      </c>
      <c r="E68" t="s">
        <v>2287</v>
      </c>
      <c r="F68" t="s">
        <v>2090</v>
      </c>
      <c r="H68" t="s">
        <v>266</v>
      </c>
      <c r="I68" t="s">
        <v>336</v>
      </c>
      <c r="J68">
        <v>56283</v>
      </c>
      <c r="K68">
        <v>1828</v>
      </c>
      <c r="L68">
        <v>5076374500</v>
      </c>
      <c r="M68">
        <v>5076976000</v>
      </c>
      <c r="N68" t="s">
        <v>3090</v>
      </c>
      <c r="O68" t="s">
        <v>3091</v>
      </c>
      <c r="P68" t="s">
        <v>270</v>
      </c>
      <c r="Q68" t="s">
        <v>3092</v>
      </c>
      <c r="R68" t="s">
        <v>3056</v>
      </c>
      <c r="S68" t="s">
        <v>2140</v>
      </c>
      <c r="T68" t="s">
        <v>2141</v>
      </c>
      <c r="U68" t="s">
        <v>3057</v>
      </c>
      <c r="V68">
        <v>3202512700</v>
      </c>
      <c r="W68">
        <v>54553</v>
      </c>
      <c r="X68">
        <v>3202555737</v>
      </c>
      <c r="Y68" t="s">
        <v>2143</v>
      </c>
      <c r="Z68" t="s">
        <v>2252</v>
      </c>
      <c r="AA68" t="s">
        <v>2170</v>
      </c>
      <c r="AB68" t="s">
        <v>649</v>
      </c>
      <c r="AC68" t="s">
        <v>336</v>
      </c>
      <c r="AD68">
        <v>56303</v>
      </c>
      <c r="AE68">
        <v>1901</v>
      </c>
      <c r="AF68" t="s">
        <v>2170</v>
      </c>
      <c r="AG68" t="s">
        <v>3093</v>
      </c>
      <c r="AH68" t="s">
        <v>1308</v>
      </c>
      <c r="AI68" t="s">
        <v>953</v>
      </c>
      <c r="AJ68">
        <v>1</v>
      </c>
      <c r="AK68" t="s">
        <v>3094</v>
      </c>
      <c r="AL68" t="s">
        <v>3095</v>
      </c>
      <c r="AM68" t="s">
        <v>2707</v>
      </c>
      <c r="AN68" t="s">
        <v>961</v>
      </c>
      <c r="AO68">
        <v>5076374667</v>
      </c>
      <c r="AP68" t="s">
        <v>2090</v>
      </c>
      <c r="AQ68">
        <v>5076976000</v>
      </c>
      <c r="AR68" t="s">
        <v>3096</v>
      </c>
      <c r="AS68" t="s">
        <v>2287</v>
      </c>
      <c r="AT68" t="s">
        <v>2170</v>
      </c>
      <c r="AU68" t="s">
        <v>267</v>
      </c>
      <c r="AV68" t="s">
        <v>336</v>
      </c>
      <c r="AW68">
        <v>56283</v>
      </c>
      <c r="AX68" t="s">
        <v>2170</v>
      </c>
      <c r="AY68" t="s">
        <v>3090</v>
      </c>
      <c r="AZ68" t="s">
        <v>3091</v>
      </c>
      <c r="BA68" t="s">
        <v>270</v>
      </c>
      <c r="BB68">
        <v>5076374511</v>
      </c>
      <c r="BC68" t="s">
        <v>2090</v>
      </c>
      <c r="BD68">
        <v>5076976029</v>
      </c>
      <c r="BE68" t="s">
        <v>3092</v>
      </c>
      <c r="BF68" t="s">
        <v>2287</v>
      </c>
      <c r="BG68" t="s">
        <v>2170</v>
      </c>
      <c r="BH68" t="s">
        <v>267</v>
      </c>
      <c r="BI68" t="s">
        <v>336</v>
      </c>
      <c r="BJ68">
        <v>56283</v>
      </c>
      <c r="BK68">
        <v>1828</v>
      </c>
      <c r="BL68" t="s">
        <v>3095</v>
      </c>
      <c r="BM68" t="s">
        <v>2707</v>
      </c>
      <c r="BN68" t="s">
        <v>961</v>
      </c>
      <c r="BO68">
        <v>5076374667</v>
      </c>
      <c r="BP68" t="s">
        <v>2090</v>
      </c>
      <c r="BQ68">
        <v>5076976000</v>
      </c>
      <c r="BR68" t="s">
        <v>3096</v>
      </c>
      <c r="BS68" t="s">
        <v>2287</v>
      </c>
      <c r="BT68" t="s">
        <v>2170</v>
      </c>
      <c r="BU68" t="s">
        <v>267</v>
      </c>
      <c r="BV68" t="s">
        <v>336</v>
      </c>
      <c r="BW68">
        <v>56283</v>
      </c>
      <c r="BX68" t="s">
        <v>2170</v>
      </c>
      <c r="BY68" t="s">
        <v>370</v>
      </c>
    </row>
    <row r="69" spans="1:77" customFormat="1" x14ac:dyDescent="0.2">
      <c r="A69" s="504">
        <v>99</v>
      </c>
      <c r="B69">
        <v>1053497214</v>
      </c>
      <c r="C69" t="s">
        <v>2708</v>
      </c>
      <c r="D69" t="s">
        <v>635</v>
      </c>
      <c r="E69" t="s">
        <v>2292</v>
      </c>
      <c r="F69" t="s">
        <v>2090</v>
      </c>
      <c r="H69" t="s">
        <v>636</v>
      </c>
      <c r="I69" t="s">
        <v>336</v>
      </c>
      <c r="J69">
        <v>56172</v>
      </c>
      <c r="K69">
        <v>1017</v>
      </c>
      <c r="L69">
        <v>5078366111</v>
      </c>
      <c r="M69">
        <v>5078366700</v>
      </c>
      <c r="N69" t="s">
        <v>3097</v>
      </c>
      <c r="O69" t="s">
        <v>3098</v>
      </c>
      <c r="P69" t="s">
        <v>346</v>
      </c>
      <c r="Q69" t="s">
        <v>3099</v>
      </c>
      <c r="R69" t="s">
        <v>2709</v>
      </c>
      <c r="S69" t="s">
        <v>1083</v>
      </c>
      <c r="T69" t="s">
        <v>2293</v>
      </c>
      <c r="U69" t="s">
        <v>1277</v>
      </c>
      <c r="V69">
        <v>6123973237</v>
      </c>
      <c r="W69" t="s">
        <v>2090</v>
      </c>
      <c r="X69" t="s">
        <v>2090</v>
      </c>
      <c r="Y69" t="s">
        <v>2294</v>
      </c>
      <c r="Z69" t="s">
        <v>2258</v>
      </c>
      <c r="AA69" t="s">
        <v>2170</v>
      </c>
      <c r="AB69" t="s">
        <v>119</v>
      </c>
      <c r="AC69" t="s">
        <v>336</v>
      </c>
      <c r="AD69">
        <v>55402</v>
      </c>
      <c r="AE69" t="s">
        <v>2170</v>
      </c>
      <c r="AF69" t="s">
        <v>120</v>
      </c>
      <c r="AG69" t="s">
        <v>638</v>
      </c>
      <c r="AH69" t="s">
        <v>1274</v>
      </c>
      <c r="AI69" t="s">
        <v>1060</v>
      </c>
      <c r="AJ69">
        <v>1</v>
      </c>
      <c r="AK69" t="s">
        <v>3100</v>
      </c>
      <c r="AL69" t="s">
        <v>1897</v>
      </c>
      <c r="AM69" t="s">
        <v>1898</v>
      </c>
      <c r="AN69" t="s">
        <v>341</v>
      </c>
      <c r="AO69">
        <v>5078361273</v>
      </c>
      <c r="AP69" t="s">
        <v>2090</v>
      </c>
      <c r="AQ69">
        <v>5078361273</v>
      </c>
      <c r="AR69" t="s">
        <v>2295</v>
      </c>
      <c r="AS69" t="s">
        <v>2296</v>
      </c>
      <c r="AT69" t="s">
        <v>2170</v>
      </c>
      <c r="AU69" t="s">
        <v>637</v>
      </c>
      <c r="AV69" t="s">
        <v>336</v>
      </c>
      <c r="AW69">
        <v>56172</v>
      </c>
      <c r="AX69">
        <v>1017</v>
      </c>
      <c r="AY69" t="s">
        <v>2170</v>
      </c>
      <c r="AZ69" t="s">
        <v>2170</v>
      </c>
      <c r="BA69" t="s">
        <v>2170</v>
      </c>
      <c r="BB69" t="s">
        <v>2170</v>
      </c>
      <c r="BC69" t="s">
        <v>2170</v>
      </c>
      <c r="BD69" t="s">
        <v>2170</v>
      </c>
      <c r="BE69" t="s">
        <v>2170</v>
      </c>
      <c r="BF69" t="s">
        <v>2170</v>
      </c>
      <c r="BG69" t="s">
        <v>2170</v>
      </c>
      <c r="BH69" t="s">
        <v>2170</v>
      </c>
      <c r="BI69" t="s">
        <v>2170</v>
      </c>
      <c r="BJ69" t="s">
        <v>2170</v>
      </c>
      <c r="BK69" t="s">
        <v>2170</v>
      </c>
      <c r="BL69" t="s">
        <v>2170</v>
      </c>
      <c r="BM69" t="s">
        <v>2170</v>
      </c>
      <c r="BN69" t="s">
        <v>2170</v>
      </c>
      <c r="BO69" t="s">
        <v>2170</v>
      </c>
      <c r="BP69" t="s">
        <v>2170</v>
      </c>
      <c r="BQ69" t="s">
        <v>2170</v>
      </c>
      <c r="BR69" t="s">
        <v>2170</v>
      </c>
      <c r="BS69" t="s">
        <v>2170</v>
      </c>
      <c r="BT69" t="s">
        <v>2170</v>
      </c>
      <c r="BU69" t="s">
        <v>2170</v>
      </c>
      <c r="BV69" t="s">
        <v>2170</v>
      </c>
      <c r="BW69" t="s">
        <v>2170</v>
      </c>
      <c r="BX69" t="s">
        <v>2170</v>
      </c>
      <c r="BY69" t="s">
        <v>365</v>
      </c>
    </row>
    <row r="70" spans="1:77" customFormat="1" x14ac:dyDescent="0.2">
      <c r="A70" s="504">
        <v>100</v>
      </c>
      <c r="B70">
        <v>1346258100</v>
      </c>
      <c r="C70" t="s">
        <v>2086</v>
      </c>
      <c r="D70" t="s">
        <v>954</v>
      </c>
      <c r="E70" t="s">
        <v>2710</v>
      </c>
      <c r="F70" t="s">
        <v>2090</v>
      </c>
      <c r="H70" t="s">
        <v>955</v>
      </c>
      <c r="I70" t="s">
        <v>336</v>
      </c>
      <c r="J70">
        <v>56007</v>
      </c>
      <c r="K70">
        <v>2437</v>
      </c>
      <c r="L70">
        <v>5073732384</v>
      </c>
      <c r="M70">
        <v>5073776464</v>
      </c>
      <c r="N70" t="s">
        <v>1269</v>
      </c>
      <c r="O70" t="s">
        <v>362</v>
      </c>
      <c r="P70" t="s">
        <v>2171</v>
      </c>
      <c r="Q70" t="s">
        <v>2711</v>
      </c>
      <c r="R70" t="s">
        <v>2902</v>
      </c>
      <c r="S70" t="s">
        <v>1631</v>
      </c>
      <c r="T70" t="s">
        <v>1632</v>
      </c>
      <c r="U70" t="s">
        <v>2172</v>
      </c>
      <c r="V70">
        <v>5075947197</v>
      </c>
      <c r="W70" t="s">
        <v>2090</v>
      </c>
      <c r="X70">
        <v>5075944874</v>
      </c>
      <c r="Y70" t="s">
        <v>1633</v>
      </c>
      <c r="Z70" t="s">
        <v>2903</v>
      </c>
      <c r="AA70" t="s">
        <v>357</v>
      </c>
      <c r="AB70" t="s">
        <v>193</v>
      </c>
      <c r="AC70" t="s">
        <v>336</v>
      </c>
      <c r="AD70">
        <v>56001</v>
      </c>
      <c r="AE70" t="s">
        <v>2170</v>
      </c>
      <c r="AF70" t="s">
        <v>194</v>
      </c>
      <c r="AG70" t="s">
        <v>2598</v>
      </c>
      <c r="AH70" t="s">
        <v>958</v>
      </c>
      <c r="AI70" t="s">
        <v>953</v>
      </c>
      <c r="AJ70">
        <v>0</v>
      </c>
      <c r="AK70" t="s">
        <v>2904</v>
      </c>
      <c r="AL70" t="s">
        <v>1631</v>
      </c>
      <c r="AM70" t="s">
        <v>1632</v>
      </c>
      <c r="AN70" t="s">
        <v>2172</v>
      </c>
      <c r="AO70">
        <v>5075947197</v>
      </c>
      <c r="AP70" t="s">
        <v>2090</v>
      </c>
      <c r="AQ70">
        <v>5075944874</v>
      </c>
      <c r="AR70" t="s">
        <v>1633</v>
      </c>
      <c r="AS70" t="s">
        <v>2903</v>
      </c>
      <c r="AT70" t="s">
        <v>357</v>
      </c>
      <c r="AU70" t="s">
        <v>193</v>
      </c>
      <c r="AV70" t="s">
        <v>336</v>
      </c>
      <c r="AW70">
        <v>56001</v>
      </c>
      <c r="AX70" t="s">
        <v>2170</v>
      </c>
      <c r="AY70" t="s">
        <v>2170</v>
      </c>
      <c r="AZ70" t="s">
        <v>2170</v>
      </c>
      <c r="BA70" t="s">
        <v>2170</v>
      </c>
      <c r="BB70" t="s">
        <v>2170</v>
      </c>
      <c r="BC70" t="s">
        <v>2170</v>
      </c>
      <c r="BD70" t="s">
        <v>2170</v>
      </c>
      <c r="BE70" t="s">
        <v>2170</v>
      </c>
      <c r="BF70" t="s">
        <v>2170</v>
      </c>
      <c r="BG70" t="s">
        <v>2170</v>
      </c>
      <c r="BH70" t="s">
        <v>2170</v>
      </c>
      <c r="BI70" t="s">
        <v>2170</v>
      </c>
      <c r="BJ70" t="s">
        <v>2170</v>
      </c>
      <c r="BK70" t="s">
        <v>2170</v>
      </c>
      <c r="BL70" t="s">
        <v>1631</v>
      </c>
      <c r="BM70" t="s">
        <v>1632</v>
      </c>
      <c r="BN70" t="s">
        <v>2172</v>
      </c>
      <c r="BO70">
        <v>5075947197</v>
      </c>
      <c r="BP70" t="s">
        <v>2090</v>
      </c>
      <c r="BQ70">
        <v>5075944874</v>
      </c>
      <c r="BR70" t="s">
        <v>1633</v>
      </c>
      <c r="BS70" t="s">
        <v>2903</v>
      </c>
      <c r="BT70" t="s">
        <v>357</v>
      </c>
      <c r="BU70" t="s">
        <v>193</v>
      </c>
      <c r="BV70" t="s">
        <v>336</v>
      </c>
      <c r="BW70">
        <v>56001</v>
      </c>
      <c r="BX70" t="s">
        <v>2170</v>
      </c>
      <c r="BY70" t="s">
        <v>370</v>
      </c>
    </row>
    <row r="71" spans="1:77" customFormat="1" x14ac:dyDescent="0.2">
      <c r="A71" s="504">
        <v>102</v>
      </c>
      <c r="B71">
        <v>1801870191</v>
      </c>
      <c r="C71" t="s">
        <v>1651</v>
      </c>
      <c r="D71" t="s">
        <v>1052</v>
      </c>
      <c r="E71" t="s">
        <v>1976</v>
      </c>
      <c r="F71" t="s">
        <v>2090</v>
      </c>
      <c r="H71" t="s">
        <v>1053</v>
      </c>
      <c r="I71" t="s">
        <v>336</v>
      </c>
      <c r="J71">
        <v>56601</v>
      </c>
      <c r="K71" t="s">
        <v>2090</v>
      </c>
      <c r="L71">
        <v>2187515430</v>
      </c>
      <c r="M71">
        <v>2187515880</v>
      </c>
      <c r="N71" t="s">
        <v>353</v>
      </c>
      <c r="O71" t="s">
        <v>2917</v>
      </c>
      <c r="P71" t="s">
        <v>2701</v>
      </c>
      <c r="Q71" t="s">
        <v>3101</v>
      </c>
      <c r="R71" t="s">
        <v>2919</v>
      </c>
      <c r="S71" t="s">
        <v>1311</v>
      </c>
      <c r="T71" t="s">
        <v>1998</v>
      </c>
      <c r="U71" t="s">
        <v>2920</v>
      </c>
      <c r="V71">
        <v>6123764528</v>
      </c>
      <c r="W71" t="s">
        <v>2090</v>
      </c>
      <c r="X71">
        <v>6123764850</v>
      </c>
      <c r="Y71" t="s">
        <v>1999</v>
      </c>
      <c r="Z71" t="s">
        <v>2187</v>
      </c>
      <c r="AA71" t="s">
        <v>2170</v>
      </c>
      <c r="AB71" t="s">
        <v>119</v>
      </c>
      <c r="AC71" t="s">
        <v>336</v>
      </c>
      <c r="AD71">
        <v>55402</v>
      </c>
      <c r="AE71" t="s">
        <v>2170</v>
      </c>
      <c r="AF71" t="s">
        <v>120</v>
      </c>
      <c r="AG71" t="s">
        <v>1652</v>
      </c>
      <c r="AH71" t="s">
        <v>1274</v>
      </c>
      <c r="AI71" t="s">
        <v>953</v>
      </c>
      <c r="AJ71">
        <v>0</v>
      </c>
      <c r="AK71" t="s">
        <v>2099</v>
      </c>
      <c r="AL71" t="s">
        <v>2000</v>
      </c>
      <c r="AM71" t="s">
        <v>2001</v>
      </c>
      <c r="AN71" t="s">
        <v>349</v>
      </c>
      <c r="AO71">
        <v>2183335823</v>
      </c>
      <c r="AP71" t="s">
        <v>2090</v>
      </c>
      <c r="AQ71">
        <v>2187515880</v>
      </c>
      <c r="AR71" t="s">
        <v>2098</v>
      </c>
      <c r="AS71" t="s">
        <v>1976</v>
      </c>
      <c r="AT71" t="s">
        <v>2170</v>
      </c>
      <c r="AU71" t="s">
        <v>1055</v>
      </c>
      <c r="AV71" t="s">
        <v>336</v>
      </c>
      <c r="AW71">
        <v>56601</v>
      </c>
      <c r="AX71" t="s">
        <v>2170</v>
      </c>
      <c r="AY71" t="s">
        <v>2104</v>
      </c>
      <c r="AZ71" t="s">
        <v>2925</v>
      </c>
      <c r="BA71" t="s">
        <v>2922</v>
      </c>
      <c r="BB71">
        <v>7012341213</v>
      </c>
      <c r="BC71" t="s">
        <v>2090</v>
      </c>
      <c r="BD71" t="s">
        <v>2090</v>
      </c>
      <c r="BE71" t="s">
        <v>2923</v>
      </c>
      <c r="BF71" t="s">
        <v>2170</v>
      </c>
      <c r="BG71" t="s">
        <v>2170</v>
      </c>
      <c r="BH71" t="s">
        <v>2170</v>
      </c>
      <c r="BI71" t="s">
        <v>2170</v>
      </c>
      <c r="BJ71" t="s">
        <v>2170</v>
      </c>
      <c r="BK71" t="s">
        <v>2170</v>
      </c>
      <c r="BL71" t="s">
        <v>2000</v>
      </c>
      <c r="BM71" t="s">
        <v>2001</v>
      </c>
      <c r="BN71" t="s">
        <v>349</v>
      </c>
      <c r="BO71">
        <v>2183335823</v>
      </c>
      <c r="BP71" t="s">
        <v>2090</v>
      </c>
      <c r="BQ71">
        <v>2187515880</v>
      </c>
      <c r="BR71" t="s">
        <v>2098</v>
      </c>
      <c r="BS71" t="s">
        <v>1976</v>
      </c>
      <c r="BT71" t="s">
        <v>2170</v>
      </c>
      <c r="BU71" t="s">
        <v>1055</v>
      </c>
      <c r="BV71" t="s">
        <v>336</v>
      </c>
      <c r="BW71">
        <v>56601</v>
      </c>
      <c r="BX71" t="s">
        <v>2170</v>
      </c>
      <c r="BY71" t="s">
        <v>370</v>
      </c>
    </row>
    <row r="72" spans="1:77" customFormat="1" x14ac:dyDescent="0.2">
      <c r="A72" s="504">
        <v>103</v>
      </c>
      <c r="B72">
        <v>1851344907</v>
      </c>
      <c r="C72" t="s">
        <v>2712</v>
      </c>
      <c r="D72" t="s">
        <v>242</v>
      </c>
      <c r="E72" t="s">
        <v>2087</v>
      </c>
      <c r="F72" t="s">
        <v>2090</v>
      </c>
      <c r="H72" t="s">
        <v>129</v>
      </c>
      <c r="I72" t="s">
        <v>336</v>
      </c>
      <c r="J72">
        <v>55422</v>
      </c>
      <c r="K72">
        <v>2900</v>
      </c>
      <c r="L72">
        <v>7635205000</v>
      </c>
      <c r="M72">
        <v>7635205006</v>
      </c>
      <c r="N72" t="s">
        <v>2025</v>
      </c>
      <c r="O72" t="s">
        <v>2026</v>
      </c>
      <c r="P72" t="s">
        <v>1051</v>
      </c>
      <c r="Q72" t="s">
        <v>2027</v>
      </c>
      <c r="R72" t="s">
        <v>3102</v>
      </c>
      <c r="S72" t="s">
        <v>142</v>
      </c>
      <c r="T72" t="s">
        <v>2713</v>
      </c>
      <c r="U72" t="s">
        <v>2714</v>
      </c>
      <c r="V72">
        <v>7635814573</v>
      </c>
      <c r="W72" t="s">
        <v>2090</v>
      </c>
      <c r="X72">
        <v>7635814561</v>
      </c>
      <c r="Y72" t="s">
        <v>2715</v>
      </c>
      <c r="Z72" t="s">
        <v>2716</v>
      </c>
      <c r="AA72" t="s">
        <v>2170</v>
      </c>
      <c r="AB72" t="s">
        <v>937</v>
      </c>
      <c r="AC72" t="s">
        <v>336</v>
      </c>
      <c r="AD72">
        <v>55422</v>
      </c>
      <c r="AE72" t="s">
        <v>2170</v>
      </c>
      <c r="AF72" t="s">
        <v>2170</v>
      </c>
      <c r="AG72" t="s">
        <v>1653</v>
      </c>
      <c r="AH72" t="s">
        <v>938</v>
      </c>
      <c r="AI72" t="s">
        <v>953</v>
      </c>
      <c r="AJ72">
        <v>0</v>
      </c>
      <c r="AK72" t="s">
        <v>2717</v>
      </c>
      <c r="AL72" t="s">
        <v>1247</v>
      </c>
      <c r="AM72" t="s">
        <v>2718</v>
      </c>
      <c r="AN72" t="s">
        <v>2719</v>
      </c>
      <c r="AO72">
        <v>7635814768</v>
      </c>
      <c r="AP72" t="s">
        <v>2090</v>
      </c>
      <c r="AQ72">
        <v>7635814561</v>
      </c>
      <c r="AR72" t="s">
        <v>2720</v>
      </c>
      <c r="AS72" t="s">
        <v>2716</v>
      </c>
      <c r="AT72" t="s">
        <v>2170</v>
      </c>
      <c r="AU72" t="s">
        <v>937</v>
      </c>
      <c r="AV72" t="s">
        <v>336</v>
      </c>
      <c r="AW72">
        <v>55422</v>
      </c>
      <c r="AX72" t="s">
        <v>2170</v>
      </c>
      <c r="AY72" t="s">
        <v>2170</v>
      </c>
      <c r="AZ72" t="s">
        <v>2170</v>
      </c>
      <c r="BA72" t="s">
        <v>2170</v>
      </c>
      <c r="BB72" t="s">
        <v>2170</v>
      </c>
      <c r="BC72" t="s">
        <v>2170</v>
      </c>
      <c r="BD72" t="s">
        <v>2170</v>
      </c>
      <c r="BE72" t="s">
        <v>2170</v>
      </c>
      <c r="BF72" t="s">
        <v>2170</v>
      </c>
      <c r="BG72" t="s">
        <v>2170</v>
      </c>
      <c r="BH72" t="s">
        <v>2170</v>
      </c>
      <c r="BI72" t="s">
        <v>2170</v>
      </c>
      <c r="BJ72" t="s">
        <v>2170</v>
      </c>
      <c r="BK72" t="s">
        <v>2170</v>
      </c>
      <c r="BL72" t="s">
        <v>2721</v>
      </c>
      <c r="BM72" t="s">
        <v>2722</v>
      </c>
      <c r="BN72" t="s">
        <v>2723</v>
      </c>
      <c r="BO72">
        <v>7635810988</v>
      </c>
      <c r="BP72" t="s">
        <v>2090</v>
      </c>
      <c r="BQ72">
        <v>7635814561</v>
      </c>
      <c r="BR72" t="s">
        <v>2724</v>
      </c>
      <c r="BS72" t="s">
        <v>2716</v>
      </c>
      <c r="BT72" t="s">
        <v>2170</v>
      </c>
      <c r="BU72" t="s">
        <v>937</v>
      </c>
      <c r="BV72" t="s">
        <v>336</v>
      </c>
      <c r="BW72">
        <v>55422</v>
      </c>
      <c r="BX72" t="s">
        <v>2170</v>
      </c>
      <c r="BY72" t="s">
        <v>370</v>
      </c>
    </row>
    <row r="73" spans="1:77" customFormat="1" x14ac:dyDescent="0.2">
      <c r="A73" s="504">
        <v>104</v>
      </c>
      <c r="B73">
        <v>1851335525</v>
      </c>
      <c r="C73" t="s">
        <v>1061</v>
      </c>
      <c r="D73" t="s">
        <v>1062</v>
      </c>
      <c r="E73" t="s">
        <v>2725</v>
      </c>
      <c r="F73" t="s">
        <v>2090</v>
      </c>
      <c r="H73" t="s">
        <v>1063</v>
      </c>
      <c r="I73" t="s">
        <v>336</v>
      </c>
      <c r="J73">
        <v>56628</v>
      </c>
      <c r="K73" t="s">
        <v>2090</v>
      </c>
      <c r="L73">
        <v>2187433177</v>
      </c>
      <c r="M73">
        <v>2187433559</v>
      </c>
      <c r="N73" t="s">
        <v>2004</v>
      </c>
      <c r="O73" t="s">
        <v>2005</v>
      </c>
      <c r="P73" t="s">
        <v>346</v>
      </c>
      <c r="Q73" t="s">
        <v>2006</v>
      </c>
      <c r="R73" t="s">
        <v>3103</v>
      </c>
      <c r="S73" t="s">
        <v>3104</v>
      </c>
      <c r="T73" t="s">
        <v>2300</v>
      </c>
      <c r="U73" t="s">
        <v>1684</v>
      </c>
      <c r="V73">
        <v>6123973237</v>
      </c>
      <c r="W73" t="s">
        <v>2090</v>
      </c>
      <c r="X73" t="s">
        <v>2090</v>
      </c>
      <c r="Y73" t="s">
        <v>3105</v>
      </c>
      <c r="Z73" t="s">
        <v>2196</v>
      </c>
      <c r="AA73" t="s">
        <v>2170</v>
      </c>
      <c r="AB73" t="s">
        <v>3106</v>
      </c>
      <c r="AC73" t="s">
        <v>336</v>
      </c>
      <c r="AD73">
        <v>55402</v>
      </c>
      <c r="AE73">
        <v>1436</v>
      </c>
      <c r="AF73" t="s">
        <v>120</v>
      </c>
      <c r="AG73" t="s">
        <v>1065</v>
      </c>
      <c r="AH73" t="s">
        <v>351</v>
      </c>
      <c r="AI73" t="s">
        <v>2170</v>
      </c>
      <c r="AJ73">
        <v>1</v>
      </c>
      <c r="AK73" t="s">
        <v>3107</v>
      </c>
      <c r="AL73" t="s">
        <v>337</v>
      </c>
      <c r="AM73" t="s">
        <v>3108</v>
      </c>
      <c r="AN73" t="s">
        <v>3109</v>
      </c>
      <c r="AO73" t="s">
        <v>2090</v>
      </c>
      <c r="AP73" t="s">
        <v>2090</v>
      </c>
      <c r="AQ73" t="s">
        <v>2090</v>
      </c>
      <c r="AR73" t="s">
        <v>3110</v>
      </c>
      <c r="AS73" t="s">
        <v>3111</v>
      </c>
      <c r="AT73" t="s">
        <v>1165</v>
      </c>
      <c r="AU73" t="s">
        <v>1064</v>
      </c>
      <c r="AV73" t="s">
        <v>336</v>
      </c>
      <c r="AW73">
        <v>56628</v>
      </c>
      <c r="AX73" t="s">
        <v>2170</v>
      </c>
      <c r="AY73" t="s">
        <v>1261</v>
      </c>
      <c r="AZ73" t="s">
        <v>1047</v>
      </c>
      <c r="BA73" t="s">
        <v>341</v>
      </c>
      <c r="BB73">
        <v>2187434267</v>
      </c>
      <c r="BC73" t="s">
        <v>2090</v>
      </c>
      <c r="BD73" t="s">
        <v>2090</v>
      </c>
      <c r="BE73" t="s">
        <v>3112</v>
      </c>
      <c r="BF73" t="s">
        <v>3111</v>
      </c>
      <c r="BG73" t="s">
        <v>2170</v>
      </c>
      <c r="BH73" t="s">
        <v>1064</v>
      </c>
      <c r="BI73" t="s">
        <v>336</v>
      </c>
      <c r="BJ73">
        <v>56628</v>
      </c>
      <c r="BK73" t="s">
        <v>2170</v>
      </c>
      <c r="BL73" t="s">
        <v>2170</v>
      </c>
      <c r="BM73" t="s">
        <v>2170</v>
      </c>
      <c r="BN73" t="s">
        <v>2170</v>
      </c>
      <c r="BO73" t="s">
        <v>2170</v>
      </c>
      <c r="BP73" t="s">
        <v>2170</v>
      </c>
      <c r="BQ73" t="s">
        <v>2170</v>
      </c>
      <c r="BR73" t="s">
        <v>2170</v>
      </c>
      <c r="BS73" t="s">
        <v>2170</v>
      </c>
      <c r="BT73" t="s">
        <v>2170</v>
      </c>
      <c r="BU73" t="s">
        <v>2170</v>
      </c>
      <c r="BV73" t="s">
        <v>2170</v>
      </c>
      <c r="BW73" t="s">
        <v>2170</v>
      </c>
      <c r="BX73" t="s">
        <v>2170</v>
      </c>
      <c r="BY73" t="s">
        <v>368</v>
      </c>
    </row>
    <row r="74" spans="1:77" customFormat="1" x14ac:dyDescent="0.2">
      <c r="A74" s="504">
        <v>105</v>
      </c>
      <c r="B74">
        <v>1417990805</v>
      </c>
      <c r="C74" t="s">
        <v>1654</v>
      </c>
      <c r="D74" t="s">
        <v>199</v>
      </c>
      <c r="E74" t="s">
        <v>2282</v>
      </c>
      <c r="F74" t="s">
        <v>2090</v>
      </c>
      <c r="H74" t="s">
        <v>127</v>
      </c>
      <c r="I74" t="s">
        <v>336</v>
      </c>
      <c r="J74">
        <v>55057</v>
      </c>
      <c r="K74">
        <v>1498</v>
      </c>
      <c r="L74">
        <v>5076461000</v>
      </c>
      <c r="M74">
        <v>5076461392</v>
      </c>
      <c r="N74" t="s">
        <v>115</v>
      </c>
      <c r="O74" t="s">
        <v>1887</v>
      </c>
      <c r="P74" t="s">
        <v>1888</v>
      </c>
      <c r="Q74" t="s">
        <v>1889</v>
      </c>
      <c r="R74" t="s">
        <v>2030</v>
      </c>
      <c r="S74" t="s">
        <v>1668</v>
      </c>
      <c r="T74" t="s">
        <v>2726</v>
      </c>
      <c r="U74" t="s">
        <v>967</v>
      </c>
      <c r="V74">
        <v>5076461016</v>
      </c>
      <c r="W74" t="s">
        <v>2090</v>
      </c>
      <c r="X74">
        <v>5076466838</v>
      </c>
      <c r="Y74" t="s">
        <v>2727</v>
      </c>
      <c r="Z74" t="s">
        <v>2283</v>
      </c>
      <c r="AA74" t="s">
        <v>2170</v>
      </c>
      <c r="AB74" t="s">
        <v>199</v>
      </c>
      <c r="AC74" t="s">
        <v>336</v>
      </c>
      <c r="AD74">
        <v>55057</v>
      </c>
      <c r="AE74">
        <v>1611</v>
      </c>
      <c r="AF74" t="s">
        <v>127</v>
      </c>
      <c r="AG74" t="s">
        <v>201</v>
      </c>
      <c r="AH74" t="s">
        <v>351</v>
      </c>
      <c r="AI74" t="s">
        <v>2170</v>
      </c>
      <c r="AJ74">
        <v>0</v>
      </c>
      <c r="AK74" t="s">
        <v>3113</v>
      </c>
      <c r="AL74" t="s">
        <v>2170</v>
      </c>
      <c r="AM74" t="s">
        <v>2170</v>
      </c>
      <c r="AN74" t="s">
        <v>2170</v>
      </c>
      <c r="AO74" t="s">
        <v>2170</v>
      </c>
      <c r="AP74" t="s">
        <v>2170</v>
      </c>
      <c r="AQ74" t="s">
        <v>2170</v>
      </c>
      <c r="AR74" t="s">
        <v>2170</v>
      </c>
      <c r="AS74" t="s">
        <v>2170</v>
      </c>
      <c r="AT74" t="s">
        <v>2170</v>
      </c>
      <c r="AU74" t="s">
        <v>2170</v>
      </c>
      <c r="AV74" t="s">
        <v>2170</v>
      </c>
      <c r="AW74" t="s">
        <v>2170</v>
      </c>
      <c r="AX74" t="s">
        <v>2170</v>
      </c>
      <c r="AY74" t="s">
        <v>2170</v>
      </c>
      <c r="AZ74" t="s">
        <v>2170</v>
      </c>
      <c r="BA74" t="s">
        <v>2170</v>
      </c>
      <c r="BB74" t="s">
        <v>2170</v>
      </c>
      <c r="BC74" t="s">
        <v>2170</v>
      </c>
      <c r="BD74" t="s">
        <v>2170</v>
      </c>
      <c r="BE74" t="s">
        <v>2170</v>
      </c>
      <c r="BF74" t="s">
        <v>2170</v>
      </c>
      <c r="BG74" t="s">
        <v>2170</v>
      </c>
      <c r="BH74" t="s">
        <v>2170</v>
      </c>
      <c r="BI74" t="s">
        <v>2170</v>
      </c>
      <c r="BJ74" t="s">
        <v>2170</v>
      </c>
      <c r="BK74" t="s">
        <v>2170</v>
      </c>
      <c r="BL74" t="s">
        <v>2728</v>
      </c>
      <c r="BM74" t="s">
        <v>2729</v>
      </c>
      <c r="BN74" t="s">
        <v>458</v>
      </c>
      <c r="BO74">
        <v>5076461515</v>
      </c>
      <c r="BP74" t="s">
        <v>2090</v>
      </c>
      <c r="BQ74">
        <v>5076461392</v>
      </c>
      <c r="BR74" t="s">
        <v>2730</v>
      </c>
      <c r="BS74" t="s">
        <v>2283</v>
      </c>
      <c r="BT74" t="s">
        <v>2170</v>
      </c>
      <c r="BU74" t="s">
        <v>200</v>
      </c>
      <c r="BV74" t="s">
        <v>336</v>
      </c>
      <c r="BW74">
        <v>55057</v>
      </c>
      <c r="BX74" t="s">
        <v>2170</v>
      </c>
      <c r="BY74" t="s">
        <v>367</v>
      </c>
    </row>
    <row r="75" spans="1:77" customFormat="1" x14ac:dyDescent="0.2">
      <c r="A75" s="504">
        <v>106</v>
      </c>
      <c r="B75">
        <v>1043218753</v>
      </c>
      <c r="C75" t="s">
        <v>2731</v>
      </c>
      <c r="D75" t="s">
        <v>1460</v>
      </c>
      <c r="E75" t="s">
        <v>3114</v>
      </c>
      <c r="F75" t="s">
        <v>2090</v>
      </c>
      <c r="H75" t="s">
        <v>1461</v>
      </c>
      <c r="I75" t="s">
        <v>336</v>
      </c>
      <c r="J75">
        <v>56701</v>
      </c>
      <c r="K75" t="s">
        <v>2090</v>
      </c>
      <c r="L75">
        <v>2186814240</v>
      </c>
      <c r="M75">
        <v>2186834511</v>
      </c>
      <c r="N75" t="s">
        <v>904</v>
      </c>
      <c r="O75" t="s">
        <v>450</v>
      </c>
      <c r="P75" t="s">
        <v>346</v>
      </c>
      <c r="Q75" t="s">
        <v>2063</v>
      </c>
      <c r="R75" t="s">
        <v>2732</v>
      </c>
      <c r="S75" t="s">
        <v>1311</v>
      </c>
      <c r="T75" t="s">
        <v>1998</v>
      </c>
      <c r="U75" t="s">
        <v>2920</v>
      </c>
      <c r="V75">
        <v>6123764528</v>
      </c>
      <c r="W75" t="s">
        <v>2090</v>
      </c>
      <c r="X75">
        <v>6123764850</v>
      </c>
      <c r="Y75" t="s">
        <v>1999</v>
      </c>
      <c r="Z75" t="s">
        <v>2187</v>
      </c>
      <c r="AA75" t="s">
        <v>2170</v>
      </c>
      <c r="AB75" t="s">
        <v>119</v>
      </c>
      <c r="AC75" t="s">
        <v>336</v>
      </c>
      <c r="AD75">
        <v>55402</v>
      </c>
      <c r="AE75" t="s">
        <v>2170</v>
      </c>
      <c r="AF75" t="s">
        <v>120</v>
      </c>
      <c r="AG75" t="s">
        <v>1655</v>
      </c>
      <c r="AH75" t="s">
        <v>1274</v>
      </c>
      <c r="AI75" t="s">
        <v>953</v>
      </c>
      <c r="AJ75">
        <v>1</v>
      </c>
      <c r="AK75" t="s">
        <v>1656</v>
      </c>
      <c r="AL75" t="s">
        <v>2104</v>
      </c>
      <c r="AM75" t="s">
        <v>2925</v>
      </c>
      <c r="AN75" t="s">
        <v>2922</v>
      </c>
      <c r="AO75">
        <v>7012341213</v>
      </c>
      <c r="AP75" t="s">
        <v>2090</v>
      </c>
      <c r="AQ75" t="s">
        <v>2090</v>
      </c>
      <c r="AR75" t="s">
        <v>2923</v>
      </c>
      <c r="AS75" t="s">
        <v>2170</v>
      </c>
      <c r="AT75" t="s">
        <v>2170</v>
      </c>
      <c r="AU75" t="s">
        <v>2170</v>
      </c>
      <c r="AV75" t="s">
        <v>1995</v>
      </c>
      <c r="AW75" t="s">
        <v>2170</v>
      </c>
      <c r="AX75" t="s">
        <v>2170</v>
      </c>
      <c r="AY75" t="s">
        <v>2170</v>
      </c>
      <c r="AZ75" t="s">
        <v>2170</v>
      </c>
      <c r="BA75" t="s">
        <v>2170</v>
      </c>
      <c r="BB75" t="s">
        <v>2170</v>
      </c>
      <c r="BC75" t="s">
        <v>2170</v>
      </c>
      <c r="BD75" t="s">
        <v>2170</v>
      </c>
      <c r="BE75" t="s">
        <v>2170</v>
      </c>
      <c r="BF75" t="s">
        <v>2170</v>
      </c>
      <c r="BG75" t="s">
        <v>2170</v>
      </c>
      <c r="BH75" t="s">
        <v>2170</v>
      </c>
      <c r="BI75" t="s">
        <v>2170</v>
      </c>
      <c r="BJ75" t="s">
        <v>2170</v>
      </c>
      <c r="BK75" t="s">
        <v>2170</v>
      </c>
      <c r="BL75" t="s">
        <v>2104</v>
      </c>
      <c r="BM75" t="s">
        <v>2925</v>
      </c>
      <c r="BN75" t="s">
        <v>2922</v>
      </c>
      <c r="BO75">
        <v>7012341213</v>
      </c>
      <c r="BP75" t="s">
        <v>2090</v>
      </c>
      <c r="BQ75" t="s">
        <v>2090</v>
      </c>
      <c r="BR75" t="s">
        <v>2923</v>
      </c>
      <c r="BS75" t="s">
        <v>2170</v>
      </c>
      <c r="BT75" t="s">
        <v>2170</v>
      </c>
      <c r="BU75" t="s">
        <v>2170</v>
      </c>
      <c r="BV75" t="s">
        <v>1995</v>
      </c>
      <c r="BW75" t="s">
        <v>2170</v>
      </c>
      <c r="BX75" t="s">
        <v>2170</v>
      </c>
      <c r="BY75" t="s">
        <v>370</v>
      </c>
    </row>
    <row r="76" spans="1:77" customFormat="1" x14ac:dyDescent="0.2">
      <c r="A76" s="504">
        <v>107</v>
      </c>
      <c r="B76">
        <v>1538112131</v>
      </c>
      <c r="C76" t="s">
        <v>1409</v>
      </c>
      <c r="D76" t="s">
        <v>939</v>
      </c>
      <c r="E76" t="s">
        <v>2733</v>
      </c>
      <c r="F76" t="s">
        <v>2090</v>
      </c>
      <c r="H76" t="s">
        <v>940</v>
      </c>
      <c r="I76" t="s">
        <v>336</v>
      </c>
      <c r="J76">
        <v>55904</v>
      </c>
      <c r="K76">
        <v>6425</v>
      </c>
      <c r="L76">
        <v>5075296600</v>
      </c>
      <c r="M76">
        <v>5075296622</v>
      </c>
      <c r="N76" t="s">
        <v>204</v>
      </c>
      <c r="O76" t="s">
        <v>1410</v>
      </c>
      <c r="P76" t="s">
        <v>1069</v>
      </c>
      <c r="Q76" t="s">
        <v>1895</v>
      </c>
      <c r="R76" t="s">
        <v>1411</v>
      </c>
      <c r="S76" t="s">
        <v>2037</v>
      </c>
      <c r="T76" t="s">
        <v>2038</v>
      </c>
      <c r="U76" t="s">
        <v>138</v>
      </c>
      <c r="V76">
        <v>5075296598</v>
      </c>
      <c r="W76" t="s">
        <v>2090</v>
      </c>
      <c r="X76">
        <v>5072872779</v>
      </c>
      <c r="Y76" t="s">
        <v>2039</v>
      </c>
      <c r="Z76" t="s">
        <v>2288</v>
      </c>
      <c r="AA76" t="s">
        <v>2170</v>
      </c>
      <c r="AB76" t="s">
        <v>939</v>
      </c>
      <c r="AC76" t="s">
        <v>336</v>
      </c>
      <c r="AD76">
        <v>55904</v>
      </c>
      <c r="AE76" t="s">
        <v>2170</v>
      </c>
      <c r="AF76" t="s">
        <v>940</v>
      </c>
      <c r="AG76" t="s">
        <v>1412</v>
      </c>
      <c r="AH76" t="s">
        <v>351</v>
      </c>
      <c r="AI76" t="s">
        <v>2170</v>
      </c>
      <c r="AJ76">
        <v>0</v>
      </c>
      <c r="AK76" t="s">
        <v>1413</v>
      </c>
      <c r="AL76" t="s">
        <v>249</v>
      </c>
      <c r="AM76" t="s">
        <v>1162</v>
      </c>
      <c r="AN76" t="s">
        <v>1500</v>
      </c>
      <c r="AO76">
        <v>5075296581</v>
      </c>
      <c r="AP76" t="s">
        <v>2090</v>
      </c>
      <c r="AQ76">
        <v>5075296587</v>
      </c>
      <c r="AR76" t="s">
        <v>1501</v>
      </c>
      <c r="AS76" t="s">
        <v>2288</v>
      </c>
      <c r="AT76" t="s">
        <v>2170</v>
      </c>
      <c r="AU76" t="s">
        <v>941</v>
      </c>
      <c r="AV76" t="s">
        <v>336</v>
      </c>
      <c r="AW76">
        <v>55904</v>
      </c>
      <c r="AX76" t="s">
        <v>2170</v>
      </c>
      <c r="AY76" t="s">
        <v>1502</v>
      </c>
      <c r="AZ76" t="s">
        <v>414</v>
      </c>
      <c r="BA76" t="s">
        <v>1503</v>
      </c>
      <c r="BB76">
        <v>5075296615</v>
      </c>
      <c r="BC76" t="s">
        <v>2090</v>
      </c>
      <c r="BD76">
        <v>5075296587</v>
      </c>
      <c r="BE76" t="s">
        <v>1504</v>
      </c>
      <c r="BF76" t="s">
        <v>2288</v>
      </c>
      <c r="BG76" t="s">
        <v>2170</v>
      </c>
      <c r="BH76" t="s">
        <v>941</v>
      </c>
      <c r="BI76" t="s">
        <v>336</v>
      </c>
      <c r="BJ76">
        <v>55904</v>
      </c>
      <c r="BK76" t="s">
        <v>2170</v>
      </c>
      <c r="BL76" t="s">
        <v>261</v>
      </c>
      <c r="BM76" t="s">
        <v>1657</v>
      </c>
      <c r="BN76" t="s">
        <v>180</v>
      </c>
      <c r="BO76">
        <v>5075296619</v>
      </c>
      <c r="BP76" t="s">
        <v>2090</v>
      </c>
      <c r="BQ76">
        <v>5072872779</v>
      </c>
      <c r="BR76" t="s">
        <v>1658</v>
      </c>
      <c r="BS76" t="s">
        <v>2288</v>
      </c>
      <c r="BT76" t="s">
        <v>2170</v>
      </c>
      <c r="BU76" t="s">
        <v>941</v>
      </c>
      <c r="BV76" t="s">
        <v>336</v>
      </c>
      <c r="BW76">
        <v>55904</v>
      </c>
      <c r="BX76" t="s">
        <v>2170</v>
      </c>
      <c r="BY76" t="s">
        <v>370</v>
      </c>
    </row>
    <row r="77" spans="1:77" customFormat="1" x14ac:dyDescent="0.2">
      <c r="A77" s="504">
        <v>108</v>
      </c>
      <c r="B77">
        <v>1790783587</v>
      </c>
      <c r="C77" t="s">
        <v>208</v>
      </c>
      <c r="D77" t="s">
        <v>209</v>
      </c>
      <c r="E77" t="s">
        <v>3115</v>
      </c>
      <c r="F77" t="s">
        <v>2090</v>
      </c>
      <c r="H77" t="s">
        <v>439</v>
      </c>
      <c r="I77" t="s">
        <v>336</v>
      </c>
      <c r="J77">
        <v>56278</v>
      </c>
      <c r="K77" t="s">
        <v>2090</v>
      </c>
      <c r="L77">
        <v>3208392502</v>
      </c>
      <c r="M77">
        <v>3208394107</v>
      </c>
      <c r="N77" t="s">
        <v>1080</v>
      </c>
      <c r="O77" t="s">
        <v>2148</v>
      </c>
      <c r="P77" t="s">
        <v>346</v>
      </c>
      <c r="Q77" t="s">
        <v>2149</v>
      </c>
      <c r="R77" t="s">
        <v>3116</v>
      </c>
      <c r="S77" t="s">
        <v>844</v>
      </c>
      <c r="T77" t="s">
        <v>845</v>
      </c>
      <c r="U77" t="s">
        <v>341</v>
      </c>
      <c r="V77">
        <v>3208394132</v>
      </c>
      <c r="W77" t="s">
        <v>2090</v>
      </c>
      <c r="X77">
        <v>3208394105</v>
      </c>
      <c r="Y77" t="s">
        <v>2734</v>
      </c>
      <c r="Z77" t="s">
        <v>2170</v>
      </c>
      <c r="AA77" t="s">
        <v>2170</v>
      </c>
      <c r="AB77" t="s">
        <v>209</v>
      </c>
      <c r="AC77" t="s">
        <v>336</v>
      </c>
      <c r="AD77" t="s">
        <v>2170</v>
      </c>
      <c r="AE77" t="s">
        <v>2170</v>
      </c>
      <c r="AF77" t="s">
        <v>439</v>
      </c>
      <c r="AG77" t="s">
        <v>211</v>
      </c>
      <c r="AH77" t="s">
        <v>1274</v>
      </c>
      <c r="AI77" t="s">
        <v>1060</v>
      </c>
      <c r="AJ77">
        <v>1</v>
      </c>
      <c r="AK77" t="s">
        <v>2032</v>
      </c>
      <c r="AL77" t="s">
        <v>1867</v>
      </c>
      <c r="AM77" t="s">
        <v>2150</v>
      </c>
      <c r="AN77" t="s">
        <v>978</v>
      </c>
      <c r="AO77">
        <v>3208394132</v>
      </c>
      <c r="AP77" t="s">
        <v>2090</v>
      </c>
      <c r="AQ77">
        <v>3208394105</v>
      </c>
      <c r="AR77" t="s">
        <v>3117</v>
      </c>
      <c r="AS77" t="s">
        <v>2170</v>
      </c>
      <c r="AT77" t="s">
        <v>2170</v>
      </c>
      <c r="AU77" t="s">
        <v>2170</v>
      </c>
      <c r="AV77" t="s">
        <v>1995</v>
      </c>
      <c r="AW77" t="s">
        <v>2170</v>
      </c>
      <c r="AX77" t="s">
        <v>2170</v>
      </c>
      <c r="AY77" t="s">
        <v>2170</v>
      </c>
      <c r="AZ77" t="s">
        <v>2170</v>
      </c>
      <c r="BA77" t="s">
        <v>2170</v>
      </c>
      <c r="BB77" t="s">
        <v>2170</v>
      </c>
      <c r="BC77" t="s">
        <v>2170</v>
      </c>
      <c r="BD77" t="s">
        <v>2170</v>
      </c>
      <c r="BE77" t="s">
        <v>2170</v>
      </c>
      <c r="BF77" t="s">
        <v>2170</v>
      </c>
      <c r="BG77" t="s">
        <v>2170</v>
      </c>
      <c r="BH77" t="s">
        <v>2170</v>
      </c>
      <c r="BI77" t="s">
        <v>2170</v>
      </c>
      <c r="BJ77" t="s">
        <v>2170</v>
      </c>
      <c r="BK77" t="s">
        <v>2170</v>
      </c>
      <c r="BL77" t="s">
        <v>844</v>
      </c>
      <c r="BM77" t="s">
        <v>845</v>
      </c>
      <c r="BN77" t="s">
        <v>341</v>
      </c>
      <c r="BO77">
        <v>3208394132</v>
      </c>
      <c r="BP77" t="s">
        <v>2090</v>
      </c>
      <c r="BQ77">
        <v>3208394105</v>
      </c>
      <c r="BR77" t="s">
        <v>2734</v>
      </c>
      <c r="BS77" t="s">
        <v>2170</v>
      </c>
      <c r="BT77" t="s">
        <v>2170</v>
      </c>
      <c r="BU77" t="s">
        <v>209</v>
      </c>
      <c r="BV77" t="s">
        <v>336</v>
      </c>
      <c r="BW77" t="s">
        <v>2170</v>
      </c>
      <c r="BX77" t="s">
        <v>2170</v>
      </c>
      <c r="BY77" t="s">
        <v>366</v>
      </c>
    </row>
    <row r="78" spans="1:77" customFormat="1" x14ac:dyDescent="0.2">
      <c r="A78" s="504">
        <v>110</v>
      </c>
      <c r="B78">
        <v>1205269941</v>
      </c>
      <c r="C78" t="s">
        <v>3118</v>
      </c>
      <c r="D78" t="s">
        <v>247</v>
      </c>
      <c r="E78" t="s">
        <v>3119</v>
      </c>
      <c r="F78" t="s">
        <v>2090</v>
      </c>
      <c r="H78" t="s">
        <v>268</v>
      </c>
      <c r="I78" t="s">
        <v>336</v>
      </c>
      <c r="J78">
        <v>56362</v>
      </c>
      <c r="K78">
        <v>1445</v>
      </c>
      <c r="L78">
        <v>3202433767</v>
      </c>
      <c r="M78">
        <v>3202436707</v>
      </c>
      <c r="N78" t="s">
        <v>2735</v>
      </c>
      <c r="O78" t="s">
        <v>2736</v>
      </c>
      <c r="P78" t="s">
        <v>270</v>
      </c>
      <c r="Q78" t="s">
        <v>2737</v>
      </c>
      <c r="R78" t="s">
        <v>3056</v>
      </c>
      <c r="S78" t="s">
        <v>261</v>
      </c>
      <c r="T78" t="s">
        <v>2691</v>
      </c>
      <c r="U78" t="s">
        <v>2692</v>
      </c>
      <c r="V78">
        <v>3202512700</v>
      </c>
      <c r="W78">
        <v>54697</v>
      </c>
      <c r="X78" t="s">
        <v>2090</v>
      </c>
      <c r="Y78" t="s">
        <v>2693</v>
      </c>
      <c r="Z78" t="s">
        <v>2252</v>
      </c>
      <c r="AA78" t="s">
        <v>2170</v>
      </c>
      <c r="AB78" t="s">
        <v>649</v>
      </c>
      <c r="AC78" t="s">
        <v>336</v>
      </c>
      <c r="AD78">
        <v>56303</v>
      </c>
      <c r="AE78">
        <v>1901</v>
      </c>
      <c r="AF78" t="s">
        <v>3120</v>
      </c>
      <c r="AG78" t="s">
        <v>482</v>
      </c>
      <c r="AH78" t="s">
        <v>1308</v>
      </c>
      <c r="AI78" t="s">
        <v>342</v>
      </c>
      <c r="AJ78">
        <v>1</v>
      </c>
      <c r="AK78" t="s">
        <v>1659</v>
      </c>
      <c r="AL78" t="s">
        <v>2170</v>
      </c>
      <c r="AM78" t="s">
        <v>2170</v>
      </c>
      <c r="AN78" t="s">
        <v>2170</v>
      </c>
      <c r="AO78" t="s">
        <v>2170</v>
      </c>
      <c r="AP78" t="s">
        <v>2170</v>
      </c>
      <c r="AQ78" t="s">
        <v>2170</v>
      </c>
      <c r="AR78" t="s">
        <v>2170</v>
      </c>
      <c r="AS78" t="s">
        <v>2170</v>
      </c>
      <c r="AT78" t="s">
        <v>2170</v>
      </c>
      <c r="AU78" t="s">
        <v>2170</v>
      </c>
      <c r="AV78" t="s">
        <v>2170</v>
      </c>
      <c r="AW78" t="s">
        <v>2170</v>
      </c>
      <c r="AX78" t="s">
        <v>2170</v>
      </c>
      <c r="AY78" t="s">
        <v>2170</v>
      </c>
      <c r="AZ78" t="s">
        <v>2170</v>
      </c>
      <c r="BA78" t="s">
        <v>2170</v>
      </c>
      <c r="BB78" t="s">
        <v>2170</v>
      </c>
      <c r="BC78" t="s">
        <v>2170</v>
      </c>
      <c r="BD78" t="s">
        <v>2170</v>
      </c>
      <c r="BE78" t="s">
        <v>2170</v>
      </c>
      <c r="BF78" t="s">
        <v>2170</v>
      </c>
      <c r="BG78" t="s">
        <v>2170</v>
      </c>
      <c r="BH78" t="s">
        <v>2170</v>
      </c>
      <c r="BI78" t="s">
        <v>2170</v>
      </c>
      <c r="BJ78" t="s">
        <v>2170</v>
      </c>
      <c r="BK78" t="s">
        <v>2170</v>
      </c>
      <c r="BL78" t="s">
        <v>1166</v>
      </c>
      <c r="BM78" t="s">
        <v>1660</v>
      </c>
      <c r="BN78" t="s">
        <v>425</v>
      </c>
      <c r="BO78">
        <v>3202437769</v>
      </c>
      <c r="BP78">
        <v>42129</v>
      </c>
      <c r="BQ78">
        <v>3202431541</v>
      </c>
      <c r="BR78" t="s">
        <v>1892</v>
      </c>
      <c r="BS78" t="s">
        <v>2284</v>
      </c>
      <c r="BT78" t="s">
        <v>2170</v>
      </c>
      <c r="BU78" t="s">
        <v>2151</v>
      </c>
      <c r="BV78" t="s">
        <v>336</v>
      </c>
      <c r="BW78">
        <v>56362</v>
      </c>
      <c r="BX78">
        <v>1445</v>
      </c>
      <c r="BY78" t="s">
        <v>370</v>
      </c>
    </row>
    <row r="79" spans="1:77" customFormat="1" x14ac:dyDescent="0.2">
      <c r="A79" s="504">
        <v>112</v>
      </c>
      <c r="B79">
        <v>1790799518</v>
      </c>
      <c r="C79" t="s">
        <v>1661</v>
      </c>
      <c r="D79" t="s">
        <v>248</v>
      </c>
      <c r="E79" t="s">
        <v>3121</v>
      </c>
      <c r="F79" t="s">
        <v>2090</v>
      </c>
      <c r="H79" t="s">
        <v>1278</v>
      </c>
      <c r="I79" t="s">
        <v>336</v>
      </c>
      <c r="J79">
        <v>56573</v>
      </c>
      <c r="K79" t="s">
        <v>2090</v>
      </c>
      <c r="L79">
        <v>2183464500</v>
      </c>
      <c r="M79">
        <v>2183464540</v>
      </c>
      <c r="N79" t="s">
        <v>249</v>
      </c>
      <c r="O79" t="s">
        <v>250</v>
      </c>
      <c r="P79" t="s">
        <v>270</v>
      </c>
      <c r="Q79" t="s">
        <v>1893</v>
      </c>
      <c r="R79" t="s">
        <v>2738</v>
      </c>
      <c r="S79" t="s">
        <v>3122</v>
      </c>
      <c r="T79" t="s">
        <v>3123</v>
      </c>
      <c r="U79" t="s">
        <v>3124</v>
      </c>
      <c r="V79">
        <v>7012398641</v>
      </c>
      <c r="W79" t="s">
        <v>2090</v>
      </c>
      <c r="X79" t="s">
        <v>2090</v>
      </c>
      <c r="Y79" t="s">
        <v>3125</v>
      </c>
      <c r="Z79" t="s">
        <v>3126</v>
      </c>
      <c r="AA79" t="s">
        <v>2170</v>
      </c>
      <c r="AB79" t="s">
        <v>1420</v>
      </c>
      <c r="AC79" t="s">
        <v>440</v>
      </c>
      <c r="AD79">
        <v>58103</v>
      </c>
      <c r="AE79" t="s">
        <v>2170</v>
      </c>
      <c r="AF79" t="s">
        <v>3127</v>
      </c>
      <c r="AG79" t="s">
        <v>1662</v>
      </c>
      <c r="AH79" t="s">
        <v>1274</v>
      </c>
      <c r="AI79" t="s">
        <v>1060</v>
      </c>
      <c r="AJ79">
        <v>1</v>
      </c>
      <c r="AK79" t="s">
        <v>1894</v>
      </c>
      <c r="AL79" t="s">
        <v>2152</v>
      </c>
      <c r="AM79" t="s">
        <v>1047</v>
      </c>
      <c r="AN79" t="s">
        <v>341</v>
      </c>
      <c r="AO79">
        <v>2183471306</v>
      </c>
      <c r="AP79" t="s">
        <v>2090</v>
      </c>
      <c r="AQ79" t="s">
        <v>2090</v>
      </c>
      <c r="AR79" t="s">
        <v>2285</v>
      </c>
      <c r="AS79" t="s">
        <v>2170</v>
      </c>
      <c r="AT79" t="s">
        <v>2170</v>
      </c>
      <c r="AU79" t="s">
        <v>2170</v>
      </c>
      <c r="AV79" t="s">
        <v>1995</v>
      </c>
      <c r="AW79" t="s">
        <v>2170</v>
      </c>
      <c r="AX79" t="s">
        <v>2170</v>
      </c>
      <c r="AY79" t="s">
        <v>2170</v>
      </c>
      <c r="AZ79" t="s">
        <v>2170</v>
      </c>
      <c r="BA79" t="s">
        <v>2170</v>
      </c>
      <c r="BB79" t="s">
        <v>2170</v>
      </c>
      <c r="BC79" t="s">
        <v>2170</v>
      </c>
      <c r="BD79" t="s">
        <v>2170</v>
      </c>
      <c r="BE79" t="s">
        <v>2170</v>
      </c>
      <c r="BF79" t="s">
        <v>2170</v>
      </c>
      <c r="BG79" t="s">
        <v>2170</v>
      </c>
      <c r="BH79" t="s">
        <v>2170</v>
      </c>
      <c r="BI79" t="s">
        <v>2170</v>
      </c>
      <c r="BJ79" t="s">
        <v>2170</v>
      </c>
      <c r="BK79" t="s">
        <v>2170</v>
      </c>
      <c r="BL79" t="s">
        <v>2152</v>
      </c>
      <c r="BM79" t="s">
        <v>1047</v>
      </c>
      <c r="BN79" t="s">
        <v>341</v>
      </c>
      <c r="BO79">
        <v>2183471306</v>
      </c>
      <c r="BP79" t="s">
        <v>2090</v>
      </c>
      <c r="BQ79" t="s">
        <v>2090</v>
      </c>
      <c r="BR79" t="s">
        <v>2285</v>
      </c>
      <c r="BS79" t="s">
        <v>2170</v>
      </c>
      <c r="BT79" t="s">
        <v>2170</v>
      </c>
      <c r="BU79" t="s">
        <v>2170</v>
      </c>
      <c r="BV79" t="s">
        <v>1995</v>
      </c>
      <c r="BW79" t="s">
        <v>2170</v>
      </c>
      <c r="BX79" t="s">
        <v>2170</v>
      </c>
      <c r="BY79" t="s">
        <v>368</v>
      </c>
    </row>
    <row r="80" spans="1:77" customFormat="1" x14ac:dyDescent="0.2">
      <c r="A80" s="504">
        <v>113</v>
      </c>
      <c r="B80">
        <v>1598751240</v>
      </c>
      <c r="C80" t="s">
        <v>253</v>
      </c>
      <c r="D80" t="s">
        <v>254</v>
      </c>
      <c r="E80" t="s">
        <v>3128</v>
      </c>
      <c r="F80" t="s">
        <v>2090</v>
      </c>
      <c r="H80" t="s">
        <v>254</v>
      </c>
      <c r="I80" t="s">
        <v>336</v>
      </c>
      <c r="J80">
        <v>56164</v>
      </c>
      <c r="K80" t="s">
        <v>2090</v>
      </c>
      <c r="L80">
        <v>5078255811</v>
      </c>
      <c r="M80">
        <v>5078255733</v>
      </c>
      <c r="N80" t="s">
        <v>251</v>
      </c>
      <c r="O80" t="s">
        <v>255</v>
      </c>
      <c r="P80" t="s">
        <v>338</v>
      </c>
      <c r="Q80" t="s">
        <v>256</v>
      </c>
      <c r="R80" t="s">
        <v>3129</v>
      </c>
      <c r="S80" t="s">
        <v>339</v>
      </c>
      <c r="T80" t="s">
        <v>340</v>
      </c>
      <c r="U80" t="s">
        <v>967</v>
      </c>
      <c r="V80">
        <v>2187903903</v>
      </c>
      <c r="W80" t="s">
        <v>2090</v>
      </c>
      <c r="X80" t="s">
        <v>2090</v>
      </c>
      <c r="Y80" t="s">
        <v>2035</v>
      </c>
      <c r="Z80" t="s">
        <v>2036</v>
      </c>
      <c r="AA80" t="s">
        <v>2170</v>
      </c>
      <c r="AB80" t="s">
        <v>1663</v>
      </c>
      <c r="AC80" t="s">
        <v>336</v>
      </c>
      <c r="AD80">
        <v>56164</v>
      </c>
      <c r="AE80" t="s">
        <v>2170</v>
      </c>
      <c r="AF80" t="s">
        <v>1663</v>
      </c>
      <c r="AG80" t="s">
        <v>257</v>
      </c>
      <c r="AH80" t="s">
        <v>1360</v>
      </c>
      <c r="AI80" t="s">
        <v>1060</v>
      </c>
      <c r="AJ80">
        <v>1</v>
      </c>
      <c r="AK80" t="s">
        <v>3130</v>
      </c>
      <c r="AL80" t="s">
        <v>2170</v>
      </c>
      <c r="AM80" t="s">
        <v>2170</v>
      </c>
      <c r="AN80" t="s">
        <v>2170</v>
      </c>
      <c r="AO80" t="s">
        <v>2170</v>
      </c>
      <c r="AP80" t="s">
        <v>2170</v>
      </c>
      <c r="AQ80" t="s">
        <v>2170</v>
      </c>
      <c r="AR80" t="s">
        <v>2170</v>
      </c>
      <c r="AS80" t="s">
        <v>2170</v>
      </c>
      <c r="AT80" t="s">
        <v>2170</v>
      </c>
      <c r="AU80" t="s">
        <v>2170</v>
      </c>
      <c r="AV80" t="s">
        <v>2170</v>
      </c>
      <c r="AW80" t="s">
        <v>2170</v>
      </c>
      <c r="AX80" t="s">
        <v>2170</v>
      </c>
      <c r="AY80" t="s">
        <v>2170</v>
      </c>
      <c r="AZ80" t="s">
        <v>2170</v>
      </c>
      <c r="BA80" t="s">
        <v>2170</v>
      </c>
      <c r="BB80" t="s">
        <v>2170</v>
      </c>
      <c r="BC80" t="s">
        <v>2170</v>
      </c>
      <c r="BD80" t="s">
        <v>2170</v>
      </c>
      <c r="BE80" t="s">
        <v>2170</v>
      </c>
      <c r="BF80" t="s">
        <v>2170</v>
      </c>
      <c r="BG80" t="s">
        <v>2170</v>
      </c>
      <c r="BH80" t="s">
        <v>2170</v>
      </c>
      <c r="BI80" t="s">
        <v>2170</v>
      </c>
      <c r="BJ80" t="s">
        <v>2170</v>
      </c>
      <c r="BK80" t="s">
        <v>2170</v>
      </c>
      <c r="BL80" t="s">
        <v>3131</v>
      </c>
      <c r="BM80" t="s">
        <v>3132</v>
      </c>
      <c r="BN80" t="s">
        <v>341</v>
      </c>
      <c r="BO80">
        <v>5078256079</v>
      </c>
      <c r="BP80" t="s">
        <v>2090</v>
      </c>
      <c r="BQ80">
        <v>5078255733</v>
      </c>
      <c r="BR80" t="s">
        <v>3133</v>
      </c>
      <c r="BS80" t="s">
        <v>2286</v>
      </c>
      <c r="BT80" t="s">
        <v>2170</v>
      </c>
      <c r="BU80" t="s">
        <v>1663</v>
      </c>
      <c r="BV80" t="s">
        <v>336</v>
      </c>
      <c r="BW80" t="s">
        <v>2170</v>
      </c>
      <c r="BX80" t="s">
        <v>2170</v>
      </c>
      <c r="BY80" t="s">
        <v>365</v>
      </c>
    </row>
    <row r="81" spans="1:77" customFormat="1" x14ac:dyDescent="0.2">
      <c r="A81" s="504">
        <v>114</v>
      </c>
      <c r="B81">
        <v>1124035282</v>
      </c>
      <c r="C81" t="s">
        <v>2739</v>
      </c>
      <c r="D81" t="s">
        <v>193</v>
      </c>
      <c r="E81" t="s">
        <v>2740</v>
      </c>
      <c r="F81" t="s">
        <v>2090</v>
      </c>
      <c r="H81" t="s">
        <v>194</v>
      </c>
      <c r="I81" t="s">
        <v>336</v>
      </c>
      <c r="J81">
        <v>56071</v>
      </c>
      <c r="K81">
        <v>1709</v>
      </c>
      <c r="L81">
        <v>9527584431</v>
      </c>
      <c r="M81">
        <v>9527585009</v>
      </c>
      <c r="N81" t="s">
        <v>3134</v>
      </c>
      <c r="O81" t="s">
        <v>1057</v>
      </c>
      <c r="P81" t="s">
        <v>1617</v>
      </c>
      <c r="Q81" t="s">
        <v>3135</v>
      </c>
      <c r="R81" t="s">
        <v>2902</v>
      </c>
      <c r="S81" t="s">
        <v>1631</v>
      </c>
      <c r="T81" t="s">
        <v>1632</v>
      </c>
      <c r="U81" t="s">
        <v>2172</v>
      </c>
      <c r="V81">
        <v>5075947197</v>
      </c>
      <c r="W81" t="s">
        <v>2090</v>
      </c>
      <c r="X81">
        <v>5075944874</v>
      </c>
      <c r="Y81" t="s">
        <v>1633</v>
      </c>
      <c r="Z81" t="s">
        <v>2903</v>
      </c>
      <c r="AA81" t="s">
        <v>357</v>
      </c>
      <c r="AB81" t="s">
        <v>193</v>
      </c>
      <c r="AC81" t="s">
        <v>336</v>
      </c>
      <c r="AD81">
        <v>56001</v>
      </c>
      <c r="AE81" t="s">
        <v>2170</v>
      </c>
      <c r="AF81" t="s">
        <v>194</v>
      </c>
      <c r="AG81" t="s">
        <v>1664</v>
      </c>
      <c r="AH81" t="s">
        <v>958</v>
      </c>
      <c r="AI81" t="s">
        <v>953</v>
      </c>
      <c r="AJ81">
        <v>1</v>
      </c>
      <c r="AK81" t="s">
        <v>2969</v>
      </c>
      <c r="AL81" t="s">
        <v>117</v>
      </c>
      <c r="AM81" t="s">
        <v>2905</v>
      </c>
      <c r="AN81" t="s">
        <v>2906</v>
      </c>
      <c r="AO81">
        <v>5074341069</v>
      </c>
      <c r="AP81" t="s">
        <v>2090</v>
      </c>
      <c r="AQ81">
        <v>5074341432</v>
      </c>
      <c r="AR81" t="s">
        <v>2907</v>
      </c>
      <c r="AS81" t="s">
        <v>2472</v>
      </c>
      <c r="AT81" t="s">
        <v>2170</v>
      </c>
      <c r="AU81" t="s">
        <v>2469</v>
      </c>
      <c r="AV81" t="s">
        <v>336</v>
      </c>
      <c r="AW81">
        <v>55912</v>
      </c>
      <c r="AX81" t="s">
        <v>2170</v>
      </c>
      <c r="AY81" t="s">
        <v>2170</v>
      </c>
      <c r="AZ81" t="s">
        <v>2170</v>
      </c>
      <c r="BA81" t="s">
        <v>2170</v>
      </c>
      <c r="BB81" t="s">
        <v>2170</v>
      </c>
      <c r="BC81" t="s">
        <v>2170</v>
      </c>
      <c r="BD81" t="s">
        <v>2170</v>
      </c>
      <c r="BE81" t="s">
        <v>2170</v>
      </c>
      <c r="BF81" t="s">
        <v>2170</v>
      </c>
      <c r="BG81" t="s">
        <v>2170</v>
      </c>
      <c r="BH81" t="s">
        <v>2170</v>
      </c>
      <c r="BI81" t="s">
        <v>2170</v>
      </c>
      <c r="BJ81" t="s">
        <v>2170</v>
      </c>
      <c r="BK81" t="s">
        <v>2170</v>
      </c>
      <c r="BL81" t="s">
        <v>117</v>
      </c>
      <c r="BM81" t="s">
        <v>2905</v>
      </c>
      <c r="BN81" t="s">
        <v>3024</v>
      </c>
      <c r="BO81">
        <v>5074341069</v>
      </c>
      <c r="BP81" t="s">
        <v>2090</v>
      </c>
      <c r="BQ81">
        <v>5074341432</v>
      </c>
      <c r="BR81" t="s">
        <v>2907</v>
      </c>
      <c r="BS81" t="s">
        <v>2472</v>
      </c>
      <c r="BT81" t="s">
        <v>2170</v>
      </c>
      <c r="BU81" t="s">
        <v>2469</v>
      </c>
      <c r="BV81" t="s">
        <v>336</v>
      </c>
      <c r="BW81">
        <v>55912</v>
      </c>
      <c r="BX81" t="s">
        <v>2170</v>
      </c>
      <c r="BY81" t="s">
        <v>370</v>
      </c>
    </row>
    <row r="82" spans="1:77" customFormat="1" x14ac:dyDescent="0.2">
      <c r="A82" s="504">
        <v>115</v>
      </c>
      <c r="B82">
        <v>1841627387</v>
      </c>
      <c r="C82" t="s">
        <v>1991</v>
      </c>
      <c r="D82" t="s">
        <v>451</v>
      </c>
      <c r="E82" t="s">
        <v>2088</v>
      </c>
      <c r="F82" t="s">
        <v>2090</v>
      </c>
      <c r="H82" t="s">
        <v>127</v>
      </c>
      <c r="I82" t="s">
        <v>336</v>
      </c>
      <c r="J82">
        <v>55033</v>
      </c>
      <c r="K82">
        <v>1056</v>
      </c>
      <c r="L82">
        <v>6514041000</v>
      </c>
      <c r="M82">
        <v>6514041240</v>
      </c>
      <c r="N82" t="s">
        <v>2741</v>
      </c>
      <c r="O82" t="s">
        <v>2742</v>
      </c>
      <c r="P82" t="s">
        <v>116</v>
      </c>
      <c r="Q82" t="s">
        <v>2743</v>
      </c>
      <c r="R82" t="s">
        <v>3136</v>
      </c>
      <c r="S82" t="s">
        <v>1056</v>
      </c>
      <c r="T82" t="s">
        <v>1595</v>
      </c>
      <c r="U82" t="s">
        <v>1157</v>
      </c>
      <c r="V82">
        <v>6122624727</v>
      </c>
      <c r="W82" t="s">
        <v>2090</v>
      </c>
      <c r="X82">
        <v>6122624737</v>
      </c>
      <c r="Y82" t="s">
        <v>1878</v>
      </c>
      <c r="Z82" t="s">
        <v>2209</v>
      </c>
      <c r="AA82" t="s">
        <v>2170</v>
      </c>
      <c r="AB82" t="s">
        <v>119</v>
      </c>
      <c r="AC82" t="s">
        <v>336</v>
      </c>
      <c r="AD82">
        <v>55440</v>
      </c>
      <c r="AE82" t="s">
        <v>2170</v>
      </c>
      <c r="AF82" t="s">
        <v>120</v>
      </c>
      <c r="AG82" t="s">
        <v>2023</v>
      </c>
      <c r="AH82" t="s">
        <v>1961</v>
      </c>
      <c r="AI82" t="s">
        <v>953</v>
      </c>
      <c r="AJ82">
        <v>0</v>
      </c>
      <c r="AK82" t="s">
        <v>2744</v>
      </c>
      <c r="AL82" t="s">
        <v>1668</v>
      </c>
      <c r="AM82" t="s">
        <v>2153</v>
      </c>
      <c r="AN82" t="s">
        <v>1277</v>
      </c>
      <c r="AO82">
        <v>6122624720</v>
      </c>
      <c r="AP82" t="s">
        <v>2090</v>
      </c>
      <c r="AQ82">
        <v>6122624737</v>
      </c>
      <c r="AR82" t="s">
        <v>2202</v>
      </c>
      <c r="AS82" t="s">
        <v>2112</v>
      </c>
      <c r="AT82" t="s">
        <v>2170</v>
      </c>
      <c r="AU82" t="s">
        <v>119</v>
      </c>
      <c r="AV82" t="s">
        <v>336</v>
      </c>
      <c r="AW82">
        <v>55440</v>
      </c>
      <c r="AX82">
        <v>43</v>
      </c>
      <c r="AY82" t="s">
        <v>121</v>
      </c>
      <c r="AZ82" t="s">
        <v>122</v>
      </c>
      <c r="BA82" t="s">
        <v>1684</v>
      </c>
      <c r="BB82">
        <v>6122624719</v>
      </c>
      <c r="BC82" t="s">
        <v>2090</v>
      </c>
      <c r="BD82">
        <v>6122624737</v>
      </c>
      <c r="BE82" t="s">
        <v>123</v>
      </c>
      <c r="BF82" t="s">
        <v>2209</v>
      </c>
      <c r="BG82" t="s">
        <v>124</v>
      </c>
      <c r="BH82" t="s">
        <v>119</v>
      </c>
      <c r="BI82" t="s">
        <v>336</v>
      </c>
      <c r="BJ82">
        <v>55440</v>
      </c>
      <c r="BK82" t="s">
        <v>2170</v>
      </c>
      <c r="BL82" t="s">
        <v>1056</v>
      </c>
      <c r="BM82" t="s">
        <v>1595</v>
      </c>
      <c r="BN82" t="s">
        <v>1157</v>
      </c>
      <c r="BO82">
        <v>6122624727</v>
      </c>
      <c r="BP82" t="s">
        <v>2090</v>
      </c>
      <c r="BQ82">
        <v>6122624737</v>
      </c>
      <c r="BR82" t="s">
        <v>1878</v>
      </c>
      <c r="BS82" t="s">
        <v>2209</v>
      </c>
      <c r="BT82" t="s">
        <v>2170</v>
      </c>
      <c r="BU82" t="s">
        <v>119</v>
      </c>
      <c r="BV82" t="s">
        <v>336</v>
      </c>
      <c r="BW82">
        <v>55440</v>
      </c>
      <c r="BX82" t="s">
        <v>2170</v>
      </c>
      <c r="BY82" t="s">
        <v>370</v>
      </c>
    </row>
    <row r="83" spans="1:77" customFormat="1" x14ac:dyDescent="0.2">
      <c r="A83" s="504">
        <v>116</v>
      </c>
      <c r="B83">
        <v>1629091871</v>
      </c>
      <c r="C83" t="s">
        <v>3137</v>
      </c>
      <c r="D83" t="s">
        <v>202</v>
      </c>
      <c r="E83" t="s">
        <v>2089</v>
      </c>
      <c r="F83" t="s">
        <v>2090</v>
      </c>
      <c r="H83" t="s">
        <v>203</v>
      </c>
      <c r="I83" t="s">
        <v>336</v>
      </c>
      <c r="J83">
        <v>56277</v>
      </c>
      <c r="K83">
        <v>4213</v>
      </c>
      <c r="L83">
        <v>3205231261</v>
      </c>
      <c r="M83">
        <v>3205233458</v>
      </c>
      <c r="N83" t="s">
        <v>1890</v>
      </c>
      <c r="O83" t="s">
        <v>1891</v>
      </c>
      <c r="P83" t="s">
        <v>116</v>
      </c>
      <c r="Q83" t="s">
        <v>3138</v>
      </c>
      <c r="R83" t="s">
        <v>2147</v>
      </c>
      <c r="S83" t="s">
        <v>1354</v>
      </c>
      <c r="T83" t="s">
        <v>1047</v>
      </c>
      <c r="U83" t="s">
        <v>180</v>
      </c>
      <c r="V83">
        <v>3205233477</v>
      </c>
      <c r="W83" t="s">
        <v>2090</v>
      </c>
      <c r="X83">
        <v>3205233458</v>
      </c>
      <c r="Y83" t="s">
        <v>3139</v>
      </c>
      <c r="Z83" t="s">
        <v>2170</v>
      </c>
      <c r="AA83" t="s">
        <v>2170</v>
      </c>
      <c r="AB83" t="s">
        <v>202</v>
      </c>
      <c r="AC83" t="s">
        <v>336</v>
      </c>
      <c r="AD83" t="s">
        <v>2170</v>
      </c>
      <c r="AE83" t="s">
        <v>2170</v>
      </c>
      <c r="AF83" t="s">
        <v>203</v>
      </c>
      <c r="AG83" t="s">
        <v>3140</v>
      </c>
      <c r="AH83" t="s">
        <v>702</v>
      </c>
      <c r="AI83" t="s">
        <v>953</v>
      </c>
      <c r="AJ83">
        <v>1</v>
      </c>
      <c r="AK83" t="s">
        <v>1665</v>
      </c>
      <c r="AL83" t="s">
        <v>2170</v>
      </c>
      <c r="AM83" t="s">
        <v>2170</v>
      </c>
      <c r="AN83" t="s">
        <v>2170</v>
      </c>
      <c r="AO83" t="s">
        <v>2170</v>
      </c>
      <c r="AP83" t="s">
        <v>2170</v>
      </c>
      <c r="AQ83" t="s">
        <v>2170</v>
      </c>
      <c r="AR83" t="s">
        <v>2170</v>
      </c>
      <c r="AS83" t="s">
        <v>2170</v>
      </c>
      <c r="AT83" t="s">
        <v>2170</v>
      </c>
      <c r="AU83" t="s">
        <v>2170</v>
      </c>
      <c r="AV83" t="s">
        <v>2170</v>
      </c>
      <c r="AW83" t="s">
        <v>2170</v>
      </c>
      <c r="AX83" t="s">
        <v>2170</v>
      </c>
      <c r="AY83" t="s">
        <v>2170</v>
      </c>
      <c r="AZ83" t="s">
        <v>2170</v>
      </c>
      <c r="BA83" t="s">
        <v>2170</v>
      </c>
      <c r="BB83" t="s">
        <v>2170</v>
      </c>
      <c r="BC83" t="s">
        <v>2170</v>
      </c>
      <c r="BD83" t="s">
        <v>2170</v>
      </c>
      <c r="BE83" t="s">
        <v>2170</v>
      </c>
      <c r="BF83" t="s">
        <v>2170</v>
      </c>
      <c r="BG83" t="s">
        <v>2170</v>
      </c>
      <c r="BH83" t="s">
        <v>2170</v>
      </c>
      <c r="BI83" t="s">
        <v>2170</v>
      </c>
      <c r="BJ83" t="s">
        <v>2170</v>
      </c>
      <c r="BK83" t="s">
        <v>2170</v>
      </c>
      <c r="BL83" t="s">
        <v>1890</v>
      </c>
      <c r="BM83" t="s">
        <v>1891</v>
      </c>
      <c r="BN83" t="s">
        <v>116</v>
      </c>
      <c r="BO83">
        <v>3205233575</v>
      </c>
      <c r="BP83" t="s">
        <v>2090</v>
      </c>
      <c r="BQ83" t="s">
        <v>2090</v>
      </c>
      <c r="BR83" t="s">
        <v>3138</v>
      </c>
      <c r="BS83" t="s">
        <v>2170</v>
      </c>
      <c r="BT83" t="s">
        <v>2170</v>
      </c>
      <c r="BU83" t="s">
        <v>2170</v>
      </c>
      <c r="BV83" t="s">
        <v>336</v>
      </c>
      <c r="BW83" t="s">
        <v>2170</v>
      </c>
      <c r="BX83" t="s">
        <v>2170</v>
      </c>
      <c r="BY83" t="s">
        <v>374</v>
      </c>
    </row>
    <row r="84" spans="1:77" customFormat="1" x14ac:dyDescent="0.2">
      <c r="A84" s="504">
        <v>117</v>
      </c>
      <c r="B84">
        <v>1154741577</v>
      </c>
      <c r="C84" t="s">
        <v>561</v>
      </c>
      <c r="D84" t="s">
        <v>1068</v>
      </c>
      <c r="E84" t="s">
        <v>3141</v>
      </c>
      <c r="F84" t="s">
        <v>2090</v>
      </c>
      <c r="H84" t="s">
        <v>562</v>
      </c>
      <c r="I84" t="s">
        <v>336</v>
      </c>
      <c r="J84">
        <v>55021</v>
      </c>
      <c r="K84">
        <v>6398</v>
      </c>
      <c r="L84">
        <v>5073346451</v>
      </c>
      <c r="M84">
        <v>5073324851</v>
      </c>
      <c r="N84" t="s">
        <v>470</v>
      </c>
      <c r="O84" t="s">
        <v>3007</v>
      </c>
      <c r="P84" t="s">
        <v>116</v>
      </c>
      <c r="Q84" t="s">
        <v>3142</v>
      </c>
      <c r="R84" t="s">
        <v>2033</v>
      </c>
      <c r="S84" t="s">
        <v>1056</v>
      </c>
      <c r="T84" t="s">
        <v>1595</v>
      </c>
      <c r="U84" t="s">
        <v>1157</v>
      </c>
      <c r="V84">
        <v>6122624727</v>
      </c>
      <c r="W84" t="s">
        <v>2090</v>
      </c>
      <c r="X84">
        <v>6122624737</v>
      </c>
      <c r="Y84" t="s">
        <v>1878</v>
      </c>
      <c r="Z84" t="s">
        <v>2209</v>
      </c>
      <c r="AA84" t="s">
        <v>2170</v>
      </c>
      <c r="AB84" t="s">
        <v>119</v>
      </c>
      <c r="AC84" t="s">
        <v>336</v>
      </c>
      <c r="AD84">
        <v>55440</v>
      </c>
      <c r="AE84" t="s">
        <v>2170</v>
      </c>
      <c r="AF84" t="s">
        <v>120</v>
      </c>
      <c r="AG84" t="s">
        <v>2224</v>
      </c>
      <c r="AH84" t="s">
        <v>1961</v>
      </c>
      <c r="AI84" t="s">
        <v>953</v>
      </c>
      <c r="AJ84">
        <v>0</v>
      </c>
      <c r="AK84" t="s">
        <v>2745</v>
      </c>
      <c r="AL84" t="s">
        <v>1668</v>
      </c>
      <c r="AM84" t="s">
        <v>2153</v>
      </c>
      <c r="AN84" t="s">
        <v>1277</v>
      </c>
      <c r="AO84">
        <v>6122624720</v>
      </c>
      <c r="AP84" t="s">
        <v>2090</v>
      </c>
      <c r="AQ84">
        <v>6122624737</v>
      </c>
      <c r="AR84" t="s">
        <v>2202</v>
      </c>
      <c r="AS84" t="s">
        <v>2112</v>
      </c>
      <c r="AT84" t="s">
        <v>2170</v>
      </c>
      <c r="AU84" t="s">
        <v>119</v>
      </c>
      <c r="AV84" t="s">
        <v>336</v>
      </c>
      <c r="AW84">
        <v>55440</v>
      </c>
      <c r="AX84">
        <v>43</v>
      </c>
      <c r="AY84" t="s">
        <v>121</v>
      </c>
      <c r="AZ84" t="s">
        <v>122</v>
      </c>
      <c r="BA84" t="s">
        <v>1684</v>
      </c>
      <c r="BB84">
        <v>6122624719</v>
      </c>
      <c r="BC84" t="s">
        <v>2090</v>
      </c>
      <c r="BD84">
        <v>6122624737</v>
      </c>
      <c r="BE84" t="s">
        <v>123</v>
      </c>
      <c r="BF84" t="s">
        <v>2209</v>
      </c>
      <c r="BG84" t="s">
        <v>124</v>
      </c>
      <c r="BH84" t="s">
        <v>119</v>
      </c>
      <c r="BI84" t="s">
        <v>336</v>
      </c>
      <c r="BJ84">
        <v>55440</v>
      </c>
      <c r="BK84" t="s">
        <v>2170</v>
      </c>
      <c r="BL84" t="s">
        <v>1056</v>
      </c>
      <c r="BM84" t="s">
        <v>1595</v>
      </c>
      <c r="BN84" t="s">
        <v>1157</v>
      </c>
      <c r="BO84">
        <v>6122624727</v>
      </c>
      <c r="BP84" t="s">
        <v>2090</v>
      </c>
      <c r="BQ84">
        <v>6122624737</v>
      </c>
      <c r="BR84" t="s">
        <v>1878</v>
      </c>
      <c r="BS84" t="s">
        <v>2209</v>
      </c>
      <c r="BT84" t="s">
        <v>2170</v>
      </c>
      <c r="BU84" t="s">
        <v>119</v>
      </c>
      <c r="BV84" t="s">
        <v>336</v>
      </c>
      <c r="BW84">
        <v>55440</v>
      </c>
      <c r="BX84" t="s">
        <v>2170</v>
      </c>
      <c r="BY84" t="s">
        <v>370</v>
      </c>
    </row>
    <row r="85" spans="1:77" customFormat="1" x14ac:dyDescent="0.2">
      <c r="A85" s="504">
        <v>118</v>
      </c>
      <c r="B85">
        <v>1619064193</v>
      </c>
      <c r="C85" t="s">
        <v>2746</v>
      </c>
      <c r="D85" t="s">
        <v>846</v>
      </c>
      <c r="E85" t="s">
        <v>2324</v>
      </c>
      <c r="F85" t="s">
        <v>2090</v>
      </c>
      <c r="H85" t="s">
        <v>847</v>
      </c>
      <c r="I85" t="s">
        <v>336</v>
      </c>
      <c r="J85">
        <v>56201</v>
      </c>
      <c r="K85">
        <v>3302</v>
      </c>
      <c r="L85">
        <v>3202354543</v>
      </c>
      <c r="M85">
        <v>3202314869</v>
      </c>
      <c r="N85" t="s">
        <v>470</v>
      </c>
      <c r="O85" t="s">
        <v>471</v>
      </c>
      <c r="P85" t="s">
        <v>346</v>
      </c>
      <c r="Q85" t="s">
        <v>2747</v>
      </c>
      <c r="R85" t="s">
        <v>3056</v>
      </c>
      <c r="S85" t="s">
        <v>261</v>
      </c>
      <c r="T85" t="s">
        <v>2691</v>
      </c>
      <c r="U85" t="s">
        <v>2692</v>
      </c>
      <c r="V85">
        <v>3202512700</v>
      </c>
      <c r="W85">
        <v>54697</v>
      </c>
      <c r="X85" t="s">
        <v>2090</v>
      </c>
      <c r="Y85" t="s">
        <v>2693</v>
      </c>
      <c r="Z85" t="s">
        <v>2252</v>
      </c>
      <c r="AA85" t="s">
        <v>2170</v>
      </c>
      <c r="AB85" t="s">
        <v>649</v>
      </c>
      <c r="AC85" t="s">
        <v>336</v>
      </c>
      <c r="AD85">
        <v>56303</v>
      </c>
      <c r="AE85">
        <v>1901</v>
      </c>
      <c r="AF85" t="s">
        <v>3120</v>
      </c>
      <c r="AG85" t="s">
        <v>849</v>
      </c>
      <c r="AH85" t="s">
        <v>1308</v>
      </c>
      <c r="AI85" t="s">
        <v>953</v>
      </c>
      <c r="AJ85">
        <v>0</v>
      </c>
      <c r="AK85" t="s">
        <v>2072</v>
      </c>
      <c r="AL85" t="s">
        <v>1315</v>
      </c>
      <c r="AM85" t="s">
        <v>3066</v>
      </c>
      <c r="AN85" t="s">
        <v>2142</v>
      </c>
      <c r="AO85">
        <v>3202512700</v>
      </c>
      <c r="AP85" t="s">
        <v>2090</v>
      </c>
      <c r="AQ85">
        <v>3202555737</v>
      </c>
      <c r="AR85" t="s">
        <v>3067</v>
      </c>
      <c r="AS85" t="s">
        <v>2252</v>
      </c>
      <c r="AT85" t="s">
        <v>2170</v>
      </c>
      <c r="AU85" t="s">
        <v>649</v>
      </c>
      <c r="AV85" t="s">
        <v>336</v>
      </c>
      <c r="AW85">
        <v>56303</v>
      </c>
      <c r="AX85">
        <v>1901</v>
      </c>
      <c r="AY85" t="s">
        <v>2170</v>
      </c>
      <c r="AZ85" t="s">
        <v>2170</v>
      </c>
      <c r="BA85" t="s">
        <v>2170</v>
      </c>
      <c r="BB85" t="s">
        <v>2170</v>
      </c>
      <c r="BC85" t="s">
        <v>2170</v>
      </c>
      <c r="BD85" t="s">
        <v>2170</v>
      </c>
      <c r="BE85" t="s">
        <v>2170</v>
      </c>
      <c r="BF85" t="s">
        <v>2170</v>
      </c>
      <c r="BG85" t="s">
        <v>2170</v>
      </c>
      <c r="BH85" t="s">
        <v>2170</v>
      </c>
      <c r="BI85" t="s">
        <v>2170</v>
      </c>
      <c r="BJ85" t="s">
        <v>2170</v>
      </c>
      <c r="BK85" t="s">
        <v>2170</v>
      </c>
      <c r="BL85" t="s">
        <v>3143</v>
      </c>
      <c r="BM85" t="s">
        <v>3144</v>
      </c>
      <c r="BN85" t="s">
        <v>961</v>
      </c>
      <c r="BO85">
        <v>3202314253</v>
      </c>
      <c r="BP85" t="s">
        <v>2090</v>
      </c>
      <c r="BQ85" t="s">
        <v>2090</v>
      </c>
      <c r="BR85" t="s">
        <v>3145</v>
      </c>
      <c r="BS85" t="s">
        <v>3146</v>
      </c>
      <c r="BT85" t="s">
        <v>2170</v>
      </c>
      <c r="BU85" t="s">
        <v>848</v>
      </c>
      <c r="BV85" t="s">
        <v>336</v>
      </c>
      <c r="BW85">
        <v>56201</v>
      </c>
      <c r="BX85">
        <v>3302</v>
      </c>
      <c r="BY85" t="s">
        <v>370</v>
      </c>
    </row>
    <row r="86" spans="1:77" customFormat="1" x14ac:dyDescent="0.2">
      <c r="A86" s="504">
        <v>119</v>
      </c>
      <c r="B86">
        <v>1477525566</v>
      </c>
      <c r="C86" t="s">
        <v>2748</v>
      </c>
      <c r="D86" t="s">
        <v>156</v>
      </c>
      <c r="E86" t="s">
        <v>3147</v>
      </c>
      <c r="F86" t="s">
        <v>2090</v>
      </c>
      <c r="H86" t="s">
        <v>157</v>
      </c>
      <c r="I86" t="s">
        <v>336</v>
      </c>
      <c r="J86">
        <v>56716</v>
      </c>
      <c r="K86">
        <v>1601</v>
      </c>
      <c r="L86">
        <v>2182819200</v>
      </c>
      <c r="M86">
        <v>2182819222</v>
      </c>
      <c r="N86" t="s">
        <v>1488</v>
      </c>
      <c r="O86" t="s">
        <v>1489</v>
      </c>
      <c r="P86" t="s">
        <v>346</v>
      </c>
      <c r="Q86" t="s">
        <v>1666</v>
      </c>
      <c r="R86" t="s">
        <v>1667</v>
      </c>
      <c r="S86" t="s">
        <v>1638</v>
      </c>
      <c r="T86" t="s">
        <v>1639</v>
      </c>
      <c r="U86" t="s">
        <v>1843</v>
      </c>
      <c r="V86">
        <v>6123764624</v>
      </c>
      <c r="W86" t="s">
        <v>2090</v>
      </c>
      <c r="X86">
        <v>6123764850</v>
      </c>
      <c r="Y86" t="s">
        <v>1874</v>
      </c>
      <c r="Z86" t="s">
        <v>2196</v>
      </c>
      <c r="AA86" t="s">
        <v>2170</v>
      </c>
      <c r="AB86" t="s">
        <v>156</v>
      </c>
      <c r="AC86" t="s">
        <v>336</v>
      </c>
      <c r="AD86">
        <v>55402</v>
      </c>
      <c r="AE86">
        <v>1436</v>
      </c>
      <c r="AF86" t="s">
        <v>157</v>
      </c>
      <c r="AG86" t="s">
        <v>159</v>
      </c>
      <c r="AH86" t="s">
        <v>351</v>
      </c>
      <c r="AI86" t="s">
        <v>2170</v>
      </c>
      <c r="AJ86">
        <v>1</v>
      </c>
      <c r="AK86" t="s">
        <v>1669</v>
      </c>
      <c r="AL86" t="s">
        <v>2170</v>
      </c>
      <c r="AM86" t="s">
        <v>2170</v>
      </c>
      <c r="AN86" t="s">
        <v>2170</v>
      </c>
      <c r="AO86" t="s">
        <v>2170</v>
      </c>
      <c r="AP86" t="s">
        <v>2170</v>
      </c>
      <c r="AQ86" t="s">
        <v>2170</v>
      </c>
      <c r="AR86" t="s">
        <v>2170</v>
      </c>
      <c r="AS86" t="s">
        <v>2170</v>
      </c>
      <c r="AT86" t="s">
        <v>2170</v>
      </c>
      <c r="AU86" t="s">
        <v>2170</v>
      </c>
      <c r="AV86" t="s">
        <v>2170</v>
      </c>
      <c r="AW86" t="s">
        <v>2170</v>
      </c>
      <c r="AX86" t="s">
        <v>2170</v>
      </c>
      <c r="AY86" t="s">
        <v>2170</v>
      </c>
      <c r="AZ86" t="s">
        <v>2170</v>
      </c>
      <c r="BA86" t="s">
        <v>2170</v>
      </c>
      <c r="BB86" t="s">
        <v>2170</v>
      </c>
      <c r="BC86" t="s">
        <v>2170</v>
      </c>
      <c r="BD86" t="s">
        <v>2170</v>
      </c>
      <c r="BE86" t="s">
        <v>2170</v>
      </c>
      <c r="BF86" t="s">
        <v>2170</v>
      </c>
      <c r="BG86" t="s">
        <v>2170</v>
      </c>
      <c r="BH86" t="s">
        <v>2170</v>
      </c>
      <c r="BI86" t="s">
        <v>2170</v>
      </c>
      <c r="BJ86" t="s">
        <v>2170</v>
      </c>
      <c r="BK86" t="s">
        <v>2170</v>
      </c>
      <c r="BL86" t="s">
        <v>1670</v>
      </c>
      <c r="BM86" t="s">
        <v>1671</v>
      </c>
      <c r="BN86" t="s">
        <v>341</v>
      </c>
      <c r="BO86">
        <v>2182819756</v>
      </c>
      <c r="BP86" t="s">
        <v>2090</v>
      </c>
      <c r="BQ86">
        <v>2182819222</v>
      </c>
      <c r="BR86" t="s">
        <v>1672</v>
      </c>
      <c r="BS86" t="s">
        <v>2114</v>
      </c>
      <c r="BT86" t="s">
        <v>2170</v>
      </c>
      <c r="BU86" t="s">
        <v>158</v>
      </c>
      <c r="BV86" t="s">
        <v>336</v>
      </c>
      <c r="BW86">
        <v>56716</v>
      </c>
      <c r="BX86" t="s">
        <v>2170</v>
      </c>
      <c r="BY86" t="s">
        <v>370</v>
      </c>
    </row>
    <row r="87" spans="1:77" customFormat="1" x14ac:dyDescent="0.2">
      <c r="A87" s="504">
        <v>121</v>
      </c>
      <c r="B87">
        <v>1609861095</v>
      </c>
      <c r="C87" t="s">
        <v>1414</v>
      </c>
      <c r="D87" t="s">
        <v>890</v>
      </c>
      <c r="E87" t="s">
        <v>1971</v>
      </c>
      <c r="F87" t="s">
        <v>2090</v>
      </c>
      <c r="H87" t="s">
        <v>890</v>
      </c>
      <c r="I87" t="s">
        <v>336</v>
      </c>
      <c r="J87">
        <v>56751</v>
      </c>
      <c r="K87">
        <v>1534</v>
      </c>
      <c r="L87">
        <v>2184632500</v>
      </c>
      <c r="M87">
        <v>2184631266</v>
      </c>
      <c r="N87" t="s">
        <v>891</v>
      </c>
      <c r="O87" t="s">
        <v>892</v>
      </c>
      <c r="P87" t="s">
        <v>1051</v>
      </c>
      <c r="Q87" t="s">
        <v>1320</v>
      </c>
      <c r="R87" t="s">
        <v>893</v>
      </c>
      <c r="S87" t="s">
        <v>894</v>
      </c>
      <c r="T87" t="s">
        <v>895</v>
      </c>
      <c r="U87" t="s">
        <v>180</v>
      </c>
      <c r="V87">
        <v>2184634763</v>
      </c>
      <c r="W87" t="s">
        <v>2090</v>
      </c>
      <c r="X87">
        <v>2184631266</v>
      </c>
      <c r="Y87" t="s">
        <v>1321</v>
      </c>
      <c r="Z87" t="s">
        <v>1971</v>
      </c>
      <c r="AA87" t="s">
        <v>2170</v>
      </c>
      <c r="AB87" t="s">
        <v>890</v>
      </c>
      <c r="AC87" t="s">
        <v>336</v>
      </c>
      <c r="AD87">
        <v>56751</v>
      </c>
      <c r="AE87" t="s">
        <v>2170</v>
      </c>
      <c r="AF87" t="s">
        <v>890</v>
      </c>
      <c r="AG87" t="s">
        <v>1673</v>
      </c>
      <c r="AH87" t="s">
        <v>351</v>
      </c>
      <c r="AI87" t="s">
        <v>2170</v>
      </c>
      <c r="AJ87">
        <v>1</v>
      </c>
      <c r="AK87" t="s">
        <v>2749</v>
      </c>
      <c r="AL87" t="s">
        <v>2170</v>
      </c>
      <c r="AM87" t="s">
        <v>2170</v>
      </c>
      <c r="AN87" t="s">
        <v>2170</v>
      </c>
      <c r="AO87" t="s">
        <v>2170</v>
      </c>
      <c r="AP87" t="s">
        <v>2170</v>
      </c>
      <c r="AQ87" t="s">
        <v>2170</v>
      </c>
      <c r="AR87" t="s">
        <v>2170</v>
      </c>
      <c r="AS87" t="s">
        <v>2170</v>
      </c>
      <c r="AT87" t="s">
        <v>2170</v>
      </c>
      <c r="AU87" t="s">
        <v>2170</v>
      </c>
      <c r="AV87" t="s">
        <v>2170</v>
      </c>
      <c r="AW87" t="s">
        <v>2170</v>
      </c>
      <c r="AX87" t="s">
        <v>2170</v>
      </c>
      <c r="AY87" t="s">
        <v>2170</v>
      </c>
      <c r="AZ87" t="s">
        <v>2170</v>
      </c>
      <c r="BA87" t="s">
        <v>2170</v>
      </c>
      <c r="BB87" t="s">
        <v>2170</v>
      </c>
      <c r="BC87" t="s">
        <v>2170</v>
      </c>
      <c r="BD87" t="s">
        <v>2170</v>
      </c>
      <c r="BE87" t="s">
        <v>2170</v>
      </c>
      <c r="BF87" t="s">
        <v>2170</v>
      </c>
      <c r="BG87" t="s">
        <v>2170</v>
      </c>
      <c r="BH87" t="s">
        <v>2170</v>
      </c>
      <c r="BI87" t="s">
        <v>2170</v>
      </c>
      <c r="BJ87" t="s">
        <v>2170</v>
      </c>
      <c r="BK87" t="s">
        <v>2170</v>
      </c>
      <c r="BL87" t="s">
        <v>894</v>
      </c>
      <c r="BM87" t="s">
        <v>895</v>
      </c>
      <c r="BN87" t="s">
        <v>180</v>
      </c>
      <c r="BO87">
        <v>2184634763</v>
      </c>
      <c r="BP87" t="s">
        <v>2090</v>
      </c>
      <c r="BQ87">
        <v>2184631266</v>
      </c>
      <c r="BR87" t="s">
        <v>1321</v>
      </c>
      <c r="BS87" t="s">
        <v>1971</v>
      </c>
      <c r="BT87" t="s">
        <v>2170</v>
      </c>
      <c r="BU87" t="s">
        <v>890</v>
      </c>
      <c r="BV87" t="s">
        <v>336</v>
      </c>
      <c r="BW87">
        <v>56751</v>
      </c>
      <c r="BX87" t="s">
        <v>2170</v>
      </c>
      <c r="BY87" t="s">
        <v>370</v>
      </c>
    </row>
    <row r="88" spans="1:77" customFormat="1" x14ac:dyDescent="0.2">
      <c r="A88" s="504">
        <v>124</v>
      </c>
      <c r="B88">
        <v>1568540847</v>
      </c>
      <c r="C88" t="s">
        <v>1896</v>
      </c>
      <c r="D88" t="s">
        <v>896</v>
      </c>
      <c r="E88" t="s">
        <v>2750</v>
      </c>
      <c r="F88" t="s">
        <v>2090</v>
      </c>
      <c r="H88" t="s">
        <v>252</v>
      </c>
      <c r="I88" t="s">
        <v>336</v>
      </c>
      <c r="J88">
        <v>55072</v>
      </c>
      <c r="K88">
        <v>5120</v>
      </c>
      <c r="L88">
        <v>3202452212</v>
      </c>
      <c r="M88">
        <v>3202455243</v>
      </c>
      <c r="N88" t="s">
        <v>345</v>
      </c>
      <c r="O88" t="s">
        <v>1635</v>
      </c>
      <c r="P88" t="s">
        <v>2044</v>
      </c>
      <c r="Q88" t="s">
        <v>2045</v>
      </c>
      <c r="R88" t="s">
        <v>1839</v>
      </c>
      <c r="S88" t="s">
        <v>1689</v>
      </c>
      <c r="T88" t="s">
        <v>1690</v>
      </c>
      <c r="U88" t="s">
        <v>1600</v>
      </c>
      <c r="V88">
        <v>2187861429</v>
      </c>
      <c r="W88" t="s">
        <v>2090</v>
      </c>
      <c r="X88">
        <v>2187868406</v>
      </c>
      <c r="Y88" t="s">
        <v>1840</v>
      </c>
      <c r="Z88" t="s">
        <v>2216</v>
      </c>
      <c r="AA88" t="s">
        <v>2170</v>
      </c>
      <c r="AB88" t="s">
        <v>1298</v>
      </c>
      <c r="AC88" t="s">
        <v>336</v>
      </c>
      <c r="AD88">
        <v>55805</v>
      </c>
      <c r="AE88">
        <v>1984</v>
      </c>
      <c r="AF88" t="s">
        <v>977</v>
      </c>
      <c r="AG88" t="s">
        <v>1593</v>
      </c>
      <c r="AH88" t="s">
        <v>2091</v>
      </c>
      <c r="AI88" t="s">
        <v>342</v>
      </c>
      <c r="AJ88">
        <v>1</v>
      </c>
      <c r="AK88" t="s">
        <v>1674</v>
      </c>
      <c r="AL88" t="s">
        <v>2183</v>
      </c>
      <c r="AM88" t="s">
        <v>2184</v>
      </c>
      <c r="AN88" t="s">
        <v>2945</v>
      </c>
      <c r="AO88">
        <v>2187861419</v>
      </c>
      <c r="AP88" t="s">
        <v>2090</v>
      </c>
      <c r="AQ88" t="s">
        <v>2090</v>
      </c>
      <c r="AR88" t="s">
        <v>2185</v>
      </c>
      <c r="AS88" t="s">
        <v>2181</v>
      </c>
      <c r="AT88" t="s">
        <v>2170</v>
      </c>
      <c r="AU88" t="s">
        <v>1298</v>
      </c>
      <c r="AV88" t="s">
        <v>336</v>
      </c>
      <c r="AW88">
        <v>55805</v>
      </c>
      <c r="AX88" t="s">
        <v>2170</v>
      </c>
      <c r="AY88" t="s">
        <v>2170</v>
      </c>
      <c r="AZ88" t="s">
        <v>2170</v>
      </c>
      <c r="BA88" t="s">
        <v>2170</v>
      </c>
      <c r="BB88" t="s">
        <v>2170</v>
      </c>
      <c r="BC88" t="s">
        <v>2170</v>
      </c>
      <c r="BD88" t="s">
        <v>2170</v>
      </c>
      <c r="BE88" t="s">
        <v>2170</v>
      </c>
      <c r="BF88" t="s">
        <v>2170</v>
      </c>
      <c r="BG88" t="s">
        <v>2170</v>
      </c>
      <c r="BH88" t="s">
        <v>2170</v>
      </c>
      <c r="BI88" t="s">
        <v>2170</v>
      </c>
      <c r="BJ88" t="s">
        <v>2170</v>
      </c>
      <c r="BK88" t="s">
        <v>2170</v>
      </c>
      <c r="BL88" t="s">
        <v>1266</v>
      </c>
      <c r="BM88" t="s">
        <v>2946</v>
      </c>
      <c r="BN88" t="s">
        <v>2947</v>
      </c>
      <c r="BO88">
        <v>2187868169</v>
      </c>
      <c r="BP88" t="s">
        <v>2090</v>
      </c>
      <c r="BQ88">
        <v>2187868406</v>
      </c>
      <c r="BR88" t="s">
        <v>2948</v>
      </c>
      <c r="BS88" t="s">
        <v>2181</v>
      </c>
      <c r="BT88" t="s">
        <v>2170</v>
      </c>
      <c r="BU88" t="s">
        <v>1298</v>
      </c>
      <c r="BV88" t="s">
        <v>336</v>
      </c>
      <c r="BW88">
        <v>55805</v>
      </c>
      <c r="BX88" t="s">
        <v>2170</v>
      </c>
      <c r="BY88" t="s">
        <v>370</v>
      </c>
    </row>
    <row r="89" spans="1:77" customFormat="1" x14ac:dyDescent="0.2">
      <c r="A89" s="504">
        <v>127</v>
      </c>
      <c r="B89">
        <v>1558328435</v>
      </c>
      <c r="C89" t="s">
        <v>196</v>
      </c>
      <c r="D89" t="s">
        <v>197</v>
      </c>
      <c r="E89" t="s">
        <v>2751</v>
      </c>
      <c r="F89" t="s">
        <v>2090</v>
      </c>
      <c r="H89" t="s">
        <v>198</v>
      </c>
      <c r="I89" t="s">
        <v>336</v>
      </c>
      <c r="J89">
        <v>56073</v>
      </c>
      <c r="K89">
        <v>1514</v>
      </c>
      <c r="L89">
        <v>5072331000</v>
      </c>
      <c r="M89">
        <v>5072331575</v>
      </c>
      <c r="N89" t="s">
        <v>1884</v>
      </c>
      <c r="O89" t="s">
        <v>1885</v>
      </c>
      <c r="P89" t="s">
        <v>116</v>
      </c>
      <c r="Q89" t="s">
        <v>1886</v>
      </c>
      <c r="R89" t="s">
        <v>2752</v>
      </c>
      <c r="S89" t="s">
        <v>2204</v>
      </c>
      <c r="T89" t="s">
        <v>2205</v>
      </c>
      <c r="U89" t="s">
        <v>118</v>
      </c>
      <c r="V89">
        <v>6122624722</v>
      </c>
      <c r="W89" t="s">
        <v>2090</v>
      </c>
      <c r="X89">
        <v>6122624737</v>
      </c>
      <c r="Y89" t="s">
        <v>3076</v>
      </c>
      <c r="Z89" t="s">
        <v>2209</v>
      </c>
      <c r="AA89" t="s">
        <v>2170</v>
      </c>
      <c r="AB89" t="s">
        <v>119</v>
      </c>
      <c r="AC89" t="s">
        <v>336</v>
      </c>
      <c r="AD89">
        <v>55440</v>
      </c>
      <c r="AE89" t="s">
        <v>2170</v>
      </c>
      <c r="AF89" t="s">
        <v>120</v>
      </c>
      <c r="AG89" t="s">
        <v>2029</v>
      </c>
      <c r="AH89" t="s">
        <v>1961</v>
      </c>
      <c r="AI89" t="s">
        <v>953</v>
      </c>
      <c r="AJ89">
        <v>1</v>
      </c>
      <c r="AK89" t="s">
        <v>2753</v>
      </c>
      <c r="AL89" t="s">
        <v>1668</v>
      </c>
      <c r="AM89" t="s">
        <v>2153</v>
      </c>
      <c r="AN89" t="s">
        <v>1277</v>
      </c>
      <c r="AO89">
        <v>6122624720</v>
      </c>
      <c r="AP89" t="s">
        <v>2090</v>
      </c>
      <c r="AQ89">
        <v>6122624737</v>
      </c>
      <c r="AR89" t="s">
        <v>2202</v>
      </c>
      <c r="AS89" t="s">
        <v>2112</v>
      </c>
      <c r="AT89" t="s">
        <v>2170</v>
      </c>
      <c r="AU89" t="s">
        <v>119</v>
      </c>
      <c r="AV89" t="s">
        <v>336</v>
      </c>
      <c r="AW89">
        <v>55440</v>
      </c>
      <c r="AX89">
        <v>43</v>
      </c>
      <c r="AY89" t="s">
        <v>121</v>
      </c>
      <c r="AZ89" t="s">
        <v>122</v>
      </c>
      <c r="BA89" t="s">
        <v>1684</v>
      </c>
      <c r="BB89">
        <v>6122624719</v>
      </c>
      <c r="BC89" t="s">
        <v>2090</v>
      </c>
      <c r="BD89">
        <v>6122624737</v>
      </c>
      <c r="BE89" t="s">
        <v>123</v>
      </c>
      <c r="BF89" t="s">
        <v>2209</v>
      </c>
      <c r="BG89" t="s">
        <v>124</v>
      </c>
      <c r="BH89" t="s">
        <v>119</v>
      </c>
      <c r="BI89" t="s">
        <v>336</v>
      </c>
      <c r="BJ89">
        <v>55440</v>
      </c>
      <c r="BK89" t="s">
        <v>2170</v>
      </c>
      <c r="BL89" t="s">
        <v>186</v>
      </c>
      <c r="BM89" t="s">
        <v>3148</v>
      </c>
      <c r="BN89" t="s">
        <v>118</v>
      </c>
      <c r="BO89">
        <v>6122624732</v>
      </c>
      <c r="BP89" t="s">
        <v>2090</v>
      </c>
      <c r="BQ89">
        <v>6122624737</v>
      </c>
      <c r="BR89" t="s">
        <v>3149</v>
      </c>
      <c r="BS89" t="s">
        <v>2112</v>
      </c>
      <c r="BT89" t="s">
        <v>2170</v>
      </c>
      <c r="BU89" t="s">
        <v>119</v>
      </c>
      <c r="BV89" t="s">
        <v>336</v>
      </c>
      <c r="BW89">
        <v>55440</v>
      </c>
      <c r="BX89">
        <v>-43</v>
      </c>
      <c r="BY89" t="s">
        <v>370</v>
      </c>
    </row>
    <row r="90" spans="1:77" customFormat="1" x14ac:dyDescent="0.2">
      <c r="A90" s="504">
        <v>129</v>
      </c>
      <c r="B90">
        <v>1952370348</v>
      </c>
      <c r="C90" t="s">
        <v>639</v>
      </c>
      <c r="D90" t="s">
        <v>640</v>
      </c>
      <c r="E90" t="s">
        <v>3150</v>
      </c>
      <c r="F90" t="s">
        <v>2090</v>
      </c>
      <c r="H90" t="s">
        <v>198</v>
      </c>
      <c r="I90" t="s">
        <v>336</v>
      </c>
      <c r="J90">
        <v>56085</v>
      </c>
      <c r="K90">
        <v>1109</v>
      </c>
      <c r="L90">
        <v>5077943571</v>
      </c>
      <c r="M90">
        <v>5077945460</v>
      </c>
      <c r="N90" t="s">
        <v>261</v>
      </c>
      <c r="O90" t="s">
        <v>641</v>
      </c>
      <c r="P90" t="s">
        <v>270</v>
      </c>
      <c r="Q90" t="s">
        <v>1322</v>
      </c>
      <c r="R90">
        <v>0</v>
      </c>
      <c r="S90" t="s">
        <v>261</v>
      </c>
      <c r="T90" t="s">
        <v>641</v>
      </c>
      <c r="U90" t="s">
        <v>270</v>
      </c>
      <c r="V90">
        <v>5077948440</v>
      </c>
      <c r="W90" t="s">
        <v>2090</v>
      </c>
      <c r="X90">
        <v>5077945460</v>
      </c>
      <c r="Y90" t="s">
        <v>1322</v>
      </c>
      <c r="Z90" t="s">
        <v>3151</v>
      </c>
      <c r="AA90" t="s">
        <v>642</v>
      </c>
      <c r="AB90" t="s">
        <v>640</v>
      </c>
      <c r="AC90" t="s">
        <v>336</v>
      </c>
      <c r="AD90">
        <v>56085</v>
      </c>
      <c r="AE90" t="s">
        <v>2170</v>
      </c>
      <c r="AF90" t="s">
        <v>198</v>
      </c>
      <c r="AG90" t="s">
        <v>643</v>
      </c>
      <c r="AH90" t="s">
        <v>351</v>
      </c>
      <c r="AI90" t="s">
        <v>2170</v>
      </c>
      <c r="AJ90">
        <v>1</v>
      </c>
      <c r="AK90" t="s">
        <v>3152</v>
      </c>
      <c r="AL90" t="s">
        <v>2170</v>
      </c>
      <c r="AM90" t="s">
        <v>2170</v>
      </c>
      <c r="AN90" t="s">
        <v>2170</v>
      </c>
      <c r="AO90" t="s">
        <v>2170</v>
      </c>
      <c r="AP90" t="s">
        <v>2170</v>
      </c>
      <c r="AQ90" t="s">
        <v>2170</v>
      </c>
      <c r="AR90" t="s">
        <v>2170</v>
      </c>
      <c r="AS90" t="s">
        <v>2170</v>
      </c>
      <c r="AT90" t="s">
        <v>2170</v>
      </c>
      <c r="AU90" t="s">
        <v>2170</v>
      </c>
      <c r="AV90" t="s">
        <v>2170</v>
      </c>
      <c r="AW90" t="s">
        <v>2170</v>
      </c>
      <c r="AX90" t="s">
        <v>2170</v>
      </c>
      <c r="AY90" t="s">
        <v>2170</v>
      </c>
      <c r="AZ90" t="s">
        <v>2170</v>
      </c>
      <c r="BA90" t="s">
        <v>2170</v>
      </c>
      <c r="BB90" t="s">
        <v>2170</v>
      </c>
      <c r="BC90" t="s">
        <v>2170</v>
      </c>
      <c r="BD90" t="s">
        <v>2170</v>
      </c>
      <c r="BE90" t="s">
        <v>2170</v>
      </c>
      <c r="BF90" t="s">
        <v>2170</v>
      </c>
      <c r="BG90" t="s">
        <v>2170</v>
      </c>
      <c r="BH90" t="s">
        <v>2170</v>
      </c>
      <c r="BI90" t="s">
        <v>2170</v>
      </c>
      <c r="BJ90" t="s">
        <v>2170</v>
      </c>
      <c r="BK90" t="s">
        <v>2170</v>
      </c>
      <c r="BL90" t="s">
        <v>1177</v>
      </c>
      <c r="BM90" t="s">
        <v>464</v>
      </c>
      <c r="BN90" t="s">
        <v>1044</v>
      </c>
      <c r="BO90">
        <v>5077948474</v>
      </c>
      <c r="BP90" t="s">
        <v>2090</v>
      </c>
      <c r="BQ90">
        <v>5077945462</v>
      </c>
      <c r="BR90" t="s">
        <v>1415</v>
      </c>
      <c r="BS90" t="s">
        <v>2170</v>
      </c>
      <c r="BT90" t="s">
        <v>2170</v>
      </c>
      <c r="BU90" t="s">
        <v>2170</v>
      </c>
      <c r="BV90" t="s">
        <v>336</v>
      </c>
      <c r="BW90" t="s">
        <v>2170</v>
      </c>
      <c r="BX90" t="s">
        <v>2170</v>
      </c>
      <c r="BY90" t="s">
        <v>366</v>
      </c>
    </row>
    <row r="91" spans="1:77" customFormat="1" x14ac:dyDescent="0.2">
      <c r="A91" s="504">
        <v>130</v>
      </c>
      <c r="B91" t="s">
        <v>2170</v>
      </c>
      <c r="C91" t="s">
        <v>2170</v>
      </c>
      <c r="D91" t="s">
        <v>2170</v>
      </c>
      <c r="E91" t="s">
        <v>2170</v>
      </c>
      <c r="F91" t="s">
        <v>2170</v>
      </c>
      <c r="H91" t="s">
        <v>2170</v>
      </c>
      <c r="I91" t="s">
        <v>2170</v>
      </c>
      <c r="J91" t="s">
        <v>2170</v>
      </c>
      <c r="K91" t="s">
        <v>2170</v>
      </c>
      <c r="L91" t="s">
        <v>2170</v>
      </c>
      <c r="M91" t="s">
        <v>2170</v>
      </c>
      <c r="N91" t="s">
        <v>2170</v>
      </c>
      <c r="O91" t="s">
        <v>2170</v>
      </c>
      <c r="P91" t="s">
        <v>2170</v>
      </c>
      <c r="Q91" t="s">
        <v>2170</v>
      </c>
      <c r="R91" t="s">
        <v>2170</v>
      </c>
      <c r="S91" t="s">
        <v>2170</v>
      </c>
      <c r="T91" t="s">
        <v>2170</v>
      </c>
      <c r="U91" t="s">
        <v>2170</v>
      </c>
      <c r="V91" t="s">
        <v>2170</v>
      </c>
      <c r="W91" t="s">
        <v>2170</v>
      </c>
      <c r="X91" t="s">
        <v>2170</v>
      </c>
      <c r="Y91" t="s">
        <v>2170</v>
      </c>
      <c r="Z91" t="s">
        <v>2170</v>
      </c>
      <c r="AA91" t="s">
        <v>2170</v>
      </c>
      <c r="AB91" t="s">
        <v>2170</v>
      </c>
      <c r="AC91" t="s">
        <v>2170</v>
      </c>
      <c r="AD91" t="s">
        <v>2170</v>
      </c>
      <c r="AE91" t="s">
        <v>2170</v>
      </c>
      <c r="AF91" t="s">
        <v>2170</v>
      </c>
      <c r="AG91" t="s">
        <v>2170</v>
      </c>
      <c r="AH91" t="s">
        <v>2170</v>
      </c>
      <c r="AI91" t="s">
        <v>2170</v>
      </c>
      <c r="AJ91" t="s">
        <v>2170</v>
      </c>
      <c r="AK91" t="s">
        <v>2170</v>
      </c>
      <c r="AL91" t="s">
        <v>2170</v>
      </c>
      <c r="AM91" t="s">
        <v>2170</v>
      </c>
      <c r="AN91" t="s">
        <v>2170</v>
      </c>
      <c r="AO91" t="s">
        <v>2170</v>
      </c>
      <c r="AP91" t="s">
        <v>2170</v>
      </c>
      <c r="AQ91" t="s">
        <v>2170</v>
      </c>
      <c r="AR91" t="s">
        <v>2170</v>
      </c>
      <c r="AS91" t="s">
        <v>2170</v>
      </c>
      <c r="AT91" t="s">
        <v>2170</v>
      </c>
      <c r="AU91" t="s">
        <v>2170</v>
      </c>
      <c r="AV91" t="s">
        <v>2170</v>
      </c>
      <c r="AW91" t="s">
        <v>2170</v>
      </c>
      <c r="AX91" t="s">
        <v>2170</v>
      </c>
      <c r="AY91" t="s">
        <v>2170</v>
      </c>
      <c r="AZ91" t="s">
        <v>2170</v>
      </c>
      <c r="BA91" t="s">
        <v>2170</v>
      </c>
      <c r="BB91" t="s">
        <v>2170</v>
      </c>
      <c r="BC91" t="s">
        <v>2170</v>
      </c>
      <c r="BD91" t="s">
        <v>2170</v>
      </c>
      <c r="BE91" t="s">
        <v>2170</v>
      </c>
      <c r="BF91" t="s">
        <v>2170</v>
      </c>
      <c r="BG91" t="s">
        <v>2170</v>
      </c>
      <c r="BH91" t="s">
        <v>2170</v>
      </c>
      <c r="BI91" t="s">
        <v>2170</v>
      </c>
      <c r="BJ91" t="s">
        <v>2170</v>
      </c>
      <c r="BK91" t="s">
        <v>2170</v>
      </c>
      <c r="BL91" t="s">
        <v>2170</v>
      </c>
      <c r="BM91" t="s">
        <v>2170</v>
      </c>
      <c r="BN91" t="s">
        <v>2170</v>
      </c>
      <c r="BO91" t="s">
        <v>2170</v>
      </c>
      <c r="BP91" t="s">
        <v>2170</v>
      </c>
      <c r="BQ91" t="s">
        <v>2170</v>
      </c>
      <c r="BR91" t="s">
        <v>2170</v>
      </c>
      <c r="BS91" t="s">
        <v>2170</v>
      </c>
      <c r="BT91" t="s">
        <v>2170</v>
      </c>
      <c r="BU91" t="s">
        <v>2170</v>
      </c>
      <c r="BV91" t="s">
        <v>2170</v>
      </c>
      <c r="BW91" t="s">
        <v>2170</v>
      </c>
      <c r="BX91" t="s">
        <v>2170</v>
      </c>
      <c r="BY91" t="s">
        <v>2170</v>
      </c>
    </row>
    <row r="92" spans="1:77" customFormat="1" x14ac:dyDescent="0.2">
      <c r="A92" s="504">
        <v>132</v>
      </c>
      <c r="B92">
        <v>1043269798</v>
      </c>
      <c r="C92" t="s">
        <v>644</v>
      </c>
      <c r="D92" t="s">
        <v>645</v>
      </c>
      <c r="E92" t="s">
        <v>3153</v>
      </c>
      <c r="F92" t="s">
        <v>2090</v>
      </c>
      <c r="H92" t="s">
        <v>268</v>
      </c>
      <c r="I92" t="s">
        <v>336</v>
      </c>
      <c r="J92">
        <v>56303</v>
      </c>
      <c r="K92">
        <v>1900</v>
      </c>
      <c r="L92">
        <v>3202512700</v>
      </c>
      <c r="M92">
        <v>3202555756</v>
      </c>
      <c r="N92" t="s">
        <v>3154</v>
      </c>
      <c r="O92" t="s">
        <v>3155</v>
      </c>
      <c r="P92" t="s">
        <v>116</v>
      </c>
      <c r="Q92" t="s">
        <v>647</v>
      </c>
      <c r="R92" t="s">
        <v>3056</v>
      </c>
      <c r="S92" t="s">
        <v>261</v>
      </c>
      <c r="T92" t="s">
        <v>2691</v>
      </c>
      <c r="U92" t="s">
        <v>2692</v>
      </c>
      <c r="V92">
        <v>3202512700</v>
      </c>
      <c r="W92">
        <v>54697</v>
      </c>
      <c r="X92" t="s">
        <v>2090</v>
      </c>
      <c r="Y92" t="s">
        <v>2693</v>
      </c>
      <c r="Z92" t="s">
        <v>2252</v>
      </c>
      <c r="AA92" t="s">
        <v>2170</v>
      </c>
      <c r="AB92" t="s">
        <v>649</v>
      </c>
      <c r="AC92" t="s">
        <v>336</v>
      </c>
      <c r="AD92">
        <v>56303</v>
      </c>
      <c r="AE92">
        <v>1901</v>
      </c>
      <c r="AF92" t="s">
        <v>3120</v>
      </c>
      <c r="AG92" t="s">
        <v>482</v>
      </c>
      <c r="AH92" t="s">
        <v>1308</v>
      </c>
      <c r="AI92" t="s">
        <v>953</v>
      </c>
      <c r="AJ92">
        <v>0</v>
      </c>
      <c r="AK92" t="s">
        <v>2047</v>
      </c>
      <c r="AL92" t="s">
        <v>2140</v>
      </c>
      <c r="AM92" t="s">
        <v>2141</v>
      </c>
      <c r="AN92" t="s">
        <v>3057</v>
      </c>
      <c r="AO92">
        <v>3202512700</v>
      </c>
      <c r="AP92">
        <v>54553</v>
      </c>
      <c r="AQ92">
        <v>3202555737</v>
      </c>
      <c r="AR92" t="s">
        <v>2143</v>
      </c>
      <c r="AS92" t="s">
        <v>2252</v>
      </c>
      <c r="AT92" t="s">
        <v>2170</v>
      </c>
      <c r="AU92" t="s">
        <v>649</v>
      </c>
      <c r="AV92" t="s">
        <v>336</v>
      </c>
      <c r="AW92">
        <v>56303</v>
      </c>
      <c r="AX92">
        <v>1901</v>
      </c>
      <c r="AY92" t="s">
        <v>2170</v>
      </c>
      <c r="AZ92" t="s">
        <v>2170</v>
      </c>
      <c r="BA92" t="s">
        <v>2170</v>
      </c>
      <c r="BB92" t="s">
        <v>2170</v>
      </c>
      <c r="BC92" t="s">
        <v>2170</v>
      </c>
      <c r="BD92" t="s">
        <v>2170</v>
      </c>
      <c r="BE92" t="s">
        <v>2170</v>
      </c>
      <c r="BF92" t="s">
        <v>2170</v>
      </c>
      <c r="BG92" t="s">
        <v>2170</v>
      </c>
      <c r="BH92" t="s">
        <v>2170</v>
      </c>
      <c r="BI92" t="s">
        <v>2170</v>
      </c>
      <c r="BJ92" t="s">
        <v>2170</v>
      </c>
      <c r="BK92" t="s">
        <v>2170</v>
      </c>
      <c r="BL92" t="s">
        <v>2754</v>
      </c>
      <c r="BM92" t="s">
        <v>2755</v>
      </c>
      <c r="BN92" t="s">
        <v>2756</v>
      </c>
      <c r="BO92">
        <v>3202512700</v>
      </c>
      <c r="BP92">
        <v>52063</v>
      </c>
      <c r="BQ92">
        <v>3202555756</v>
      </c>
      <c r="BR92" t="s">
        <v>2757</v>
      </c>
      <c r="BS92" t="s">
        <v>2170</v>
      </c>
      <c r="BT92" t="s">
        <v>2170</v>
      </c>
      <c r="BU92" t="s">
        <v>2170</v>
      </c>
      <c r="BV92" t="s">
        <v>336</v>
      </c>
      <c r="BW92">
        <v>55352</v>
      </c>
      <c r="BX92">
        <v>1098</v>
      </c>
      <c r="BY92" t="s">
        <v>369</v>
      </c>
    </row>
    <row r="93" spans="1:77" customFormat="1" x14ac:dyDescent="0.2">
      <c r="A93" s="504">
        <v>133</v>
      </c>
      <c r="B93">
        <v>1659355600</v>
      </c>
      <c r="C93" t="s">
        <v>1472</v>
      </c>
      <c r="D93" t="s">
        <v>1473</v>
      </c>
      <c r="E93" t="s">
        <v>2317</v>
      </c>
      <c r="F93" t="s">
        <v>2090</v>
      </c>
      <c r="H93" t="s">
        <v>1473</v>
      </c>
      <c r="I93" t="s">
        <v>336</v>
      </c>
      <c r="J93">
        <v>55981</v>
      </c>
      <c r="K93">
        <v>1042</v>
      </c>
      <c r="L93">
        <v>6125654531</v>
      </c>
      <c r="M93">
        <v>6125652482</v>
      </c>
      <c r="N93" t="s">
        <v>155</v>
      </c>
      <c r="O93" t="s">
        <v>1474</v>
      </c>
      <c r="P93" t="s">
        <v>116</v>
      </c>
      <c r="Q93" t="s">
        <v>2758</v>
      </c>
      <c r="R93" t="s">
        <v>1475</v>
      </c>
      <c r="S93" t="s">
        <v>1301</v>
      </c>
      <c r="T93" t="s">
        <v>1476</v>
      </c>
      <c r="U93" t="s">
        <v>341</v>
      </c>
      <c r="V93">
        <v>6515655553</v>
      </c>
      <c r="W93" t="s">
        <v>2090</v>
      </c>
      <c r="X93">
        <v>6515652482</v>
      </c>
      <c r="Y93" t="s">
        <v>2759</v>
      </c>
      <c r="Z93" t="s">
        <v>2317</v>
      </c>
      <c r="AA93" t="s">
        <v>2170</v>
      </c>
      <c r="AB93" t="s">
        <v>1477</v>
      </c>
      <c r="AC93" t="s">
        <v>336</v>
      </c>
      <c r="AD93">
        <v>55981</v>
      </c>
      <c r="AE93">
        <v>1042</v>
      </c>
      <c r="AF93" t="s">
        <v>1473</v>
      </c>
      <c r="AG93" t="s">
        <v>2760</v>
      </c>
      <c r="AH93" t="s">
        <v>2761</v>
      </c>
      <c r="AI93" t="s">
        <v>953</v>
      </c>
      <c r="AJ93">
        <v>1</v>
      </c>
      <c r="AK93" t="s">
        <v>3156</v>
      </c>
      <c r="AL93" t="s">
        <v>2170</v>
      </c>
      <c r="AM93" t="s">
        <v>2170</v>
      </c>
      <c r="AN93" t="s">
        <v>2170</v>
      </c>
      <c r="AO93" t="s">
        <v>2170</v>
      </c>
      <c r="AP93" t="s">
        <v>2170</v>
      </c>
      <c r="AQ93" t="s">
        <v>2170</v>
      </c>
      <c r="AR93" t="s">
        <v>2170</v>
      </c>
      <c r="AS93" t="s">
        <v>2170</v>
      </c>
      <c r="AT93" t="s">
        <v>2170</v>
      </c>
      <c r="AU93" t="s">
        <v>2170</v>
      </c>
      <c r="AV93" t="s">
        <v>2170</v>
      </c>
      <c r="AW93" t="s">
        <v>2170</v>
      </c>
      <c r="AX93" t="s">
        <v>2170</v>
      </c>
      <c r="AY93" t="s">
        <v>2170</v>
      </c>
      <c r="AZ93" t="s">
        <v>2170</v>
      </c>
      <c r="BA93" t="s">
        <v>2170</v>
      </c>
      <c r="BB93" t="s">
        <v>2170</v>
      </c>
      <c r="BC93" t="s">
        <v>2170</v>
      </c>
      <c r="BD93" t="s">
        <v>2170</v>
      </c>
      <c r="BE93" t="s">
        <v>2170</v>
      </c>
      <c r="BF93" t="s">
        <v>2170</v>
      </c>
      <c r="BG93" t="s">
        <v>2170</v>
      </c>
      <c r="BH93" t="s">
        <v>2170</v>
      </c>
      <c r="BI93" t="s">
        <v>2170</v>
      </c>
      <c r="BJ93" t="s">
        <v>2170</v>
      </c>
      <c r="BK93" t="s">
        <v>2170</v>
      </c>
      <c r="BL93" t="s">
        <v>1301</v>
      </c>
      <c r="BM93" t="s">
        <v>1476</v>
      </c>
      <c r="BN93" t="s">
        <v>341</v>
      </c>
      <c r="BO93">
        <v>6515655553</v>
      </c>
      <c r="BP93" t="s">
        <v>2090</v>
      </c>
      <c r="BQ93">
        <v>6515652482</v>
      </c>
      <c r="BR93" t="s">
        <v>1507</v>
      </c>
      <c r="BS93" t="s">
        <v>2317</v>
      </c>
      <c r="BT93" t="s">
        <v>2170</v>
      </c>
      <c r="BU93" t="s">
        <v>1477</v>
      </c>
      <c r="BV93" t="s">
        <v>336</v>
      </c>
      <c r="BW93">
        <v>55981</v>
      </c>
      <c r="BX93">
        <v>1042</v>
      </c>
      <c r="BY93" t="s">
        <v>369</v>
      </c>
    </row>
    <row r="94" spans="1:77" customFormat="1" x14ac:dyDescent="0.2">
      <c r="A94" s="504">
        <v>134</v>
      </c>
      <c r="B94">
        <v>1639162381</v>
      </c>
      <c r="C94" t="s">
        <v>2762</v>
      </c>
      <c r="D94" t="s">
        <v>1078</v>
      </c>
      <c r="E94" t="s">
        <v>3157</v>
      </c>
      <c r="F94" t="s">
        <v>2090</v>
      </c>
      <c r="H94" t="s">
        <v>1079</v>
      </c>
      <c r="I94" t="s">
        <v>336</v>
      </c>
      <c r="J94">
        <v>56520</v>
      </c>
      <c r="K94">
        <v>1242</v>
      </c>
      <c r="L94">
        <v>2186433000</v>
      </c>
      <c r="M94">
        <v>2186437344</v>
      </c>
      <c r="N94" t="s">
        <v>1080</v>
      </c>
      <c r="O94" t="s">
        <v>1081</v>
      </c>
      <c r="P94" t="s">
        <v>1051</v>
      </c>
      <c r="Q94" t="s">
        <v>1082</v>
      </c>
      <c r="R94" t="s">
        <v>2199</v>
      </c>
      <c r="S94" t="s">
        <v>1424</v>
      </c>
      <c r="T94" t="s">
        <v>1842</v>
      </c>
      <c r="U94" t="s">
        <v>1843</v>
      </c>
      <c r="V94">
        <v>5072802328</v>
      </c>
      <c r="W94" t="s">
        <v>2090</v>
      </c>
      <c r="X94">
        <v>5042802339</v>
      </c>
      <c r="Y94" t="s">
        <v>1844</v>
      </c>
      <c r="Z94" t="s">
        <v>2188</v>
      </c>
      <c r="AA94" t="s">
        <v>2170</v>
      </c>
      <c r="AB94" t="s">
        <v>941</v>
      </c>
      <c r="AC94" t="s">
        <v>336</v>
      </c>
      <c r="AD94">
        <v>55901</v>
      </c>
      <c r="AE94" t="s">
        <v>2170</v>
      </c>
      <c r="AF94" t="s">
        <v>3059</v>
      </c>
      <c r="AG94" t="s">
        <v>1084</v>
      </c>
      <c r="AH94" t="s">
        <v>952</v>
      </c>
      <c r="AI94" t="s">
        <v>953</v>
      </c>
      <c r="AJ94">
        <v>1</v>
      </c>
      <c r="AK94" t="s">
        <v>2763</v>
      </c>
      <c r="AL94" t="s">
        <v>1255</v>
      </c>
      <c r="AM94" t="s">
        <v>1256</v>
      </c>
      <c r="AN94" t="s">
        <v>1847</v>
      </c>
      <c r="AO94">
        <v>3206315674</v>
      </c>
      <c r="AP94" t="s">
        <v>2090</v>
      </c>
      <c r="AQ94">
        <v>3206315681</v>
      </c>
      <c r="AR94" t="s">
        <v>2764</v>
      </c>
      <c r="AS94" t="s">
        <v>2765</v>
      </c>
      <c r="AT94" t="s">
        <v>2170</v>
      </c>
      <c r="AU94" t="s">
        <v>2500</v>
      </c>
      <c r="AV94" t="s">
        <v>336</v>
      </c>
      <c r="AW94">
        <v>56345</v>
      </c>
      <c r="AX94" t="s">
        <v>2170</v>
      </c>
      <c r="AY94" t="s">
        <v>2170</v>
      </c>
      <c r="AZ94" t="s">
        <v>2170</v>
      </c>
      <c r="BA94" t="s">
        <v>2170</v>
      </c>
      <c r="BB94" t="s">
        <v>2170</v>
      </c>
      <c r="BC94" t="s">
        <v>2170</v>
      </c>
      <c r="BD94" t="s">
        <v>2170</v>
      </c>
      <c r="BE94" t="s">
        <v>2170</v>
      </c>
      <c r="BF94" t="s">
        <v>2170</v>
      </c>
      <c r="BG94" t="s">
        <v>2170</v>
      </c>
      <c r="BH94" t="s">
        <v>2170</v>
      </c>
      <c r="BI94" t="s">
        <v>2170</v>
      </c>
      <c r="BJ94" t="s">
        <v>2170</v>
      </c>
      <c r="BK94" t="s">
        <v>2170</v>
      </c>
      <c r="BL94" t="s">
        <v>1255</v>
      </c>
      <c r="BM94" t="s">
        <v>1256</v>
      </c>
      <c r="BN94" t="s">
        <v>1847</v>
      </c>
      <c r="BO94">
        <v>3206315674</v>
      </c>
      <c r="BP94" t="s">
        <v>2090</v>
      </c>
      <c r="BQ94">
        <v>3206315681</v>
      </c>
      <c r="BR94" t="s">
        <v>2764</v>
      </c>
      <c r="BS94" t="s">
        <v>2765</v>
      </c>
      <c r="BT94" t="s">
        <v>2170</v>
      </c>
      <c r="BU94" t="s">
        <v>2500</v>
      </c>
      <c r="BV94" t="s">
        <v>336</v>
      </c>
      <c r="BW94">
        <v>56345</v>
      </c>
      <c r="BX94" t="s">
        <v>2170</v>
      </c>
      <c r="BY94" t="s">
        <v>369</v>
      </c>
    </row>
    <row r="95" spans="1:77" customFormat="1" x14ac:dyDescent="0.2">
      <c r="A95" s="504">
        <v>135</v>
      </c>
      <c r="B95">
        <v>1578520045</v>
      </c>
      <c r="C95" t="s">
        <v>901</v>
      </c>
      <c r="D95" t="s">
        <v>902</v>
      </c>
      <c r="E95" t="s">
        <v>3158</v>
      </c>
      <c r="F95" t="s">
        <v>2090</v>
      </c>
      <c r="H95" t="s">
        <v>194</v>
      </c>
      <c r="I95" t="s">
        <v>336</v>
      </c>
      <c r="J95">
        <v>55379</v>
      </c>
      <c r="K95">
        <v>3380</v>
      </c>
      <c r="L95">
        <v>9524283000</v>
      </c>
      <c r="M95">
        <v>9524283820</v>
      </c>
      <c r="N95" t="s">
        <v>957</v>
      </c>
      <c r="O95" t="s">
        <v>2766</v>
      </c>
      <c r="P95" t="s">
        <v>116</v>
      </c>
      <c r="Q95" t="s">
        <v>2767</v>
      </c>
      <c r="R95" t="s">
        <v>903</v>
      </c>
      <c r="S95" t="s">
        <v>186</v>
      </c>
      <c r="T95" t="s">
        <v>3148</v>
      </c>
      <c r="U95" t="s">
        <v>118</v>
      </c>
      <c r="V95">
        <v>6122624732</v>
      </c>
      <c r="W95" t="s">
        <v>2090</v>
      </c>
      <c r="X95">
        <v>6122624737</v>
      </c>
      <c r="Y95" t="s">
        <v>3149</v>
      </c>
      <c r="Z95" t="s">
        <v>2112</v>
      </c>
      <c r="AA95" t="s">
        <v>2170</v>
      </c>
      <c r="AB95" t="s">
        <v>119</v>
      </c>
      <c r="AC95" t="s">
        <v>336</v>
      </c>
      <c r="AD95">
        <v>55440</v>
      </c>
      <c r="AE95">
        <v>-43</v>
      </c>
      <c r="AF95" t="s">
        <v>120</v>
      </c>
      <c r="AG95" t="s">
        <v>2046</v>
      </c>
      <c r="AH95" t="s">
        <v>1961</v>
      </c>
      <c r="AI95" t="s">
        <v>953</v>
      </c>
      <c r="AJ95">
        <v>0</v>
      </c>
      <c r="AK95" t="s">
        <v>1675</v>
      </c>
      <c r="AL95" t="s">
        <v>1668</v>
      </c>
      <c r="AM95" t="s">
        <v>2153</v>
      </c>
      <c r="AN95" t="s">
        <v>1277</v>
      </c>
      <c r="AO95">
        <v>6122624720</v>
      </c>
      <c r="AP95" t="s">
        <v>2090</v>
      </c>
      <c r="AQ95">
        <v>6122624737</v>
      </c>
      <c r="AR95" t="s">
        <v>2202</v>
      </c>
      <c r="AS95" t="s">
        <v>2112</v>
      </c>
      <c r="AT95" t="s">
        <v>2170</v>
      </c>
      <c r="AU95" t="s">
        <v>119</v>
      </c>
      <c r="AV95" t="s">
        <v>336</v>
      </c>
      <c r="AW95">
        <v>55440</v>
      </c>
      <c r="AX95">
        <v>43</v>
      </c>
      <c r="AY95" t="s">
        <v>121</v>
      </c>
      <c r="AZ95" t="s">
        <v>122</v>
      </c>
      <c r="BA95" t="s">
        <v>1684</v>
      </c>
      <c r="BB95">
        <v>6122624719</v>
      </c>
      <c r="BC95" t="s">
        <v>2090</v>
      </c>
      <c r="BD95">
        <v>6122624737</v>
      </c>
      <c r="BE95" t="s">
        <v>123</v>
      </c>
      <c r="BF95" t="s">
        <v>2209</v>
      </c>
      <c r="BG95" t="s">
        <v>124</v>
      </c>
      <c r="BH95" t="s">
        <v>119</v>
      </c>
      <c r="BI95" t="s">
        <v>336</v>
      </c>
      <c r="BJ95">
        <v>55440</v>
      </c>
      <c r="BK95" t="s">
        <v>2170</v>
      </c>
      <c r="BL95" t="s">
        <v>186</v>
      </c>
      <c r="BM95" t="s">
        <v>3148</v>
      </c>
      <c r="BN95" t="s">
        <v>118</v>
      </c>
      <c r="BO95">
        <v>6122624732</v>
      </c>
      <c r="BP95" t="s">
        <v>2090</v>
      </c>
      <c r="BQ95">
        <v>6122624737</v>
      </c>
      <c r="BR95" t="s">
        <v>3149</v>
      </c>
      <c r="BS95" t="s">
        <v>2112</v>
      </c>
      <c r="BT95" t="s">
        <v>2170</v>
      </c>
      <c r="BU95" t="s">
        <v>119</v>
      </c>
      <c r="BV95" t="s">
        <v>336</v>
      </c>
      <c r="BW95">
        <v>55440</v>
      </c>
      <c r="BX95">
        <v>-43</v>
      </c>
      <c r="BY95" t="s">
        <v>370</v>
      </c>
    </row>
    <row r="96" spans="1:77" customFormat="1" x14ac:dyDescent="0.2">
      <c r="A96" s="504">
        <v>136</v>
      </c>
      <c r="B96">
        <v>1780630939</v>
      </c>
      <c r="C96" t="s">
        <v>473</v>
      </c>
      <c r="D96" t="s">
        <v>474</v>
      </c>
      <c r="E96" t="s">
        <v>3159</v>
      </c>
      <c r="F96" t="s">
        <v>2090</v>
      </c>
      <c r="H96" t="s">
        <v>475</v>
      </c>
      <c r="I96" t="s">
        <v>336</v>
      </c>
      <c r="J96">
        <v>56345</v>
      </c>
      <c r="K96">
        <v>3505</v>
      </c>
      <c r="L96">
        <v>3206325441</v>
      </c>
      <c r="M96">
        <v>3206315680</v>
      </c>
      <c r="N96" t="s">
        <v>115</v>
      </c>
      <c r="O96" t="s">
        <v>1485</v>
      </c>
      <c r="P96" t="s">
        <v>346</v>
      </c>
      <c r="Q96" t="s">
        <v>3160</v>
      </c>
      <c r="R96" t="s">
        <v>2199</v>
      </c>
      <c r="S96" t="s">
        <v>1255</v>
      </c>
      <c r="T96" t="s">
        <v>1256</v>
      </c>
      <c r="U96" t="s">
        <v>978</v>
      </c>
      <c r="V96">
        <v>3206315674</v>
      </c>
      <c r="W96" t="s">
        <v>2090</v>
      </c>
      <c r="X96">
        <v>3206315681</v>
      </c>
      <c r="Y96" t="s">
        <v>1257</v>
      </c>
      <c r="Z96" t="s">
        <v>2248</v>
      </c>
      <c r="AA96" t="s">
        <v>2170</v>
      </c>
      <c r="AB96" t="s">
        <v>474</v>
      </c>
      <c r="AC96" t="s">
        <v>336</v>
      </c>
      <c r="AD96">
        <v>56345</v>
      </c>
      <c r="AE96">
        <v>3596</v>
      </c>
      <c r="AF96" t="s">
        <v>2170</v>
      </c>
      <c r="AG96" t="s">
        <v>1676</v>
      </c>
      <c r="AH96" t="s">
        <v>952</v>
      </c>
      <c r="AI96" t="s">
        <v>953</v>
      </c>
      <c r="AJ96">
        <v>1</v>
      </c>
      <c r="AK96" t="s">
        <v>2768</v>
      </c>
      <c r="AL96" t="s">
        <v>2170</v>
      </c>
      <c r="AM96" t="s">
        <v>2170</v>
      </c>
      <c r="AN96" t="s">
        <v>2170</v>
      </c>
      <c r="AO96" t="s">
        <v>2170</v>
      </c>
      <c r="AP96" t="s">
        <v>2170</v>
      </c>
      <c r="AQ96" t="s">
        <v>2170</v>
      </c>
      <c r="AR96" t="s">
        <v>2170</v>
      </c>
      <c r="AS96" t="s">
        <v>2170</v>
      </c>
      <c r="AT96" t="s">
        <v>2170</v>
      </c>
      <c r="AU96" t="s">
        <v>2170</v>
      </c>
      <c r="AV96" t="s">
        <v>2170</v>
      </c>
      <c r="AW96" t="s">
        <v>2170</v>
      </c>
      <c r="AX96" t="s">
        <v>2170</v>
      </c>
      <c r="AY96" t="s">
        <v>2170</v>
      </c>
      <c r="AZ96" t="s">
        <v>2170</v>
      </c>
      <c r="BA96" t="s">
        <v>2170</v>
      </c>
      <c r="BB96" t="s">
        <v>2170</v>
      </c>
      <c r="BC96" t="s">
        <v>2170</v>
      </c>
      <c r="BD96" t="s">
        <v>2170</v>
      </c>
      <c r="BE96" t="s">
        <v>2170</v>
      </c>
      <c r="BF96" t="s">
        <v>2170</v>
      </c>
      <c r="BG96" t="s">
        <v>2170</v>
      </c>
      <c r="BH96" t="s">
        <v>2170</v>
      </c>
      <c r="BI96" t="s">
        <v>2170</v>
      </c>
      <c r="BJ96" t="s">
        <v>2170</v>
      </c>
      <c r="BK96" t="s">
        <v>2170</v>
      </c>
      <c r="BL96" t="s">
        <v>1255</v>
      </c>
      <c r="BM96" t="s">
        <v>1256</v>
      </c>
      <c r="BN96" t="s">
        <v>978</v>
      </c>
      <c r="BO96">
        <v>3206315674</v>
      </c>
      <c r="BP96" t="s">
        <v>2090</v>
      </c>
      <c r="BQ96">
        <v>3206315681</v>
      </c>
      <c r="BR96" t="s">
        <v>1257</v>
      </c>
      <c r="BS96" t="s">
        <v>2248</v>
      </c>
      <c r="BT96" t="s">
        <v>2170</v>
      </c>
      <c r="BU96" t="s">
        <v>474</v>
      </c>
      <c r="BV96" t="s">
        <v>336</v>
      </c>
      <c r="BW96">
        <v>56345</v>
      </c>
      <c r="BX96">
        <v>3596</v>
      </c>
      <c r="BY96" t="s">
        <v>370</v>
      </c>
    </row>
    <row r="97" spans="1:77" customFormat="1" x14ac:dyDescent="0.2">
      <c r="A97" s="504">
        <v>138</v>
      </c>
      <c r="B97">
        <v>1164400024</v>
      </c>
      <c r="C97" t="s">
        <v>2769</v>
      </c>
      <c r="D97" t="s">
        <v>263</v>
      </c>
      <c r="E97" t="s">
        <v>2770</v>
      </c>
      <c r="F97" t="s">
        <v>2090</v>
      </c>
      <c r="H97" t="s">
        <v>141</v>
      </c>
      <c r="I97" t="s">
        <v>336</v>
      </c>
      <c r="J97">
        <v>55066</v>
      </c>
      <c r="K97" t="s">
        <v>2090</v>
      </c>
      <c r="L97">
        <v>6512675000</v>
      </c>
      <c r="M97">
        <v>6513853448</v>
      </c>
      <c r="N97" t="s">
        <v>2899</v>
      </c>
      <c r="O97" t="s">
        <v>2900</v>
      </c>
      <c r="P97" t="s">
        <v>956</v>
      </c>
      <c r="Q97" t="s">
        <v>2901</v>
      </c>
      <c r="R97" t="s">
        <v>2902</v>
      </c>
      <c r="S97" t="s">
        <v>1631</v>
      </c>
      <c r="T97" t="s">
        <v>1632</v>
      </c>
      <c r="U97" t="s">
        <v>2172</v>
      </c>
      <c r="V97">
        <v>5075947197</v>
      </c>
      <c r="W97" t="s">
        <v>2090</v>
      </c>
      <c r="X97">
        <v>5075944874</v>
      </c>
      <c r="Y97" t="s">
        <v>1633</v>
      </c>
      <c r="Z97" t="s">
        <v>2903</v>
      </c>
      <c r="AA97" t="s">
        <v>357</v>
      </c>
      <c r="AB97" t="s">
        <v>193</v>
      </c>
      <c r="AC97" t="s">
        <v>336</v>
      </c>
      <c r="AD97">
        <v>56001</v>
      </c>
      <c r="AE97" t="s">
        <v>2170</v>
      </c>
      <c r="AF97" t="s">
        <v>194</v>
      </c>
      <c r="AG97" t="s">
        <v>1677</v>
      </c>
      <c r="AH97" t="s">
        <v>958</v>
      </c>
      <c r="AI97" t="s">
        <v>953</v>
      </c>
      <c r="AJ97">
        <v>0</v>
      </c>
      <c r="AK97" t="s">
        <v>2904</v>
      </c>
      <c r="AL97" t="s">
        <v>1631</v>
      </c>
      <c r="AM97" t="s">
        <v>1632</v>
      </c>
      <c r="AN97" t="s">
        <v>2172</v>
      </c>
      <c r="AO97">
        <v>5075947197</v>
      </c>
      <c r="AP97" t="s">
        <v>2090</v>
      </c>
      <c r="AQ97">
        <v>5075944874</v>
      </c>
      <c r="AR97" t="s">
        <v>1633</v>
      </c>
      <c r="AS97" t="s">
        <v>2903</v>
      </c>
      <c r="AT97" t="s">
        <v>357</v>
      </c>
      <c r="AU97" t="s">
        <v>193</v>
      </c>
      <c r="AV97" t="s">
        <v>336</v>
      </c>
      <c r="AW97">
        <v>56001</v>
      </c>
      <c r="AX97" t="s">
        <v>2170</v>
      </c>
      <c r="AY97" t="s">
        <v>2170</v>
      </c>
      <c r="AZ97" t="s">
        <v>2170</v>
      </c>
      <c r="BA97" t="s">
        <v>2170</v>
      </c>
      <c r="BB97" t="s">
        <v>2170</v>
      </c>
      <c r="BC97" t="s">
        <v>2170</v>
      </c>
      <c r="BD97" t="s">
        <v>2170</v>
      </c>
      <c r="BE97" t="s">
        <v>2170</v>
      </c>
      <c r="BF97" t="s">
        <v>2170</v>
      </c>
      <c r="BG97" t="s">
        <v>2170</v>
      </c>
      <c r="BH97" t="s">
        <v>2170</v>
      </c>
      <c r="BI97" t="s">
        <v>2170</v>
      </c>
      <c r="BJ97" t="s">
        <v>2170</v>
      </c>
      <c r="BK97" t="s">
        <v>2170</v>
      </c>
      <c r="BL97" t="s">
        <v>1631</v>
      </c>
      <c r="BM97" t="s">
        <v>1632</v>
      </c>
      <c r="BN97" t="s">
        <v>2172</v>
      </c>
      <c r="BO97">
        <v>5075947197</v>
      </c>
      <c r="BP97" t="s">
        <v>2090</v>
      </c>
      <c r="BQ97">
        <v>5075944874</v>
      </c>
      <c r="BR97" t="s">
        <v>1633</v>
      </c>
      <c r="BS97" t="s">
        <v>2903</v>
      </c>
      <c r="BT97" t="s">
        <v>357</v>
      </c>
      <c r="BU97" t="s">
        <v>193</v>
      </c>
      <c r="BV97" t="s">
        <v>336</v>
      </c>
      <c r="BW97">
        <v>56001</v>
      </c>
      <c r="BX97" t="s">
        <v>2170</v>
      </c>
      <c r="BY97" t="s">
        <v>370</v>
      </c>
    </row>
    <row r="98" spans="1:77" customFormat="1" x14ac:dyDescent="0.2">
      <c r="A98" s="504">
        <v>140</v>
      </c>
      <c r="B98">
        <v>1023086055</v>
      </c>
      <c r="C98" t="s">
        <v>2771</v>
      </c>
      <c r="D98" t="s">
        <v>243</v>
      </c>
      <c r="E98" t="s">
        <v>2347</v>
      </c>
      <c r="F98" t="s">
        <v>2090</v>
      </c>
      <c r="H98" t="s">
        <v>244</v>
      </c>
      <c r="I98" t="s">
        <v>336</v>
      </c>
      <c r="J98">
        <v>56470</v>
      </c>
      <c r="K98">
        <v>1431</v>
      </c>
      <c r="L98">
        <v>2187323311</v>
      </c>
      <c r="M98">
        <v>2187321368</v>
      </c>
      <c r="N98" t="s">
        <v>1315</v>
      </c>
      <c r="O98" t="s">
        <v>269</v>
      </c>
      <c r="P98" t="s">
        <v>1069</v>
      </c>
      <c r="Q98" t="s">
        <v>1316</v>
      </c>
      <c r="R98" t="s">
        <v>1841</v>
      </c>
      <c r="S98" t="s">
        <v>337</v>
      </c>
      <c r="T98" t="s">
        <v>1842</v>
      </c>
      <c r="U98" t="s">
        <v>1843</v>
      </c>
      <c r="V98">
        <v>5072802328</v>
      </c>
      <c r="W98" t="s">
        <v>2090</v>
      </c>
      <c r="X98">
        <v>5072802339</v>
      </c>
      <c r="Y98" t="s">
        <v>1844</v>
      </c>
      <c r="Z98" t="s">
        <v>2188</v>
      </c>
      <c r="AA98" t="s">
        <v>2170</v>
      </c>
      <c r="AB98" t="s">
        <v>941</v>
      </c>
      <c r="AC98" t="s">
        <v>336</v>
      </c>
      <c r="AD98">
        <v>55901</v>
      </c>
      <c r="AE98" t="s">
        <v>2170</v>
      </c>
      <c r="AF98" t="s">
        <v>3059</v>
      </c>
      <c r="AG98" t="s">
        <v>245</v>
      </c>
      <c r="AH98" t="s">
        <v>952</v>
      </c>
      <c r="AI98" t="s">
        <v>953</v>
      </c>
      <c r="AJ98">
        <v>1</v>
      </c>
      <c r="AK98" t="s">
        <v>246</v>
      </c>
      <c r="AL98" t="s">
        <v>1678</v>
      </c>
      <c r="AM98" t="s">
        <v>1679</v>
      </c>
      <c r="AN98" t="s">
        <v>341</v>
      </c>
      <c r="AO98">
        <v>2186163525</v>
      </c>
      <c r="AP98" t="s">
        <v>2090</v>
      </c>
      <c r="AQ98">
        <v>2187321368</v>
      </c>
      <c r="AR98" t="s">
        <v>1680</v>
      </c>
      <c r="AS98" t="s">
        <v>3161</v>
      </c>
      <c r="AT98" t="s">
        <v>2170</v>
      </c>
      <c r="AU98" t="s">
        <v>2189</v>
      </c>
      <c r="AV98" t="s">
        <v>336</v>
      </c>
      <c r="AW98">
        <v>56470</v>
      </c>
      <c r="AX98" t="s">
        <v>2170</v>
      </c>
      <c r="AY98" t="s">
        <v>2170</v>
      </c>
      <c r="AZ98" t="s">
        <v>2170</v>
      </c>
      <c r="BA98" t="s">
        <v>2170</v>
      </c>
      <c r="BB98" t="s">
        <v>2170</v>
      </c>
      <c r="BC98" t="s">
        <v>2170</v>
      </c>
      <c r="BD98" t="s">
        <v>2170</v>
      </c>
      <c r="BE98" t="s">
        <v>2170</v>
      </c>
      <c r="BF98" t="s">
        <v>2170</v>
      </c>
      <c r="BG98" t="s">
        <v>2170</v>
      </c>
      <c r="BH98" t="s">
        <v>2170</v>
      </c>
      <c r="BI98" t="s">
        <v>2170</v>
      </c>
      <c r="BJ98" t="s">
        <v>2170</v>
      </c>
      <c r="BK98" t="s">
        <v>2170</v>
      </c>
      <c r="BL98" t="s">
        <v>1678</v>
      </c>
      <c r="BM98" t="s">
        <v>1679</v>
      </c>
      <c r="BN98" t="s">
        <v>341</v>
      </c>
      <c r="BO98">
        <v>2186163525</v>
      </c>
      <c r="BP98" t="s">
        <v>2090</v>
      </c>
      <c r="BQ98">
        <v>2187321368</v>
      </c>
      <c r="BR98" t="s">
        <v>1680</v>
      </c>
      <c r="BS98" t="s">
        <v>3161</v>
      </c>
      <c r="BT98" t="s">
        <v>2170</v>
      </c>
      <c r="BU98" t="s">
        <v>2189</v>
      </c>
      <c r="BV98" t="s">
        <v>336</v>
      </c>
      <c r="BW98">
        <v>56470</v>
      </c>
      <c r="BX98" t="s">
        <v>2170</v>
      </c>
      <c r="BY98" t="s">
        <v>369</v>
      </c>
    </row>
    <row r="99" spans="1:77" customFormat="1" x14ac:dyDescent="0.2">
      <c r="A99" s="504">
        <v>141</v>
      </c>
      <c r="B99">
        <v>1134186273</v>
      </c>
      <c r="C99" t="s">
        <v>3162</v>
      </c>
      <c r="D99" t="s">
        <v>360</v>
      </c>
      <c r="E99" t="s">
        <v>2774</v>
      </c>
      <c r="F99" t="s">
        <v>2090</v>
      </c>
      <c r="H99" t="s">
        <v>1048</v>
      </c>
      <c r="I99" t="s">
        <v>336</v>
      </c>
      <c r="J99">
        <v>55102</v>
      </c>
      <c r="K99" t="s">
        <v>2090</v>
      </c>
      <c r="L99">
        <v>6512323000</v>
      </c>
      <c r="M99">
        <v>6512323518</v>
      </c>
      <c r="N99" t="s">
        <v>2624</v>
      </c>
      <c r="O99" t="s">
        <v>2620</v>
      </c>
      <c r="P99" t="s">
        <v>2621</v>
      </c>
      <c r="Q99" t="s">
        <v>2885</v>
      </c>
      <c r="R99" t="s">
        <v>2587</v>
      </c>
      <c r="S99" t="s">
        <v>204</v>
      </c>
      <c r="T99" t="s">
        <v>1267</v>
      </c>
      <c r="U99" t="s">
        <v>2591</v>
      </c>
      <c r="V99">
        <v>6126726736</v>
      </c>
      <c r="W99" t="s">
        <v>2090</v>
      </c>
      <c r="X99" t="s">
        <v>2090</v>
      </c>
      <c r="Y99" t="s">
        <v>2979</v>
      </c>
      <c r="Z99" t="s">
        <v>2980</v>
      </c>
      <c r="AA99" t="s">
        <v>2170</v>
      </c>
      <c r="AB99" t="s">
        <v>968</v>
      </c>
      <c r="AC99" t="s">
        <v>336</v>
      </c>
      <c r="AD99">
        <v>55104</v>
      </c>
      <c r="AE99">
        <v>3727</v>
      </c>
      <c r="AF99" t="s">
        <v>2978</v>
      </c>
      <c r="AG99" t="s">
        <v>361</v>
      </c>
      <c r="AH99" t="s">
        <v>2773</v>
      </c>
      <c r="AI99" t="s">
        <v>953</v>
      </c>
      <c r="AJ99">
        <v>0</v>
      </c>
      <c r="AK99" t="s">
        <v>1248</v>
      </c>
      <c r="AL99" t="s">
        <v>1620</v>
      </c>
      <c r="AM99" t="s">
        <v>2890</v>
      </c>
      <c r="AN99" t="s">
        <v>2007</v>
      </c>
      <c r="AO99">
        <v>6126727067</v>
      </c>
      <c r="AP99" t="s">
        <v>2090</v>
      </c>
      <c r="AQ99">
        <v>6126726986</v>
      </c>
      <c r="AR99" t="s">
        <v>1313</v>
      </c>
      <c r="AS99" t="s">
        <v>2889</v>
      </c>
      <c r="AT99" t="s">
        <v>2170</v>
      </c>
      <c r="AU99" t="s">
        <v>2307</v>
      </c>
      <c r="AV99" t="s">
        <v>1995</v>
      </c>
      <c r="AW99">
        <v>55104</v>
      </c>
      <c r="AX99" t="s">
        <v>2170</v>
      </c>
      <c r="AY99" t="s">
        <v>2170</v>
      </c>
      <c r="AZ99" t="s">
        <v>2170</v>
      </c>
      <c r="BA99" t="s">
        <v>2170</v>
      </c>
      <c r="BB99" t="s">
        <v>2170</v>
      </c>
      <c r="BC99" t="s">
        <v>2170</v>
      </c>
      <c r="BD99" t="s">
        <v>2170</v>
      </c>
      <c r="BE99" t="s">
        <v>2170</v>
      </c>
      <c r="BF99" t="s">
        <v>2170</v>
      </c>
      <c r="BG99" t="s">
        <v>2170</v>
      </c>
      <c r="BH99" t="s">
        <v>2170</v>
      </c>
      <c r="BI99" t="s">
        <v>2170</v>
      </c>
      <c r="BJ99" t="s">
        <v>2170</v>
      </c>
      <c r="BK99" t="s">
        <v>2170</v>
      </c>
      <c r="BL99" t="s">
        <v>2891</v>
      </c>
      <c r="BM99" t="s">
        <v>2892</v>
      </c>
      <c r="BN99" t="s">
        <v>2203</v>
      </c>
      <c r="BO99">
        <v>6126724923</v>
      </c>
      <c r="BP99" t="s">
        <v>2090</v>
      </c>
      <c r="BQ99" t="s">
        <v>2090</v>
      </c>
      <c r="BR99" t="s">
        <v>2893</v>
      </c>
      <c r="BS99" t="s">
        <v>2894</v>
      </c>
      <c r="BT99" t="s">
        <v>2170</v>
      </c>
      <c r="BU99" t="s">
        <v>2177</v>
      </c>
      <c r="BV99" t="s">
        <v>336</v>
      </c>
      <c r="BW99">
        <v>55104</v>
      </c>
      <c r="BX99" t="s">
        <v>2170</v>
      </c>
      <c r="BY99" t="s">
        <v>370</v>
      </c>
    </row>
    <row r="100" spans="1:77" customFormat="1" x14ac:dyDescent="0.2">
      <c r="A100" s="504">
        <v>142</v>
      </c>
      <c r="B100">
        <v>1568415974</v>
      </c>
      <c r="C100" t="s">
        <v>1076</v>
      </c>
      <c r="D100" t="s">
        <v>1074</v>
      </c>
      <c r="E100" t="s">
        <v>3163</v>
      </c>
      <c r="F100" t="s">
        <v>2090</v>
      </c>
      <c r="H100" t="s">
        <v>1075</v>
      </c>
      <c r="I100" t="s">
        <v>336</v>
      </c>
      <c r="J100">
        <v>56401</v>
      </c>
      <c r="K100">
        <v>3054</v>
      </c>
      <c r="L100">
        <v>2188292861</v>
      </c>
      <c r="M100">
        <v>2188283103</v>
      </c>
      <c r="N100" t="s">
        <v>3164</v>
      </c>
      <c r="O100" t="s">
        <v>3165</v>
      </c>
      <c r="P100" t="s">
        <v>3166</v>
      </c>
      <c r="Q100" t="s">
        <v>3167</v>
      </c>
      <c r="R100" t="s">
        <v>1839</v>
      </c>
      <c r="S100" t="s">
        <v>1481</v>
      </c>
      <c r="T100" t="s">
        <v>479</v>
      </c>
      <c r="U100" t="s">
        <v>2775</v>
      </c>
      <c r="V100">
        <v>2188287648</v>
      </c>
      <c r="W100" t="s">
        <v>2090</v>
      </c>
      <c r="X100">
        <v>2188287336</v>
      </c>
      <c r="Y100" t="s">
        <v>2776</v>
      </c>
      <c r="Z100" t="s">
        <v>2198</v>
      </c>
      <c r="AA100" t="s">
        <v>2170</v>
      </c>
      <c r="AB100" t="s">
        <v>1846</v>
      </c>
      <c r="AC100" t="s">
        <v>336</v>
      </c>
      <c r="AD100">
        <v>56401</v>
      </c>
      <c r="AE100">
        <v>3054</v>
      </c>
      <c r="AF100" t="s">
        <v>2170</v>
      </c>
      <c r="AG100" t="s">
        <v>1593</v>
      </c>
      <c r="AH100" t="s">
        <v>2091</v>
      </c>
      <c r="AI100" t="s">
        <v>953</v>
      </c>
      <c r="AJ100">
        <v>0</v>
      </c>
      <c r="AK100" t="s">
        <v>3168</v>
      </c>
      <c r="AL100" t="s">
        <v>2183</v>
      </c>
      <c r="AM100" t="s">
        <v>2184</v>
      </c>
      <c r="AN100" t="s">
        <v>2945</v>
      </c>
      <c r="AO100">
        <v>2187861419</v>
      </c>
      <c r="AP100" t="s">
        <v>2090</v>
      </c>
      <c r="AQ100" t="s">
        <v>2090</v>
      </c>
      <c r="AR100" t="s">
        <v>2185</v>
      </c>
      <c r="AS100" t="s">
        <v>2181</v>
      </c>
      <c r="AT100" t="s">
        <v>2170</v>
      </c>
      <c r="AU100" t="s">
        <v>1298</v>
      </c>
      <c r="AV100" t="s">
        <v>336</v>
      </c>
      <c r="AW100">
        <v>55805</v>
      </c>
      <c r="AX100" t="s">
        <v>2170</v>
      </c>
      <c r="AY100" t="s">
        <v>2170</v>
      </c>
      <c r="AZ100" t="s">
        <v>2170</v>
      </c>
      <c r="BA100" t="s">
        <v>2170</v>
      </c>
      <c r="BB100" t="s">
        <v>2170</v>
      </c>
      <c r="BC100" t="s">
        <v>2170</v>
      </c>
      <c r="BD100" t="s">
        <v>2170</v>
      </c>
      <c r="BE100" t="s">
        <v>2170</v>
      </c>
      <c r="BF100" t="s">
        <v>2170</v>
      </c>
      <c r="BG100" t="s">
        <v>2170</v>
      </c>
      <c r="BH100" t="s">
        <v>2170</v>
      </c>
      <c r="BI100" t="s">
        <v>2170</v>
      </c>
      <c r="BJ100" t="s">
        <v>2170</v>
      </c>
      <c r="BK100" t="s">
        <v>2170</v>
      </c>
      <c r="BL100" t="s">
        <v>1266</v>
      </c>
      <c r="BM100" t="s">
        <v>2946</v>
      </c>
      <c r="BN100" t="s">
        <v>2947</v>
      </c>
      <c r="BO100">
        <v>2187868169</v>
      </c>
      <c r="BP100" t="s">
        <v>2090</v>
      </c>
      <c r="BQ100">
        <v>2187868406</v>
      </c>
      <c r="BR100" t="s">
        <v>2948</v>
      </c>
      <c r="BS100" t="s">
        <v>2181</v>
      </c>
      <c r="BT100" t="s">
        <v>2170</v>
      </c>
      <c r="BU100" t="s">
        <v>1298</v>
      </c>
      <c r="BV100" t="s">
        <v>336</v>
      </c>
      <c r="BW100">
        <v>55805</v>
      </c>
      <c r="BX100" t="s">
        <v>2170</v>
      </c>
      <c r="BY100" t="s">
        <v>369</v>
      </c>
    </row>
    <row r="101" spans="1:77" customFormat="1" x14ac:dyDescent="0.2">
      <c r="A101" s="504">
        <v>143</v>
      </c>
      <c r="B101">
        <v>1801835970</v>
      </c>
      <c r="C101" t="s">
        <v>1300</v>
      </c>
      <c r="D101" t="s">
        <v>171</v>
      </c>
      <c r="E101" t="s">
        <v>1704</v>
      </c>
      <c r="F101" t="s">
        <v>2090</v>
      </c>
      <c r="H101" t="s">
        <v>977</v>
      </c>
      <c r="I101" t="s">
        <v>336</v>
      </c>
      <c r="J101">
        <v>55805</v>
      </c>
      <c r="K101">
        <v>2107</v>
      </c>
      <c r="L101">
        <v>2182495555</v>
      </c>
      <c r="M101">
        <v>2182492472</v>
      </c>
      <c r="N101" t="s">
        <v>1668</v>
      </c>
      <c r="O101" t="s">
        <v>2777</v>
      </c>
      <c r="P101" t="s">
        <v>3169</v>
      </c>
      <c r="Q101" t="s">
        <v>2778</v>
      </c>
      <c r="R101" t="s">
        <v>1681</v>
      </c>
      <c r="S101" t="s">
        <v>3170</v>
      </c>
      <c r="T101" t="s">
        <v>3171</v>
      </c>
      <c r="U101" t="s">
        <v>1508</v>
      </c>
      <c r="V101">
        <v>2182495488</v>
      </c>
      <c r="W101" t="s">
        <v>2090</v>
      </c>
      <c r="X101">
        <v>2182492472</v>
      </c>
      <c r="Y101" t="s">
        <v>3172</v>
      </c>
      <c r="Z101" t="s">
        <v>2217</v>
      </c>
      <c r="AA101" t="s">
        <v>2170</v>
      </c>
      <c r="AB101" t="s">
        <v>1298</v>
      </c>
      <c r="AC101" t="s">
        <v>336</v>
      </c>
      <c r="AD101">
        <v>55805</v>
      </c>
      <c r="AE101">
        <v>2193</v>
      </c>
      <c r="AF101" t="s">
        <v>2170</v>
      </c>
      <c r="AG101" t="s">
        <v>1302</v>
      </c>
      <c r="AH101" t="s">
        <v>1466</v>
      </c>
      <c r="AI101" t="s">
        <v>1060</v>
      </c>
      <c r="AJ101">
        <v>0</v>
      </c>
      <c r="AK101" t="s">
        <v>2014</v>
      </c>
      <c r="AL101" t="s">
        <v>3173</v>
      </c>
      <c r="AM101" t="s">
        <v>3174</v>
      </c>
      <c r="AN101" t="s">
        <v>3175</v>
      </c>
      <c r="AO101">
        <v>2182495769</v>
      </c>
      <c r="AP101" t="s">
        <v>2090</v>
      </c>
      <c r="AQ101">
        <v>2182492472</v>
      </c>
      <c r="AR101" t="s">
        <v>3176</v>
      </c>
      <c r="AS101" t="s">
        <v>2217</v>
      </c>
      <c r="AT101" t="s">
        <v>2170</v>
      </c>
      <c r="AU101" t="s">
        <v>1298</v>
      </c>
      <c r="AV101" t="s">
        <v>336</v>
      </c>
      <c r="AW101">
        <v>55805</v>
      </c>
      <c r="AX101">
        <v>2193</v>
      </c>
      <c r="AY101" t="s">
        <v>1866</v>
      </c>
      <c r="AZ101" t="s">
        <v>362</v>
      </c>
      <c r="BA101" t="s">
        <v>3177</v>
      </c>
      <c r="BB101">
        <v>2182495486</v>
      </c>
      <c r="BC101" t="s">
        <v>2090</v>
      </c>
      <c r="BD101">
        <v>2182492472</v>
      </c>
      <c r="BE101" t="s">
        <v>2015</v>
      </c>
      <c r="BF101" t="s">
        <v>1704</v>
      </c>
      <c r="BG101" t="s">
        <v>2170</v>
      </c>
      <c r="BH101" t="s">
        <v>1298</v>
      </c>
      <c r="BI101" t="s">
        <v>336</v>
      </c>
      <c r="BJ101">
        <v>55805</v>
      </c>
      <c r="BK101">
        <v>2193</v>
      </c>
      <c r="BL101" t="s">
        <v>3170</v>
      </c>
      <c r="BM101" t="s">
        <v>3171</v>
      </c>
      <c r="BN101" t="s">
        <v>1508</v>
      </c>
      <c r="BO101">
        <v>2182495488</v>
      </c>
      <c r="BP101" t="s">
        <v>2090</v>
      </c>
      <c r="BQ101">
        <v>2182492472</v>
      </c>
      <c r="BR101" t="s">
        <v>3172</v>
      </c>
      <c r="BS101" t="s">
        <v>2217</v>
      </c>
      <c r="BT101" t="s">
        <v>2170</v>
      </c>
      <c r="BU101" t="s">
        <v>1298</v>
      </c>
      <c r="BV101" t="s">
        <v>336</v>
      </c>
      <c r="BW101">
        <v>55805</v>
      </c>
      <c r="BX101">
        <v>2193</v>
      </c>
      <c r="BY101" t="s">
        <v>370</v>
      </c>
    </row>
    <row r="102" spans="1:77" customFormat="1" x14ac:dyDescent="0.2">
      <c r="A102" s="504">
        <v>145</v>
      </c>
      <c r="B102">
        <v>1841266194</v>
      </c>
      <c r="C102" t="s">
        <v>1992</v>
      </c>
      <c r="D102" t="s">
        <v>939</v>
      </c>
      <c r="E102" t="s">
        <v>3178</v>
      </c>
      <c r="F102" t="s">
        <v>2090</v>
      </c>
      <c r="H102" t="s">
        <v>940</v>
      </c>
      <c r="I102" t="s">
        <v>336</v>
      </c>
      <c r="J102">
        <v>55902</v>
      </c>
      <c r="K102">
        <v>1906</v>
      </c>
      <c r="L102">
        <v>5072664742</v>
      </c>
      <c r="M102">
        <v>5072840986</v>
      </c>
      <c r="N102" t="s">
        <v>2040</v>
      </c>
      <c r="O102" t="s">
        <v>2041</v>
      </c>
      <c r="P102" t="s">
        <v>2042</v>
      </c>
      <c r="Q102" t="s">
        <v>2043</v>
      </c>
      <c r="R102" t="s">
        <v>3179</v>
      </c>
      <c r="S102" t="s">
        <v>1243</v>
      </c>
      <c r="T102" t="s">
        <v>1244</v>
      </c>
      <c r="U102" t="s">
        <v>2779</v>
      </c>
      <c r="V102">
        <v>5072845761</v>
      </c>
      <c r="W102" t="s">
        <v>2090</v>
      </c>
      <c r="X102">
        <v>5072840986</v>
      </c>
      <c r="Y102" t="s">
        <v>1245</v>
      </c>
      <c r="Z102" t="s">
        <v>2289</v>
      </c>
      <c r="AA102" t="s">
        <v>2170</v>
      </c>
      <c r="AB102" t="s">
        <v>939</v>
      </c>
      <c r="AC102" t="s">
        <v>336</v>
      </c>
      <c r="AD102">
        <v>55905</v>
      </c>
      <c r="AE102" t="s">
        <v>2170</v>
      </c>
      <c r="AF102" t="s">
        <v>940</v>
      </c>
      <c r="AG102" t="s">
        <v>1682</v>
      </c>
      <c r="AH102" t="s">
        <v>958</v>
      </c>
      <c r="AI102" t="s">
        <v>953</v>
      </c>
      <c r="AJ102">
        <v>0</v>
      </c>
      <c r="AK102" t="s">
        <v>2780</v>
      </c>
      <c r="AL102" t="s">
        <v>2170</v>
      </c>
      <c r="AM102" t="s">
        <v>2170</v>
      </c>
      <c r="AN102" t="s">
        <v>2170</v>
      </c>
      <c r="AO102" t="s">
        <v>2170</v>
      </c>
      <c r="AP102" t="s">
        <v>2170</v>
      </c>
      <c r="AQ102" t="s">
        <v>2170</v>
      </c>
      <c r="AR102" t="s">
        <v>2170</v>
      </c>
      <c r="AS102" t="s">
        <v>2170</v>
      </c>
      <c r="AT102" t="s">
        <v>2170</v>
      </c>
      <c r="AU102" t="s">
        <v>2170</v>
      </c>
      <c r="AV102" t="s">
        <v>2170</v>
      </c>
      <c r="AW102" t="s">
        <v>2170</v>
      </c>
      <c r="AX102" t="s">
        <v>2170</v>
      </c>
      <c r="AY102" t="s">
        <v>2170</v>
      </c>
      <c r="AZ102" t="s">
        <v>2170</v>
      </c>
      <c r="BA102" t="s">
        <v>2170</v>
      </c>
      <c r="BB102" t="s">
        <v>2170</v>
      </c>
      <c r="BC102" t="s">
        <v>2170</v>
      </c>
      <c r="BD102" t="s">
        <v>2170</v>
      </c>
      <c r="BE102" t="s">
        <v>2170</v>
      </c>
      <c r="BF102" t="s">
        <v>2170</v>
      </c>
      <c r="BG102" t="s">
        <v>2170</v>
      </c>
      <c r="BH102" t="s">
        <v>2170</v>
      </c>
      <c r="BI102" t="s">
        <v>2170</v>
      </c>
      <c r="BJ102" t="s">
        <v>2170</v>
      </c>
      <c r="BK102" t="s">
        <v>2170</v>
      </c>
      <c r="BL102" t="s">
        <v>1243</v>
      </c>
      <c r="BM102" t="s">
        <v>1244</v>
      </c>
      <c r="BN102" t="s">
        <v>2779</v>
      </c>
      <c r="BO102">
        <v>5072845761</v>
      </c>
      <c r="BP102" t="s">
        <v>2090</v>
      </c>
      <c r="BQ102">
        <v>5072840986</v>
      </c>
      <c r="BR102" t="s">
        <v>1245</v>
      </c>
      <c r="BS102" t="s">
        <v>2289</v>
      </c>
      <c r="BT102" t="s">
        <v>2170</v>
      </c>
      <c r="BU102" t="s">
        <v>939</v>
      </c>
      <c r="BV102" t="s">
        <v>336</v>
      </c>
      <c r="BW102">
        <v>55905</v>
      </c>
      <c r="BX102" t="s">
        <v>2170</v>
      </c>
      <c r="BY102" t="s">
        <v>370</v>
      </c>
    </row>
    <row r="103" spans="1:77" customFormat="1" x14ac:dyDescent="0.2">
      <c r="A103" s="504">
        <v>147</v>
      </c>
      <c r="B103">
        <v>1679561088</v>
      </c>
      <c r="C103" t="s">
        <v>3180</v>
      </c>
      <c r="D103" t="s">
        <v>172</v>
      </c>
      <c r="E103" t="s">
        <v>1966</v>
      </c>
      <c r="F103" t="s">
        <v>2090</v>
      </c>
      <c r="H103" t="s">
        <v>173</v>
      </c>
      <c r="I103" t="s">
        <v>336</v>
      </c>
      <c r="J103">
        <v>56501</v>
      </c>
      <c r="K103" t="s">
        <v>2090</v>
      </c>
      <c r="L103">
        <v>2188475611</v>
      </c>
      <c r="M103">
        <v>2188470813</v>
      </c>
      <c r="N103" t="s">
        <v>339</v>
      </c>
      <c r="O103" t="s">
        <v>340</v>
      </c>
      <c r="P103" t="s">
        <v>3181</v>
      </c>
      <c r="Q103" t="s">
        <v>3182</v>
      </c>
      <c r="R103" t="s">
        <v>3183</v>
      </c>
      <c r="S103" t="s">
        <v>1310</v>
      </c>
      <c r="T103" t="s">
        <v>2012</v>
      </c>
      <c r="U103" t="s">
        <v>2186</v>
      </c>
      <c r="V103">
        <v>2183147816</v>
      </c>
      <c r="W103" t="s">
        <v>2090</v>
      </c>
      <c r="X103">
        <v>2188470899</v>
      </c>
      <c r="Y103" t="s">
        <v>2013</v>
      </c>
      <c r="Z103" t="s">
        <v>1966</v>
      </c>
      <c r="AA103" t="s">
        <v>2170</v>
      </c>
      <c r="AB103" t="s">
        <v>172</v>
      </c>
      <c r="AC103" t="s">
        <v>336</v>
      </c>
      <c r="AD103">
        <v>56501</v>
      </c>
      <c r="AE103">
        <v>3598</v>
      </c>
      <c r="AF103" t="s">
        <v>2170</v>
      </c>
      <c r="AG103" t="s">
        <v>1593</v>
      </c>
      <c r="AH103" t="s">
        <v>2091</v>
      </c>
      <c r="AI103" t="s">
        <v>953</v>
      </c>
      <c r="AJ103">
        <v>0</v>
      </c>
      <c r="AK103" t="s">
        <v>1862</v>
      </c>
      <c r="AL103" t="s">
        <v>1310</v>
      </c>
      <c r="AM103" t="s">
        <v>2012</v>
      </c>
      <c r="AN103" t="s">
        <v>2186</v>
      </c>
      <c r="AO103">
        <v>2183147816</v>
      </c>
      <c r="AP103" t="s">
        <v>2090</v>
      </c>
      <c r="AQ103">
        <v>2188470899</v>
      </c>
      <c r="AR103" t="s">
        <v>2013</v>
      </c>
      <c r="AS103" t="s">
        <v>1966</v>
      </c>
      <c r="AT103" t="s">
        <v>2170</v>
      </c>
      <c r="AU103" t="s">
        <v>172</v>
      </c>
      <c r="AV103" t="s">
        <v>336</v>
      </c>
      <c r="AW103">
        <v>56501</v>
      </c>
      <c r="AX103">
        <v>3598</v>
      </c>
      <c r="AY103" t="s">
        <v>339</v>
      </c>
      <c r="AZ103" t="s">
        <v>340</v>
      </c>
      <c r="BA103" t="s">
        <v>341</v>
      </c>
      <c r="BB103">
        <v>2183147852</v>
      </c>
      <c r="BC103" t="s">
        <v>2090</v>
      </c>
      <c r="BD103">
        <v>2188477674</v>
      </c>
      <c r="BE103" t="s">
        <v>2092</v>
      </c>
      <c r="BF103" t="s">
        <v>2093</v>
      </c>
      <c r="BG103" t="s">
        <v>2170</v>
      </c>
      <c r="BH103" t="s">
        <v>2094</v>
      </c>
      <c r="BI103" t="s">
        <v>1995</v>
      </c>
      <c r="BJ103" t="s">
        <v>2170</v>
      </c>
      <c r="BK103" t="s">
        <v>2170</v>
      </c>
      <c r="BL103" t="s">
        <v>339</v>
      </c>
      <c r="BM103" t="s">
        <v>340</v>
      </c>
      <c r="BN103" t="s">
        <v>341</v>
      </c>
      <c r="BO103">
        <v>2183147852</v>
      </c>
      <c r="BP103" t="s">
        <v>2090</v>
      </c>
      <c r="BQ103">
        <v>2188477674</v>
      </c>
      <c r="BR103" t="s">
        <v>2092</v>
      </c>
      <c r="BS103" t="s">
        <v>2093</v>
      </c>
      <c r="BT103" t="s">
        <v>2170</v>
      </c>
      <c r="BU103" t="s">
        <v>2094</v>
      </c>
      <c r="BV103" t="s">
        <v>1995</v>
      </c>
      <c r="BW103" t="s">
        <v>2170</v>
      </c>
      <c r="BX103" t="s">
        <v>2170</v>
      </c>
      <c r="BY103" t="s">
        <v>370</v>
      </c>
    </row>
    <row r="104" spans="1:77" customFormat="1" x14ac:dyDescent="0.2">
      <c r="A104" s="504">
        <v>148</v>
      </c>
      <c r="B104">
        <v>1457393035</v>
      </c>
      <c r="C104" t="s">
        <v>174</v>
      </c>
      <c r="D104" t="s">
        <v>171</v>
      </c>
      <c r="E104" t="s">
        <v>3184</v>
      </c>
      <c r="F104" t="s">
        <v>2090</v>
      </c>
      <c r="H104" t="s">
        <v>977</v>
      </c>
      <c r="I104" t="s">
        <v>336</v>
      </c>
      <c r="J104">
        <v>55805</v>
      </c>
      <c r="K104">
        <v>1984</v>
      </c>
      <c r="L104">
        <v>2187864000</v>
      </c>
      <c r="M104">
        <v>2187868406</v>
      </c>
      <c r="N104" t="s">
        <v>251</v>
      </c>
      <c r="O104" t="s">
        <v>3084</v>
      </c>
      <c r="P104" t="s">
        <v>458</v>
      </c>
      <c r="Q104" t="s">
        <v>3185</v>
      </c>
      <c r="R104" t="s">
        <v>1839</v>
      </c>
      <c r="S104" t="s">
        <v>1490</v>
      </c>
      <c r="T104" t="s">
        <v>1491</v>
      </c>
      <c r="U104" t="s">
        <v>2097</v>
      </c>
      <c r="V104">
        <v>2185760894</v>
      </c>
      <c r="W104" t="s">
        <v>2090</v>
      </c>
      <c r="X104">
        <v>2187868406</v>
      </c>
      <c r="Y104" t="s">
        <v>2121</v>
      </c>
      <c r="Z104" t="s">
        <v>2181</v>
      </c>
      <c r="AA104" t="s">
        <v>2170</v>
      </c>
      <c r="AB104" t="s">
        <v>1298</v>
      </c>
      <c r="AC104" t="s">
        <v>336</v>
      </c>
      <c r="AD104">
        <v>55805</v>
      </c>
      <c r="AE104">
        <v>1984</v>
      </c>
      <c r="AF104" t="s">
        <v>3186</v>
      </c>
      <c r="AG104" t="s">
        <v>1593</v>
      </c>
      <c r="AH104" t="s">
        <v>2091</v>
      </c>
      <c r="AI104" t="s">
        <v>953</v>
      </c>
      <c r="AJ104">
        <v>0</v>
      </c>
      <c r="AK104" t="s">
        <v>3187</v>
      </c>
      <c r="AL104" t="s">
        <v>2183</v>
      </c>
      <c r="AM104" t="s">
        <v>2184</v>
      </c>
      <c r="AN104" t="s">
        <v>2945</v>
      </c>
      <c r="AO104">
        <v>2187861419</v>
      </c>
      <c r="AP104" t="s">
        <v>2090</v>
      </c>
      <c r="AQ104" t="s">
        <v>2090</v>
      </c>
      <c r="AR104" t="s">
        <v>2185</v>
      </c>
      <c r="AS104" t="s">
        <v>2181</v>
      </c>
      <c r="AT104" t="s">
        <v>2170</v>
      </c>
      <c r="AU104" t="s">
        <v>1298</v>
      </c>
      <c r="AV104" t="s">
        <v>336</v>
      </c>
      <c r="AW104">
        <v>55805</v>
      </c>
      <c r="AX104" t="s">
        <v>2170</v>
      </c>
      <c r="AY104" t="s">
        <v>2170</v>
      </c>
      <c r="AZ104" t="s">
        <v>2170</v>
      </c>
      <c r="BA104" t="s">
        <v>2170</v>
      </c>
      <c r="BB104" t="s">
        <v>2170</v>
      </c>
      <c r="BC104" t="s">
        <v>2170</v>
      </c>
      <c r="BD104" t="s">
        <v>2170</v>
      </c>
      <c r="BE104" t="s">
        <v>2170</v>
      </c>
      <c r="BF104" t="s">
        <v>2170</v>
      </c>
      <c r="BG104" t="s">
        <v>2170</v>
      </c>
      <c r="BH104" t="s">
        <v>2170</v>
      </c>
      <c r="BI104" t="s">
        <v>2170</v>
      </c>
      <c r="BJ104" t="s">
        <v>2170</v>
      </c>
      <c r="BK104" t="s">
        <v>2170</v>
      </c>
      <c r="BL104" t="s">
        <v>1266</v>
      </c>
      <c r="BM104" t="s">
        <v>2946</v>
      </c>
      <c r="BN104" t="s">
        <v>2947</v>
      </c>
      <c r="BO104">
        <v>2187868169</v>
      </c>
      <c r="BP104" t="s">
        <v>2090</v>
      </c>
      <c r="BQ104">
        <v>2187868406</v>
      </c>
      <c r="BR104" t="s">
        <v>2948</v>
      </c>
      <c r="BS104" t="s">
        <v>2181</v>
      </c>
      <c r="BT104" t="s">
        <v>2170</v>
      </c>
      <c r="BU104" t="s">
        <v>1298</v>
      </c>
      <c r="BV104" t="s">
        <v>336</v>
      </c>
      <c r="BW104">
        <v>55805</v>
      </c>
      <c r="BX104" t="s">
        <v>2170</v>
      </c>
      <c r="BY104" t="s">
        <v>370</v>
      </c>
    </row>
    <row r="105" spans="1:77" customFormat="1" x14ac:dyDescent="0.2">
      <c r="A105" s="504">
        <v>149</v>
      </c>
      <c r="B105">
        <v>1740553932</v>
      </c>
      <c r="C105" t="s">
        <v>3188</v>
      </c>
      <c r="D105" t="s">
        <v>897</v>
      </c>
      <c r="E105" t="s">
        <v>2291</v>
      </c>
      <c r="F105" t="s">
        <v>2090</v>
      </c>
      <c r="H105" t="s">
        <v>268</v>
      </c>
      <c r="I105" t="s">
        <v>336</v>
      </c>
      <c r="J105">
        <v>56378</v>
      </c>
      <c r="K105">
        <v>1010</v>
      </c>
      <c r="L105">
        <v>3203522221</v>
      </c>
      <c r="M105">
        <v>3203525150</v>
      </c>
      <c r="N105" t="s">
        <v>898</v>
      </c>
      <c r="O105" t="s">
        <v>899</v>
      </c>
      <c r="P105" t="s">
        <v>270</v>
      </c>
      <c r="Q105" t="s">
        <v>2290</v>
      </c>
      <c r="R105" t="s">
        <v>3056</v>
      </c>
      <c r="S105" t="s">
        <v>1315</v>
      </c>
      <c r="T105" t="s">
        <v>3066</v>
      </c>
      <c r="U105" t="s">
        <v>2142</v>
      </c>
      <c r="V105">
        <v>3202512700</v>
      </c>
      <c r="W105" t="s">
        <v>2090</v>
      </c>
      <c r="X105">
        <v>3202555737</v>
      </c>
      <c r="Y105" t="s">
        <v>3067</v>
      </c>
      <c r="Z105" t="s">
        <v>2252</v>
      </c>
      <c r="AA105" t="s">
        <v>2170</v>
      </c>
      <c r="AB105" t="s">
        <v>649</v>
      </c>
      <c r="AC105" t="s">
        <v>336</v>
      </c>
      <c r="AD105">
        <v>56303</v>
      </c>
      <c r="AE105">
        <v>1901</v>
      </c>
      <c r="AF105" t="s">
        <v>2170</v>
      </c>
      <c r="AG105" t="s">
        <v>482</v>
      </c>
      <c r="AH105" t="s">
        <v>1308</v>
      </c>
      <c r="AI105" t="s">
        <v>342</v>
      </c>
      <c r="AJ105">
        <v>1</v>
      </c>
      <c r="AK105" t="s">
        <v>1246</v>
      </c>
      <c r="AL105" t="s">
        <v>2140</v>
      </c>
      <c r="AM105" t="s">
        <v>2141</v>
      </c>
      <c r="AN105" t="s">
        <v>3057</v>
      </c>
      <c r="AO105">
        <v>3202512700</v>
      </c>
      <c r="AP105">
        <v>54553</v>
      </c>
      <c r="AQ105">
        <v>3202555737</v>
      </c>
      <c r="AR105" t="s">
        <v>2143</v>
      </c>
      <c r="AS105" t="s">
        <v>2252</v>
      </c>
      <c r="AT105" t="s">
        <v>2170</v>
      </c>
      <c r="AU105" t="s">
        <v>649</v>
      </c>
      <c r="AV105" t="s">
        <v>336</v>
      </c>
      <c r="AW105">
        <v>56303</v>
      </c>
      <c r="AX105">
        <v>1901</v>
      </c>
      <c r="AY105" t="s">
        <v>898</v>
      </c>
      <c r="AZ105" t="s">
        <v>899</v>
      </c>
      <c r="BA105" t="s">
        <v>270</v>
      </c>
      <c r="BB105">
        <v>3203511701</v>
      </c>
      <c r="BC105" t="s">
        <v>2090</v>
      </c>
      <c r="BD105">
        <v>3203525150</v>
      </c>
      <c r="BE105" t="s">
        <v>1683</v>
      </c>
      <c r="BF105" t="s">
        <v>2291</v>
      </c>
      <c r="BG105" t="s">
        <v>2170</v>
      </c>
      <c r="BH105" t="s">
        <v>900</v>
      </c>
      <c r="BI105" t="s">
        <v>336</v>
      </c>
      <c r="BJ105">
        <v>56378</v>
      </c>
      <c r="BK105" t="s">
        <v>2170</v>
      </c>
      <c r="BL105" t="s">
        <v>1263</v>
      </c>
      <c r="BM105" t="s">
        <v>177</v>
      </c>
      <c r="BN105" t="s">
        <v>961</v>
      </c>
      <c r="BO105">
        <v>3202561760</v>
      </c>
      <c r="BP105" t="s">
        <v>2090</v>
      </c>
      <c r="BQ105">
        <v>3202561814</v>
      </c>
      <c r="BR105" t="s">
        <v>1646</v>
      </c>
      <c r="BS105" t="s">
        <v>2265</v>
      </c>
      <c r="BT105" t="s">
        <v>2170</v>
      </c>
      <c r="BU105" t="s">
        <v>1152</v>
      </c>
      <c r="BV105" t="s">
        <v>336</v>
      </c>
      <c r="BW105">
        <v>56352</v>
      </c>
      <c r="BX105">
        <v>1098</v>
      </c>
      <c r="BY105" t="s">
        <v>370</v>
      </c>
    </row>
    <row r="106" spans="1:77" customFormat="1" x14ac:dyDescent="0.2">
      <c r="A106" s="504">
        <v>151</v>
      </c>
      <c r="B106">
        <v>1629006457</v>
      </c>
      <c r="C106" t="s">
        <v>698</v>
      </c>
      <c r="D106" t="s">
        <v>360</v>
      </c>
      <c r="E106" t="s">
        <v>2527</v>
      </c>
      <c r="F106" t="s">
        <v>2090</v>
      </c>
      <c r="H106" t="s">
        <v>1048</v>
      </c>
      <c r="I106" t="s">
        <v>336</v>
      </c>
      <c r="J106">
        <v>55101</v>
      </c>
      <c r="K106">
        <v>2502</v>
      </c>
      <c r="L106">
        <v>6512542191</v>
      </c>
      <c r="M106">
        <v>6512542194</v>
      </c>
      <c r="N106" t="s">
        <v>2052</v>
      </c>
      <c r="O106" t="s">
        <v>2053</v>
      </c>
      <c r="P106" t="s">
        <v>1054</v>
      </c>
      <c r="Q106" t="s">
        <v>2054</v>
      </c>
      <c r="R106" t="s">
        <v>1330</v>
      </c>
      <c r="S106" t="s">
        <v>648</v>
      </c>
      <c r="T106" t="s">
        <v>699</v>
      </c>
      <c r="U106" t="s">
        <v>118</v>
      </c>
      <c r="V106">
        <v>6512541614</v>
      </c>
      <c r="W106" t="s">
        <v>2090</v>
      </c>
      <c r="X106">
        <v>6512540806</v>
      </c>
      <c r="Y106" t="s">
        <v>700</v>
      </c>
      <c r="Z106" t="s">
        <v>2298</v>
      </c>
      <c r="AA106" t="s">
        <v>2170</v>
      </c>
      <c r="AB106" t="s">
        <v>360</v>
      </c>
      <c r="AC106" t="s">
        <v>336</v>
      </c>
      <c r="AD106">
        <v>55101</v>
      </c>
      <c r="AE106">
        <v>2595</v>
      </c>
      <c r="AF106" t="s">
        <v>1048</v>
      </c>
      <c r="AG106" t="s">
        <v>701</v>
      </c>
      <c r="AH106" t="s">
        <v>702</v>
      </c>
      <c r="AI106" t="s">
        <v>953</v>
      </c>
      <c r="AJ106">
        <v>0</v>
      </c>
      <c r="AK106" t="s">
        <v>2055</v>
      </c>
      <c r="AL106" t="s">
        <v>2781</v>
      </c>
      <c r="AM106" t="s">
        <v>2782</v>
      </c>
      <c r="AN106" t="s">
        <v>1277</v>
      </c>
      <c r="AO106">
        <v>6512541827</v>
      </c>
      <c r="AP106" t="s">
        <v>2090</v>
      </c>
      <c r="AQ106" t="s">
        <v>2090</v>
      </c>
      <c r="AR106" t="s">
        <v>2783</v>
      </c>
      <c r="AS106" t="s">
        <v>2170</v>
      </c>
      <c r="AT106" t="s">
        <v>2170</v>
      </c>
      <c r="AU106" t="s">
        <v>2170</v>
      </c>
      <c r="AV106" t="s">
        <v>1995</v>
      </c>
      <c r="AW106" t="s">
        <v>2170</v>
      </c>
      <c r="AX106" t="s">
        <v>2170</v>
      </c>
      <c r="AY106" t="s">
        <v>2170</v>
      </c>
      <c r="AZ106" t="s">
        <v>2170</v>
      </c>
      <c r="BA106" t="s">
        <v>2170</v>
      </c>
      <c r="BB106" t="s">
        <v>2170</v>
      </c>
      <c r="BC106" t="s">
        <v>2170</v>
      </c>
      <c r="BD106" t="s">
        <v>2170</v>
      </c>
      <c r="BE106" t="s">
        <v>2170</v>
      </c>
      <c r="BF106" t="s">
        <v>2170</v>
      </c>
      <c r="BG106" t="s">
        <v>2170</v>
      </c>
      <c r="BH106" t="s">
        <v>2170</v>
      </c>
      <c r="BI106" t="s">
        <v>2170</v>
      </c>
      <c r="BJ106" t="s">
        <v>2170</v>
      </c>
      <c r="BK106" t="s">
        <v>2170</v>
      </c>
      <c r="BL106" t="s">
        <v>2170</v>
      </c>
      <c r="BM106" t="s">
        <v>2170</v>
      </c>
      <c r="BN106" t="s">
        <v>2170</v>
      </c>
      <c r="BO106" t="s">
        <v>2170</v>
      </c>
      <c r="BP106" t="s">
        <v>2170</v>
      </c>
      <c r="BQ106" t="s">
        <v>2170</v>
      </c>
      <c r="BR106" t="s">
        <v>2170</v>
      </c>
      <c r="BS106" t="s">
        <v>2170</v>
      </c>
      <c r="BT106" t="s">
        <v>2170</v>
      </c>
      <c r="BU106" t="s">
        <v>2170</v>
      </c>
      <c r="BV106" t="s">
        <v>2170</v>
      </c>
      <c r="BW106" t="s">
        <v>2170</v>
      </c>
      <c r="BX106" t="s">
        <v>2170</v>
      </c>
      <c r="BY106" t="s">
        <v>370</v>
      </c>
    </row>
    <row r="107" spans="1:77" customFormat="1" x14ac:dyDescent="0.2">
      <c r="A107" s="504">
        <v>152</v>
      </c>
      <c r="B107">
        <v>1487678942</v>
      </c>
      <c r="C107" t="s">
        <v>190</v>
      </c>
      <c r="D107" t="s">
        <v>191</v>
      </c>
      <c r="E107" t="s">
        <v>2281</v>
      </c>
      <c r="F107" t="s">
        <v>2090</v>
      </c>
      <c r="H107" t="s">
        <v>192</v>
      </c>
      <c r="I107" t="s">
        <v>336</v>
      </c>
      <c r="J107">
        <v>56267</v>
      </c>
      <c r="K107">
        <v>1408</v>
      </c>
      <c r="L107">
        <v>3205891313</v>
      </c>
      <c r="M107">
        <v>3205893533</v>
      </c>
      <c r="N107" t="s">
        <v>3189</v>
      </c>
      <c r="O107" t="s">
        <v>3190</v>
      </c>
      <c r="P107" t="s">
        <v>1054</v>
      </c>
      <c r="Q107" t="s">
        <v>2784</v>
      </c>
      <c r="R107" t="s">
        <v>3191</v>
      </c>
      <c r="S107" t="s">
        <v>142</v>
      </c>
      <c r="T107" t="s">
        <v>3192</v>
      </c>
      <c r="U107" t="s">
        <v>961</v>
      </c>
      <c r="V107">
        <v>3205897627</v>
      </c>
      <c r="W107" t="s">
        <v>2090</v>
      </c>
      <c r="X107">
        <v>3205897686</v>
      </c>
      <c r="Y107" t="s">
        <v>3193</v>
      </c>
      <c r="Z107" t="s">
        <v>2281</v>
      </c>
      <c r="AA107" t="s">
        <v>2170</v>
      </c>
      <c r="AB107" t="s">
        <v>191</v>
      </c>
      <c r="AC107" t="s">
        <v>336</v>
      </c>
      <c r="AD107">
        <v>56267</v>
      </c>
      <c r="AE107" t="s">
        <v>2170</v>
      </c>
      <c r="AF107" t="s">
        <v>192</v>
      </c>
      <c r="AG107" t="s">
        <v>3194</v>
      </c>
      <c r="AH107" t="s">
        <v>351</v>
      </c>
      <c r="AI107" t="s">
        <v>2170</v>
      </c>
      <c r="AJ107">
        <v>1</v>
      </c>
      <c r="AK107" t="s">
        <v>2785</v>
      </c>
      <c r="AL107" t="s">
        <v>2170</v>
      </c>
      <c r="AM107" t="s">
        <v>2170</v>
      </c>
      <c r="AN107" t="s">
        <v>2170</v>
      </c>
      <c r="AO107" t="s">
        <v>2170</v>
      </c>
      <c r="AP107" t="s">
        <v>2170</v>
      </c>
      <c r="AQ107" t="s">
        <v>2170</v>
      </c>
      <c r="AR107" t="s">
        <v>2170</v>
      </c>
      <c r="AS107" t="s">
        <v>2170</v>
      </c>
      <c r="AT107" t="s">
        <v>2170</v>
      </c>
      <c r="AU107" t="s">
        <v>2170</v>
      </c>
      <c r="AV107" t="s">
        <v>2170</v>
      </c>
      <c r="AW107" t="s">
        <v>2170</v>
      </c>
      <c r="AX107" t="s">
        <v>2170</v>
      </c>
      <c r="AY107" t="s">
        <v>2170</v>
      </c>
      <c r="AZ107" t="s">
        <v>2170</v>
      </c>
      <c r="BA107" t="s">
        <v>2170</v>
      </c>
      <c r="BB107" t="s">
        <v>2170</v>
      </c>
      <c r="BC107" t="s">
        <v>2170</v>
      </c>
      <c r="BD107" t="s">
        <v>2170</v>
      </c>
      <c r="BE107" t="s">
        <v>2170</v>
      </c>
      <c r="BF107" t="s">
        <v>2170</v>
      </c>
      <c r="BG107" t="s">
        <v>2170</v>
      </c>
      <c r="BH107" t="s">
        <v>2170</v>
      </c>
      <c r="BI107" t="s">
        <v>2170</v>
      </c>
      <c r="BJ107" t="s">
        <v>2170</v>
      </c>
      <c r="BK107" t="s">
        <v>2170</v>
      </c>
      <c r="BL107" t="s">
        <v>142</v>
      </c>
      <c r="BM107" t="s">
        <v>3192</v>
      </c>
      <c r="BN107" t="s">
        <v>961</v>
      </c>
      <c r="BO107">
        <v>3205897627</v>
      </c>
      <c r="BP107" t="s">
        <v>2090</v>
      </c>
      <c r="BQ107">
        <v>3205897686</v>
      </c>
      <c r="BR107" t="s">
        <v>3193</v>
      </c>
      <c r="BS107" t="s">
        <v>2281</v>
      </c>
      <c r="BT107" t="s">
        <v>2170</v>
      </c>
      <c r="BU107" t="s">
        <v>191</v>
      </c>
      <c r="BV107" t="s">
        <v>336</v>
      </c>
      <c r="BW107">
        <v>56267</v>
      </c>
      <c r="BX107" t="s">
        <v>2170</v>
      </c>
      <c r="BY107" t="s">
        <v>370</v>
      </c>
    </row>
    <row r="108" spans="1:77" customFormat="1" x14ac:dyDescent="0.2">
      <c r="A108" s="504">
        <v>153</v>
      </c>
      <c r="B108">
        <v>1174529002</v>
      </c>
      <c r="C108" t="s">
        <v>2786</v>
      </c>
      <c r="D108" t="s">
        <v>1058</v>
      </c>
      <c r="E108" t="s">
        <v>2190</v>
      </c>
      <c r="F108" t="s">
        <v>2090</v>
      </c>
      <c r="H108" t="s">
        <v>971</v>
      </c>
      <c r="I108" t="s">
        <v>336</v>
      </c>
      <c r="J108">
        <v>56215</v>
      </c>
      <c r="K108" t="s">
        <v>2090</v>
      </c>
      <c r="L108">
        <v>3208434232</v>
      </c>
      <c r="M108">
        <v>3208434172</v>
      </c>
      <c r="N108" t="s">
        <v>337</v>
      </c>
      <c r="O108" t="s">
        <v>2100</v>
      </c>
      <c r="P108" t="s">
        <v>2787</v>
      </c>
      <c r="Q108" t="s">
        <v>2101</v>
      </c>
      <c r="R108" t="s">
        <v>2191</v>
      </c>
      <c r="S108" t="s">
        <v>337</v>
      </c>
      <c r="T108" t="s">
        <v>2100</v>
      </c>
      <c r="U108" t="s">
        <v>2787</v>
      </c>
      <c r="V108">
        <v>3203148461</v>
      </c>
      <c r="W108" t="s">
        <v>2090</v>
      </c>
      <c r="X108">
        <v>3208434172</v>
      </c>
      <c r="Y108" t="s">
        <v>2101</v>
      </c>
      <c r="Z108" t="s">
        <v>2192</v>
      </c>
      <c r="AA108" t="s">
        <v>2170</v>
      </c>
      <c r="AB108" t="s">
        <v>1058</v>
      </c>
      <c r="AC108" t="s">
        <v>336</v>
      </c>
      <c r="AD108">
        <v>56215</v>
      </c>
      <c r="AE108" t="s">
        <v>2170</v>
      </c>
      <c r="AF108" t="s">
        <v>971</v>
      </c>
      <c r="AG108" t="s">
        <v>2101</v>
      </c>
      <c r="AH108" t="s">
        <v>1308</v>
      </c>
      <c r="AI108" t="s">
        <v>1060</v>
      </c>
      <c r="AJ108">
        <v>1</v>
      </c>
      <c r="AK108" t="s">
        <v>2193</v>
      </c>
      <c r="AL108" t="s">
        <v>1311</v>
      </c>
      <c r="AM108" t="s">
        <v>2194</v>
      </c>
      <c r="AN108" t="s">
        <v>1318</v>
      </c>
      <c r="AO108">
        <v>3208431372</v>
      </c>
      <c r="AP108" t="s">
        <v>2090</v>
      </c>
      <c r="AQ108">
        <v>3208434172</v>
      </c>
      <c r="AR108" t="s">
        <v>2195</v>
      </c>
      <c r="AS108" t="s">
        <v>2170</v>
      </c>
      <c r="AT108" t="s">
        <v>2170</v>
      </c>
      <c r="AU108" t="s">
        <v>2170</v>
      </c>
      <c r="AV108" t="s">
        <v>336</v>
      </c>
      <c r="AW108" t="s">
        <v>2170</v>
      </c>
      <c r="AX108" t="s">
        <v>2170</v>
      </c>
      <c r="AY108" t="s">
        <v>2170</v>
      </c>
      <c r="AZ108" t="s">
        <v>2170</v>
      </c>
      <c r="BA108" t="s">
        <v>2170</v>
      </c>
      <c r="BB108" t="s">
        <v>2170</v>
      </c>
      <c r="BC108" t="s">
        <v>2170</v>
      </c>
      <c r="BD108" t="s">
        <v>2170</v>
      </c>
      <c r="BE108" t="s">
        <v>2170</v>
      </c>
      <c r="BF108" t="s">
        <v>2170</v>
      </c>
      <c r="BG108" t="s">
        <v>2170</v>
      </c>
      <c r="BH108" t="s">
        <v>2170</v>
      </c>
      <c r="BI108" t="s">
        <v>2170</v>
      </c>
      <c r="BJ108" t="s">
        <v>2170</v>
      </c>
      <c r="BK108" t="s">
        <v>2170</v>
      </c>
      <c r="BL108" t="s">
        <v>337</v>
      </c>
      <c r="BM108" t="s">
        <v>2100</v>
      </c>
      <c r="BN108" t="s">
        <v>2787</v>
      </c>
      <c r="BO108">
        <v>3203148461</v>
      </c>
      <c r="BP108" t="s">
        <v>2090</v>
      </c>
      <c r="BQ108">
        <v>3208434172</v>
      </c>
      <c r="BR108" t="s">
        <v>2101</v>
      </c>
      <c r="BS108" t="s">
        <v>2192</v>
      </c>
      <c r="BT108" t="s">
        <v>2170</v>
      </c>
      <c r="BU108" t="s">
        <v>1058</v>
      </c>
      <c r="BV108" t="s">
        <v>336</v>
      </c>
      <c r="BW108">
        <v>56215</v>
      </c>
      <c r="BX108" t="s">
        <v>2170</v>
      </c>
      <c r="BY108" t="s">
        <v>368</v>
      </c>
    </row>
    <row r="109" spans="1:77" customFormat="1" x14ac:dyDescent="0.2">
      <c r="A109" s="504">
        <v>156</v>
      </c>
      <c r="B109">
        <v>1003851171</v>
      </c>
      <c r="C109" t="s">
        <v>1685</v>
      </c>
      <c r="D109" t="s">
        <v>1462</v>
      </c>
      <c r="E109" t="s">
        <v>3195</v>
      </c>
      <c r="F109" t="s">
        <v>2090</v>
      </c>
      <c r="H109" t="s">
        <v>1148</v>
      </c>
      <c r="I109" t="s">
        <v>336</v>
      </c>
      <c r="J109">
        <v>56175</v>
      </c>
      <c r="K109">
        <v>1536</v>
      </c>
      <c r="L109">
        <v>5076293200</v>
      </c>
      <c r="M109">
        <v>5076293202</v>
      </c>
      <c r="N109" t="s">
        <v>168</v>
      </c>
      <c r="O109" t="s">
        <v>1250</v>
      </c>
      <c r="P109" t="s">
        <v>346</v>
      </c>
      <c r="Q109" t="s">
        <v>2064</v>
      </c>
      <c r="R109" t="s">
        <v>2809</v>
      </c>
      <c r="S109" t="s">
        <v>2104</v>
      </c>
      <c r="T109" t="s">
        <v>2925</v>
      </c>
      <c r="U109" t="s">
        <v>2922</v>
      </c>
      <c r="V109">
        <v>7012341213</v>
      </c>
      <c r="W109" t="s">
        <v>2090</v>
      </c>
      <c r="X109" t="s">
        <v>2090</v>
      </c>
      <c r="Y109" t="s">
        <v>2923</v>
      </c>
      <c r="Z109" t="s">
        <v>2170</v>
      </c>
      <c r="AA109" t="s">
        <v>2170</v>
      </c>
      <c r="AB109" t="s">
        <v>2170</v>
      </c>
      <c r="AC109" t="s">
        <v>1995</v>
      </c>
      <c r="AD109" t="s">
        <v>2170</v>
      </c>
      <c r="AE109" t="s">
        <v>2170</v>
      </c>
      <c r="AF109" t="s">
        <v>2170</v>
      </c>
      <c r="AG109" t="s">
        <v>1505</v>
      </c>
      <c r="AH109" t="s">
        <v>1274</v>
      </c>
      <c r="AI109" t="s">
        <v>342</v>
      </c>
      <c r="AJ109">
        <v>1</v>
      </c>
      <c r="AK109" t="s">
        <v>1686</v>
      </c>
      <c r="AL109" t="s">
        <v>168</v>
      </c>
      <c r="AM109" t="s">
        <v>1250</v>
      </c>
      <c r="AN109" t="s">
        <v>346</v>
      </c>
      <c r="AO109">
        <v>5072124136</v>
      </c>
      <c r="AP109" t="s">
        <v>2090</v>
      </c>
      <c r="AQ109">
        <v>5076293202</v>
      </c>
      <c r="AR109" t="s">
        <v>2064</v>
      </c>
      <c r="AS109" t="s">
        <v>2309</v>
      </c>
      <c r="AT109" t="s">
        <v>2170</v>
      </c>
      <c r="AU109" t="s">
        <v>1506</v>
      </c>
      <c r="AV109" t="s">
        <v>336</v>
      </c>
      <c r="AW109">
        <v>56175</v>
      </c>
      <c r="AX109" t="s">
        <v>2170</v>
      </c>
      <c r="AY109" t="s">
        <v>2170</v>
      </c>
      <c r="AZ109" t="s">
        <v>2170</v>
      </c>
      <c r="BA109" t="s">
        <v>2170</v>
      </c>
      <c r="BB109" t="s">
        <v>2170</v>
      </c>
      <c r="BC109" t="s">
        <v>2170</v>
      </c>
      <c r="BD109" t="s">
        <v>2170</v>
      </c>
      <c r="BE109" t="s">
        <v>2170</v>
      </c>
      <c r="BF109" t="s">
        <v>2170</v>
      </c>
      <c r="BG109" t="s">
        <v>2170</v>
      </c>
      <c r="BH109" t="s">
        <v>2170</v>
      </c>
      <c r="BI109" t="s">
        <v>2170</v>
      </c>
      <c r="BJ109" t="s">
        <v>2170</v>
      </c>
      <c r="BK109" t="s">
        <v>2170</v>
      </c>
      <c r="BL109" t="s">
        <v>168</v>
      </c>
      <c r="BM109" t="s">
        <v>1250</v>
      </c>
      <c r="BN109" t="s">
        <v>346</v>
      </c>
      <c r="BO109">
        <v>5072124136</v>
      </c>
      <c r="BP109" t="s">
        <v>2090</v>
      </c>
      <c r="BQ109">
        <v>5076293202</v>
      </c>
      <c r="BR109" t="s">
        <v>2064</v>
      </c>
      <c r="BS109" t="s">
        <v>2309</v>
      </c>
      <c r="BT109" t="s">
        <v>2170</v>
      </c>
      <c r="BU109" t="s">
        <v>1506</v>
      </c>
      <c r="BV109" t="s">
        <v>336</v>
      </c>
      <c r="BW109">
        <v>56175</v>
      </c>
      <c r="BX109" t="s">
        <v>2170</v>
      </c>
      <c r="BY109" t="s">
        <v>370</v>
      </c>
    </row>
    <row r="110" spans="1:77" customFormat="1" x14ac:dyDescent="0.2">
      <c r="A110" s="504">
        <v>157</v>
      </c>
      <c r="B110">
        <v>1477545333</v>
      </c>
      <c r="C110" t="s">
        <v>2788</v>
      </c>
      <c r="D110" t="s">
        <v>707</v>
      </c>
      <c r="E110" t="s">
        <v>3196</v>
      </c>
      <c r="F110" t="s">
        <v>2090</v>
      </c>
      <c r="H110" t="s">
        <v>707</v>
      </c>
      <c r="I110" t="s">
        <v>336</v>
      </c>
      <c r="J110">
        <v>56482</v>
      </c>
      <c r="K110">
        <v>1264</v>
      </c>
      <c r="L110">
        <v>2186313510</v>
      </c>
      <c r="M110">
        <v>2186317511</v>
      </c>
      <c r="N110" t="s">
        <v>1328</v>
      </c>
      <c r="O110" t="s">
        <v>1251</v>
      </c>
      <c r="P110" t="s">
        <v>346</v>
      </c>
      <c r="Q110" t="s">
        <v>1908</v>
      </c>
      <c r="R110" t="s">
        <v>1909</v>
      </c>
      <c r="S110" t="s">
        <v>957</v>
      </c>
      <c r="T110" t="s">
        <v>2789</v>
      </c>
      <c r="U110" t="s">
        <v>2790</v>
      </c>
      <c r="V110">
        <v>2186328195</v>
      </c>
      <c r="W110" t="s">
        <v>2090</v>
      </c>
      <c r="X110">
        <v>2186317503</v>
      </c>
      <c r="Y110" t="s">
        <v>2791</v>
      </c>
      <c r="Z110" t="s">
        <v>2170</v>
      </c>
      <c r="AA110" t="s">
        <v>2170</v>
      </c>
      <c r="AB110" t="s">
        <v>707</v>
      </c>
      <c r="AC110" t="s">
        <v>336</v>
      </c>
      <c r="AD110" t="s">
        <v>2170</v>
      </c>
      <c r="AE110" t="s">
        <v>2170</v>
      </c>
      <c r="AF110" t="s">
        <v>707</v>
      </c>
      <c r="AG110" t="s">
        <v>1911</v>
      </c>
      <c r="AH110" t="s">
        <v>351</v>
      </c>
      <c r="AI110" t="s">
        <v>2170</v>
      </c>
      <c r="AJ110">
        <v>1</v>
      </c>
      <c r="AK110" t="s">
        <v>1687</v>
      </c>
      <c r="AL110" t="s">
        <v>957</v>
      </c>
      <c r="AM110" t="s">
        <v>2789</v>
      </c>
      <c r="AN110" t="s">
        <v>2790</v>
      </c>
      <c r="AO110">
        <v>2186328195</v>
      </c>
      <c r="AP110" t="s">
        <v>2090</v>
      </c>
      <c r="AQ110">
        <v>2186317503</v>
      </c>
      <c r="AR110" t="s">
        <v>2791</v>
      </c>
      <c r="AS110" t="s">
        <v>2170</v>
      </c>
      <c r="AT110" t="s">
        <v>2170</v>
      </c>
      <c r="AU110" t="s">
        <v>707</v>
      </c>
      <c r="AV110" t="s">
        <v>336</v>
      </c>
      <c r="AW110" t="s">
        <v>2170</v>
      </c>
      <c r="AX110" t="s">
        <v>2170</v>
      </c>
      <c r="AY110" t="s">
        <v>1252</v>
      </c>
      <c r="AZ110" t="s">
        <v>1253</v>
      </c>
      <c r="BA110" t="s">
        <v>967</v>
      </c>
      <c r="BB110">
        <v>2186328714</v>
      </c>
      <c r="BC110" t="s">
        <v>2090</v>
      </c>
      <c r="BD110">
        <v>2186317503</v>
      </c>
      <c r="BE110" t="s">
        <v>1910</v>
      </c>
      <c r="BF110" t="s">
        <v>2170</v>
      </c>
      <c r="BG110" t="s">
        <v>2170</v>
      </c>
      <c r="BH110" t="s">
        <v>2170</v>
      </c>
      <c r="BI110" t="s">
        <v>1995</v>
      </c>
      <c r="BJ110" t="s">
        <v>2170</v>
      </c>
      <c r="BK110" t="s">
        <v>2170</v>
      </c>
      <c r="BL110" t="s">
        <v>957</v>
      </c>
      <c r="BM110" t="s">
        <v>2789</v>
      </c>
      <c r="BN110" t="s">
        <v>2790</v>
      </c>
      <c r="BO110">
        <v>2186328195</v>
      </c>
      <c r="BP110" t="s">
        <v>2090</v>
      </c>
      <c r="BQ110">
        <v>2186317503</v>
      </c>
      <c r="BR110" t="s">
        <v>2791</v>
      </c>
      <c r="BS110" t="s">
        <v>2170</v>
      </c>
      <c r="BT110" t="s">
        <v>2170</v>
      </c>
      <c r="BU110" t="s">
        <v>707</v>
      </c>
      <c r="BV110" t="s">
        <v>336</v>
      </c>
      <c r="BW110" t="s">
        <v>2170</v>
      </c>
      <c r="BX110" t="s">
        <v>2170</v>
      </c>
      <c r="BY110" t="s">
        <v>370</v>
      </c>
    </row>
    <row r="111" spans="1:77" customFormat="1" x14ac:dyDescent="0.2">
      <c r="A111" s="504">
        <v>159</v>
      </c>
      <c r="B111">
        <v>1922072776</v>
      </c>
      <c r="C111" t="s">
        <v>2792</v>
      </c>
      <c r="D111" t="s">
        <v>1049</v>
      </c>
      <c r="E111" t="s">
        <v>2772</v>
      </c>
      <c r="F111" t="s">
        <v>2090</v>
      </c>
      <c r="H111" t="s">
        <v>1050</v>
      </c>
      <c r="I111" t="s">
        <v>336</v>
      </c>
      <c r="J111">
        <v>56623</v>
      </c>
      <c r="K111">
        <v>2855</v>
      </c>
      <c r="L111">
        <v>2186342120</v>
      </c>
      <c r="M111">
        <v>2186341094</v>
      </c>
      <c r="N111" t="s">
        <v>142</v>
      </c>
      <c r="O111" t="s">
        <v>2793</v>
      </c>
      <c r="P111" t="s">
        <v>116</v>
      </c>
      <c r="Q111" t="s">
        <v>2794</v>
      </c>
      <c r="R111" t="s">
        <v>1841</v>
      </c>
      <c r="S111" t="s">
        <v>1424</v>
      </c>
      <c r="T111" t="s">
        <v>1842</v>
      </c>
      <c r="U111" t="s">
        <v>1843</v>
      </c>
      <c r="V111">
        <v>5072802328</v>
      </c>
      <c r="W111" t="s">
        <v>2090</v>
      </c>
      <c r="X111">
        <v>5042802339</v>
      </c>
      <c r="Y111" t="s">
        <v>1844</v>
      </c>
      <c r="Z111" t="s">
        <v>2188</v>
      </c>
      <c r="AA111" t="s">
        <v>2170</v>
      </c>
      <c r="AB111" t="s">
        <v>941</v>
      </c>
      <c r="AC111" t="s">
        <v>336</v>
      </c>
      <c r="AD111">
        <v>55901</v>
      </c>
      <c r="AE111" t="s">
        <v>2170</v>
      </c>
      <c r="AF111" t="s">
        <v>3059</v>
      </c>
      <c r="AG111" t="s">
        <v>2795</v>
      </c>
      <c r="AH111" t="s">
        <v>952</v>
      </c>
      <c r="AI111" t="s">
        <v>953</v>
      </c>
      <c r="AJ111">
        <v>1</v>
      </c>
      <c r="AK111" t="s">
        <v>1845</v>
      </c>
      <c r="AL111" t="s">
        <v>1678</v>
      </c>
      <c r="AM111" t="s">
        <v>1679</v>
      </c>
      <c r="AN111" t="s">
        <v>341</v>
      </c>
      <c r="AO111">
        <v>2186163525</v>
      </c>
      <c r="AP111" t="s">
        <v>2090</v>
      </c>
      <c r="AQ111">
        <v>2187321368</v>
      </c>
      <c r="AR111" t="s">
        <v>1680</v>
      </c>
      <c r="AS111" t="s">
        <v>3161</v>
      </c>
      <c r="AT111" t="s">
        <v>2170</v>
      </c>
      <c r="AU111" t="s">
        <v>2189</v>
      </c>
      <c r="AV111" t="s">
        <v>336</v>
      </c>
      <c r="AW111">
        <v>56470</v>
      </c>
      <c r="AX111" t="s">
        <v>2170</v>
      </c>
      <c r="AY111" t="s">
        <v>2170</v>
      </c>
      <c r="AZ111" t="s">
        <v>2170</v>
      </c>
      <c r="BA111" t="s">
        <v>2170</v>
      </c>
      <c r="BB111" t="s">
        <v>2170</v>
      </c>
      <c r="BC111" t="s">
        <v>2170</v>
      </c>
      <c r="BD111" t="s">
        <v>2170</v>
      </c>
      <c r="BE111" t="s">
        <v>2170</v>
      </c>
      <c r="BF111" t="s">
        <v>2170</v>
      </c>
      <c r="BG111" t="s">
        <v>2170</v>
      </c>
      <c r="BH111" t="s">
        <v>2170</v>
      </c>
      <c r="BI111" t="s">
        <v>2170</v>
      </c>
      <c r="BJ111" t="s">
        <v>2170</v>
      </c>
      <c r="BK111" t="s">
        <v>2170</v>
      </c>
      <c r="BL111" t="s">
        <v>1678</v>
      </c>
      <c r="BM111" t="s">
        <v>1679</v>
      </c>
      <c r="BN111" t="s">
        <v>341</v>
      </c>
      <c r="BO111">
        <v>2186163525</v>
      </c>
      <c r="BP111" t="s">
        <v>2090</v>
      </c>
      <c r="BQ111">
        <v>2187321368</v>
      </c>
      <c r="BR111" t="s">
        <v>1680</v>
      </c>
      <c r="BS111" t="s">
        <v>3161</v>
      </c>
      <c r="BT111" t="s">
        <v>2170</v>
      </c>
      <c r="BU111" t="s">
        <v>2189</v>
      </c>
      <c r="BV111" t="s">
        <v>336</v>
      </c>
      <c r="BW111">
        <v>56470</v>
      </c>
      <c r="BX111" t="s">
        <v>2170</v>
      </c>
      <c r="BY111" t="s">
        <v>369</v>
      </c>
    </row>
    <row r="112" spans="1:77" customFormat="1" x14ac:dyDescent="0.2">
      <c r="A112" s="504">
        <v>161</v>
      </c>
      <c r="B112">
        <v>1295726362</v>
      </c>
      <c r="C112" t="s">
        <v>705</v>
      </c>
      <c r="D112" t="s">
        <v>706</v>
      </c>
      <c r="E112" t="s">
        <v>3197</v>
      </c>
      <c r="F112" t="s">
        <v>2090</v>
      </c>
      <c r="H112" t="s">
        <v>478</v>
      </c>
      <c r="I112" t="s">
        <v>336</v>
      </c>
      <c r="J112">
        <v>56479</v>
      </c>
      <c r="K112">
        <v>3201</v>
      </c>
      <c r="L112">
        <v>2188941515</v>
      </c>
      <c r="M112">
        <v>2188940355</v>
      </c>
      <c r="N112" t="s">
        <v>204</v>
      </c>
      <c r="O112" t="s">
        <v>708</v>
      </c>
      <c r="P112" t="s">
        <v>116</v>
      </c>
      <c r="Q112" t="s">
        <v>709</v>
      </c>
      <c r="R112" t="s">
        <v>2155</v>
      </c>
      <c r="S112" t="s">
        <v>2299</v>
      </c>
      <c r="T112" t="s">
        <v>2300</v>
      </c>
      <c r="U112" t="s">
        <v>2156</v>
      </c>
      <c r="V112">
        <v>2188948352</v>
      </c>
      <c r="W112" t="s">
        <v>2090</v>
      </c>
      <c r="X112">
        <v>2188948984</v>
      </c>
      <c r="Y112" t="s">
        <v>2157</v>
      </c>
      <c r="Z112" t="s">
        <v>2170</v>
      </c>
      <c r="AA112" t="s">
        <v>2170</v>
      </c>
      <c r="AB112" t="s">
        <v>706</v>
      </c>
      <c r="AC112" t="s">
        <v>336</v>
      </c>
      <c r="AD112" t="s">
        <v>2170</v>
      </c>
      <c r="AE112" t="s">
        <v>2170</v>
      </c>
      <c r="AF112" t="s">
        <v>478</v>
      </c>
      <c r="AG112" t="s">
        <v>710</v>
      </c>
      <c r="AH112" t="s">
        <v>351</v>
      </c>
      <c r="AI112" t="s">
        <v>2170</v>
      </c>
      <c r="AJ112">
        <v>1</v>
      </c>
      <c r="AK112" t="s">
        <v>711</v>
      </c>
      <c r="AL112" t="s">
        <v>2301</v>
      </c>
      <c r="AM112" t="s">
        <v>2302</v>
      </c>
      <c r="AN112" t="s">
        <v>425</v>
      </c>
      <c r="AO112">
        <v>2188948194</v>
      </c>
      <c r="AP112" t="s">
        <v>2090</v>
      </c>
      <c r="AQ112" t="s">
        <v>2090</v>
      </c>
      <c r="AR112" t="s">
        <v>2303</v>
      </c>
      <c r="AS112" t="s">
        <v>2170</v>
      </c>
      <c r="AT112" t="s">
        <v>2170</v>
      </c>
      <c r="AU112" t="s">
        <v>2170</v>
      </c>
      <c r="AV112" t="s">
        <v>1995</v>
      </c>
      <c r="AW112" t="s">
        <v>2170</v>
      </c>
      <c r="AX112" t="s">
        <v>2170</v>
      </c>
      <c r="AY112" t="s">
        <v>2304</v>
      </c>
      <c r="AZ112" t="s">
        <v>2305</v>
      </c>
      <c r="BA112" t="s">
        <v>356</v>
      </c>
      <c r="BB112">
        <v>0</v>
      </c>
      <c r="BC112" t="s">
        <v>2090</v>
      </c>
      <c r="BD112" t="s">
        <v>2090</v>
      </c>
      <c r="BE112" t="s">
        <v>2306</v>
      </c>
      <c r="BF112" t="s">
        <v>2170</v>
      </c>
      <c r="BG112" t="s">
        <v>2170</v>
      </c>
      <c r="BH112" t="s">
        <v>2170</v>
      </c>
      <c r="BI112" t="s">
        <v>1995</v>
      </c>
      <c r="BJ112" t="s">
        <v>2170</v>
      </c>
      <c r="BK112" t="s">
        <v>2170</v>
      </c>
      <c r="BL112" t="s">
        <v>2299</v>
      </c>
      <c r="BM112" t="s">
        <v>2300</v>
      </c>
      <c r="BN112" t="s">
        <v>2156</v>
      </c>
      <c r="BO112">
        <v>2188948352</v>
      </c>
      <c r="BP112" t="s">
        <v>2090</v>
      </c>
      <c r="BQ112">
        <v>2188948984</v>
      </c>
      <c r="BR112" t="s">
        <v>2157</v>
      </c>
      <c r="BS112" t="s">
        <v>2170</v>
      </c>
      <c r="BT112" t="s">
        <v>2170</v>
      </c>
      <c r="BU112" t="s">
        <v>706</v>
      </c>
      <c r="BV112" t="s">
        <v>336</v>
      </c>
      <c r="BW112" t="s">
        <v>2170</v>
      </c>
      <c r="BX112" t="s">
        <v>2170</v>
      </c>
      <c r="BY112" t="s">
        <v>370</v>
      </c>
    </row>
    <row r="113" spans="1:77" customFormat="1" x14ac:dyDescent="0.2">
      <c r="A113" s="504">
        <v>162</v>
      </c>
      <c r="B113">
        <v>1952307688</v>
      </c>
      <c r="C113" t="s">
        <v>1066</v>
      </c>
      <c r="D113" t="s">
        <v>1067</v>
      </c>
      <c r="E113" t="s">
        <v>3198</v>
      </c>
      <c r="F113" t="s">
        <v>2090</v>
      </c>
      <c r="H113" t="s">
        <v>1068</v>
      </c>
      <c r="I113" t="s">
        <v>336</v>
      </c>
      <c r="J113">
        <v>56013</v>
      </c>
      <c r="K113">
        <v>2158</v>
      </c>
      <c r="L113">
        <v>5075263273</v>
      </c>
      <c r="M113">
        <v>5075263621</v>
      </c>
      <c r="N113" t="s">
        <v>145</v>
      </c>
      <c r="O113" t="s">
        <v>210</v>
      </c>
      <c r="P113" t="s">
        <v>1069</v>
      </c>
      <c r="Q113" t="s">
        <v>2102</v>
      </c>
      <c r="R113" t="s">
        <v>2103</v>
      </c>
      <c r="S113" t="s">
        <v>3199</v>
      </c>
      <c r="T113" t="s">
        <v>3200</v>
      </c>
      <c r="U113" t="s">
        <v>138</v>
      </c>
      <c r="V113">
        <v>5075267949</v>
      </c>
      <c r="W113" t="s">
        <v>2090</v>
      </c>
      <c r="X113">
        <v>5075263621</v>
      </c>
      <c r="Y113" t="s">
        <v>3201</v>
      </c>
      <c r="Z113" t="s">
        <v>2197</v>
      </c>
      <c r="AA113" t="s">
        <v>2170</v>
      </c>
      <c r="AB113" t="s">
        <v>1067</v>
      </c>
      <c r="AC113" t="s">
        <v>336</v>
      </c>
      <c r="AD113">
        <v>56013</v>
      </c>
      <c r="AE113" t="s">
        <v>2170</v>
      </c>
      <c r="AF113" t="s">
        <v>1068</v>
      </c>
      <c r="AG113" t="s">
        <v>1071</v>
      </c>
      <c r="AH113" t="s">
        <v>351</v>
      </c>
      <c r="AI113" t="s">
        <v>2170</v>
      </c>
      <c r="AJ113">
        <v>1</v>
      </c>
      <c r="AK113" t="s">
        <v>2796</v>
      </c>
      <c r="AL113" t="s">
        <v>1882</v>
      </c>
      <c r="AM113" t="s">
        <v>2104</v>
      </c>
      <c r="AN113" t="s">
        <v>341</v>
      </c>
      <c r="AO113">
        <v>5075267908</v>
      </c>
      <c r="AP113" t="s">
        <v>2090</v>
      </c>
      <c r="AQ113">
        <v>5075263621</v>
      </c>
      <c r="AR113" t="s">
        <v>2105</v>
      </c>
      <c r="AS113" t="s">
        <v>2197</v>
      </c>
      <c r="AT113" t="s">
        <v>2170</v>
      </c>
      <c r="AU113" t="s">
        <v>1070</v>
      </c>
      <c r="AV113" t="s">
        <v>336</v>
      </c>
      <c r="AW113">
        <v>56013</v>
      </c>
      <c r="AX113" t="s">
        <v>2170</v>
      </c>
      <c r="AY113" t="s">
        <v>2170</v>
      </c>
      <c r="AZ113" t="s">
        <v>2170</v>
      </c>
      <c r="BA113" t="s">
        <v>2170</v>
      </c>
      <c r="BB113" t="s">
        <v>2170</v>
      </c>
      <c r="BC113" t="s">
        <v>2170</v>
      </c>
      <c r="BD113" t="s">
        <v>2170</v>
      </c>
      <c r="BE113" t="s">
        <v>2170</v>
      </c>
      <c r="BF113" t="s">
        <v>2170</v>
      </c>
      <c r="BG113" t="s">
        <v>2170</v>
      </c>
      <c r="BH113" t="s">
        <v>2170</v>
      </c>
      <c r="BI113" t="s">
        <v>2170</v>
      </c>
      <c r="BJ113" t="s">
        <v>2170</v>
      </c>
      <c r="BK113" t="s">
        <v>2170</v>
      </c>
      <c r="BL113" t="s">
        <v>3199</v>
      </c>
      <c r="BM113" t="s">
        <v>3200</v>
      </c>
      <c r="BN113" t="s">
        <v>138</v>
      </c>
      <c r="BO113">
        <v>5075267949</v>
      </c>
      <c r="BP113" t="s">
        <v>2090</v>
      </c>
      <c r="BQ113">
        <v>5075263621</v>
      </c>
      <c r="BR113" t="s">
        <v>3201</v>
      </c>
      <c r="BS113" t="s">
        <v>2197</v>
      </c>
      <c r="BT113" t="s">
        <v>2170</v>
      </c>
      <c r="BU113" t="s">
        <v>1067</v>
      </c>
      <c r="BV113" t="s">
        <v>336</v>
      </c>
      <c r="BW113">
        <v>56013</v>
      </c>
      <c r="BX113" t="s">
        <v>2170</v>
      </c>
      <c r="BY113" t="s">
        <v>370</v>
      </c>
    </row>
    <row r="114" spans="1:77" customFormat="1" x14ac:dyDescent="0.2">
      <c r="A114" s="504">
        <v>163</v>
      </c>
      <c r="B114">
        <v>1457319485</v>
      </c>
      <c r="C114" t="s">
        <v>696</v>
      </c>
      <c r="D114" t="s">
        <v>360</v>
      </c>
      <c r="E114" t="s">
        <v>1964</v>
      </c>
      <c r="F114" t="s">
        <v>2090</v>
      </c>
      <c r="H114" t="s">
        <v>1048</v>
      </c>
      <c r="I114" t="s">
        <v>336</v>
      </c>
      <c r="J114">
        <v>55102</v>
      </c>
      <c r="K114">
        <v>2344</v>
      </c>
      <c r="L114">
        <v>6122208000</v>
      </c>
      <c r="M114">
        <v>6512417368</v>
      </c>
      <c r="N114" t="s">
        <v>1266</v>
      </c>
      <c r="O114" t="s">
        <v>1329</v>
      </c>
      <c r="P114" t="s">
        <v>116</v>
      </c>
      <c r="Q114" t="s">
        <v>1648</v>
      </c>
      <c r="R114" t="s">
        <v>2863</v>
      </c>
      <c r="S114" t="s">
        <v>1056</v>
      </c>
      <c r="T114" t="s">
        <v>1595</v>
      </c>
      <c r="U114" t="s">
        <v>1157</v>
      </c>
      <c r="V114">
        <v>6122624727</v>
      </c>
      <c r="W114" t="s">
        <v>2090</v>
      </c>
      <c r="X114">
        <v>6122624737</v>
      </c>
      <c r="Y114" t="s">
        <v>1878</v>
      </c>
      <c r="Z114" t="s">
        <v>2209</v>
      </c>
      <c r="AA114" t="s">
        <v>2170</v>
      </c>
      <c r="AB114" t="s">
        <v>119</v>
      </c>
      <c r="AC114" t="s">
        <v>336</v>
      </c>
      <c r="AD114">
        <v>55440</v>
      </c>
      <c r="AE114" t="s">
        <v>2170</v>
      </c>
      <c r="AF114" t="s">
        <v>120</v>
      </c>
      <c r="AG114" t="s">
        <v>2056</v>
      </c>
      <c r="AH114" t="s">
        <v>1961</v>
      </c>
      <c r="AI114" t="s">
        <v>953</v>
      </c>
      <c r="AJ114">
        <v>0</v>
      </c>
      <c r="AK114" t="s">
        <v>2154</v>
      </c>
      <c r="AL114" t="s">
        <v>1854</v>
      </c>
      <c r="AM114" t="s">
        <v>1855</v>
      </c>
      <c r="AN114" t="s">
        <v>1856</v>
      </c>
      <c r="AO114">
        <v>6122624721</v>
      </c>
      <c r="AP114" t="s">
        <v>2090</v>
      </c>
      <c r="AQ114">
        <v>6122624737</v>
      </c>
      <c r="AR114" t="s">
        <v>1857</v>
      </c>
      <c r="AS114" t="s">
        <v>2209</v>
      </c>
      <c r="AT114" t="s">
        <v>2170</v>
      </c>
      <c r="AU114" t="s">
        <v>119</v>
      </c>
      <c r="AV114" t="s">
        <v>336</v>
      </c>
      <c r="AW114">
        <v>55440</v>
      </c>
      <c r="AX114" t="s">
        <v>2170</v>
      </c>
      <c r="AY114" t="s">
        <v>121</v>
      </c>
      <c r="AZ114" t="s">
        <v>122</v>
      </c>
      <c r="BA114" t="s">
        <v>1684</v>
      </c>
      <c r="BB114">
        <v>6122624719</v>
      </c>
      <c r="BC114" t="s">
        <v>2090</v>
      </c>
      <c r="BD114">
        <v>6122624737</v>
      </c>
      <c r="BE114" t="s">
        <v>123</v>
      </c>
      <c r="BF114" t="s">
        <v>2209</v>
      </c>
      <c r="BG114" t="s">
        <v>124</v>
      </c>
      <c r="BH114" t="s">
        <v>119</v>
      </c>
      <c r="BI114" t="s">
        <v>336</v>
      </c>
      <c r="BJ114">
        <v>55440</v>
      </c>
      <c r="BK114" t="s">
        <v>2170</v>
      </c>
      <c r="BL114" t="s">
        <v>1056</v>
      </c>
      <c r="BM114" t="s">
        <v>1595</v>
      </c>
      <c r="BN114" t="s">
        <v>1157</v>
      </c>
      <c r="BO114">
        <v>6122624727</v>
      </c>
      <c r="BP114" t="s">
        <v>2090</v>
      </c>
      <c r="BQ114">
        <v>6122624737</v>
      </c>
      <c r="BR114" t="s">
        <v>1878</v>
      </c>
      <c r="BS114" t="s">
        <v>2209</v>
      </c>
      <c r="BT114" t="s">
        <v>2170</v>
      </c>
      <c r="BU114" t="s">
        <v>119</v>
      </c>
      <c r="BV114" t="s">
        <v>336</v>
      </c>
      <c r="BW114">
        <v>55440</v>
      </c>
      <c r="BX114" t="s">
        <v>2170</v>
      </c>
      <c r="BY114" t="s">
        <v>370</v>
      </c>
    </row>
    <row r="115" spans="1:77" customFormat="1" x14ac:dyDescent="0.2">
      <c r="A115" s="504">
        <v>167</v>
      </c>
      <c r="B115">
        <v>1083617120</v>
      </c>
      <c r="C115" t="s">
        <v>3202</v>
      </c>
      <c r="D115" t="s">
        <v>1470</v>
      </c>
      <c r="E115" t="s">
        <v>3203</v>
      </c>
      <c r="F115" t="s">
        <v>2090</v>
      </c>
      <c r="H115" t="s">
        <v>977</v>
      </c>
      <c r="I115" t="s">
        <v>336</v>
      </c>
      <c r="J115">
        <v>55792</v>
      </c>
      <c r="K115">
        <v>2348</v>
      </c>
      <c r="L115">
        <v>2187413340</v>
      </c>
      <c r="M115">
        <v>2187499427</v>
      </c>
      <c r="N115" t="s">
        <v>2314</v>
      </c>
      <c r="O115" t="s">
        <v>2315</v>
      </c>
      <c r="P115" t="s">
        <v>458</v>
      </c>
      <c r="Q115" t="s">
        <v>2316</v>
      </c>
      <c r="R115" t="s">
        <v>1839</v>
      </c>
      <c r="S115" t="s">
        <v>115</v>
      </c>
      <c r="T115" t="s">
        <v>3204</v>
      </c>
      <c r="U115" t="s">
        <v>3205</v>
      </c>
      <c r="V115">
        <v>2187428662</v>
      </c>
      <c r="W115" t="s">
        <v>2090</v>
      </c>
      <c r="X115" t="s">
        <v>2090</v>
      </c>
      <c r="Y115" t="s">
        <v>3206</v>
      </c>
      <c r="Z115" t="s">
        <v>2170</v>
      </c>
      <c r="AA115" t="s">
        <v>2170</v>
      </c>
      <c r="AB115" t="s">
        <v>2170</v>
      </c>
      <c r="AC115" t="s">
        <v>1995</v>
      </c>
      <c r="AD115" t="s">
        <v>2170</v>
      </c>
      <c r="AE115" t="s">
        <v>2170</v>
      </c>
      <c r="AF115" t="s">
        <v>2170</v>
      </c>
      <c r="AG115" t="s">
        <v>1593</v>
      </c>
      <c r="AH115" t="s">
        <v>2091</v>
      </c>
      <c r="AI115" t="s">
        <v>953</v>
      </c>
      <c r="AJ115">
        <v>0</v>
      </c>
      <c r="AK115" t="s">
        <v>2797</v>
      </c>
      <c r="AL115" t="s">
        <v>2183</v>
      </c>
      <c r="AM115" t="s">
        <v>2184</v>
      </c>
      <c r="AN115" t="s">
        <v>2945</v>
      </c>
      <c r="AO115">
        <v>2187861419</v>
      </c>
      <c r="AP115" t="s">
        <v>2090</v>
      </c>
      <c r="AQ115" t="s">
        <v>2090</v>
      </c>
      <c r="AR115" t="s">
        <v>2185</v>
      </c>
      <c r="AS115" t="s">
        <v>2181</v>
      </c>
      <c r="AT115" t="s">
        <v>2170</v>
      </c>
      <c r="AU115" t="s">
        <v>1298</v>
      </c>
      <c r="AV115" t="s">
        <v>336</v>
      </c>
      <c r="AW115">
        <v>55805</v>
      </c>
      <c r="AX115" t="s">
        <v>2170</v>
      </c>
      <c r="AY115" t="s">
        <v>2170</v>
      </c>
      <c r="AZ115" t="s">
        <v>2170</v>
      </c>
      <c r="BA115" t="s">
        <v>2170</v>
      </c>
      <c r="BB115" t="s">
        <v>2170</v>
      </c>
      <c r="BC115" t="s">
        <v>2170</v>
      </c>
      <c r="BD115" t="s">
        <v>2170</v>
      </c>
      <c r="BE115" t="s">
        <v>2170</v>
      </c>
      <c r="BF115" t="s">
        <v>2170</v>
      </c>
      <c r="BG115" t="s">
        <v>2170</v>
      </c>
      <c r="BH115" t="s">
        <v>2170</v>
      </c>
      <c r="BI115" t="s">
        <v>2170</v>
      </c>
      <c r="BJ115" t="s">
        <v>2170</v>
      </c>
      <c r="BK115" t="s">
        <v>2170</v>
      </c>
      <c r="BL115" t="s">
        <v>1266</v>
      </c>
      <c r="BM115" t="s">
        <v>2946</v>
      </c>
      <c r="BN115" t="s">
        <v>2947</v>
      </c>
      <c r="BO115">
        <v>2187868169</v>
      </c>
      <c r="BP115" t="s">
        <v>2090</v>
      </c>
      <c r="BQ115">
        <v>2187868406</v>
      </c>
      <c r="BR115" t="s">
        <v>2948</v>
      </c>
      <c r="BS115" t="s">
        <v>2181</v>
      </c>
      <c r="BT115" t="s">
        <v>2170</v>
      </c>
      <c r="BU115" t="s">
        <v>1298</v>
      </c>
      <c r="BV115" t="s">
        <v>336</v>
      </c>
      <c r="BW115">
        <v>55805</v>
      </c>
      <c r="BX115" t="s">
        <v>2170</v>
      </c>
      <c r="BY115" t="s">
        <v>370</v>
      </c>
    </row>
    <row r="116" spans="1:77" customFormat="1" x14ac:dyDescent="0.2">
      <c r="A116" s="504">
        <v>168</v>
      </c>
      <c r="B116">
        <v>1275608457</v>
      </c>
      <c r="C116" t="s">
        <v>1478</v>
      </c>
      <c r="D116" t="s">
        <v>1479</v>
      </c>
      <c r="E116" t="s">
        <v>2318</v>
      </c>
      <c r="F116" t="s">
        <v>2090</v>
      </c>
      <c r="H116" t="s">
        <v>1480</v>
      </c>
      <c r="I116" t="s">
        <v>336</v>
      </c>
      <c r="J116">
        <v>55387</v>
      </c>
      <c r="K116">
        <v>1752</v>
      </c>
      <c r="L116">
        <v>9524422191</v>
      </c>
      <c r="M116">
        <v>9524426543</v>
      </c>
      <c r="N116" t="s">
        <v>470</v>
      </c>
      <c r="O116" t="s">
        <v>2798</v>
      </c>
      <c r="P116" t="s">
        <v>1054</v>
      </c>
      <c r="Q116" t="s">
        <v>3207</v>
      </c>
      <c r="R116" t="s">
        <v>2137</v>
      </c>
      <c r="S116" t="s">
        <v>2068</v>
      </c>
      <c r="T116" t="s">
        <v>2069</v>
      </c>
      <c r="U116" t="s">
        <v>2881</v>
      </c>
      <c r="V116">
        <v>9524422191</v>
      </c>
      <c r="W116">
        <v>35705</v>
      </c>
      <c r="X116">
        <v>9524426540</v>
      </c>
      <c r="Y116" t="s">
        <v>2070</v>
      </c>
      <c r="Z116" t="s">
        <v>2170</v>
      </c>
      <c r="AA116" t="s">
        <v>2170</v>
      </c>
      <c r="AB116" t="s">
        <v>1479</v>
      </c>
      <c r="AC116" t="s">
        <v>336</v>
      </c>
      <c r="AD116" t="s">
        <v>2170</v>
      </c>
      <c r="AE116" t="s">
        <v>2170</v>
      </c>
      <c r="AF116" t="s">
        <v>1480</v>
      </c>
      <c r="AG116" t="s">
        <v>1483</v>
      </c>
      <c r="AH116" t="s">
        <v>1478</v>
      </c>
      <c r="AI116" t="s">
        <v>953</v>
      </c>
      <c r="AJ116">
        <v>0</v>
      </c>
      <c r="AK116" t="s">
        <v>2071</v>
      </c>
      <c r="AL116" t="s">
        <v>3208</v>
      </c>
      <c r="AM116" t="s">
        <v>3209</v>
      </c>
      <c r="AN116" t="s">
        <v>3210</v>
      </c>
      <c r="AO116">
        <v>9524422191</v>
      </c>
      <c r="AP116">
        <v>35707</v>
      </c>
      <c r="AQ116" t="s">
        <v>2090</v>
      </c>
      <c r="AR116" t="s">
        <v>3211</v>
      </c>
      <c r="AS116" t="s">
        <v>2170</v>
      </c>
      <c r="AT116" t="s">
        <v>2170</v>
      </c>
      <c r="AU116" t="s">
        <v>2170</v>
      </c>
      <c r="AV116" t="s">
        <v>1995</v>
      </c>
      <c r="AW116" t="s">
        <v>2170</v>
      </c>
      <c r="AX116" t="s">
        <v>2170</v>
      </c>
      <c r="AY116" t="s">
        <v>2170</v>
      </c>
      <c r="AZ116" t="s">
        <v>2170</v>
      </c>
      <c r="BA116" t="s">
        <v>2170</v>
      </c>
      <c r="BB116" t="s">
        <v>2170</v>
      </c>
      <c r="BC116" t="s">
        <v>2170</v>
      </c>
      <c r="BD116" t="s">
        <v>2170</v>
      </c>
      <c r="BE116" t="s">
        <v>2170</v>
      </c>
      <c r="BF116" t="s">
        <v>2170</v>
      </c>
      <c r="BG116" t="s">
        <v>2170</v>
      </c>
      <c r="BH116" t="s">
        <v>2170</v>
      </c>
      <c r="BI116" t="s">
        <v>2170</v>
      </c>
      <c r="BJ116" t="s">
        <v>2170</v>
      </c>
      <c r="BK116" t="s">
        <v>2170</v>
      </c>
      <c r="BL116" t="s">
        <v>2068</v>
      </c>
      <c r="BM116" t="s">
        <v>2069</v>
      </c>
      <c r="BN116" t="s">
        <v>2881</v>
      </c>
      <c r="BO116">
        <v>9524422191</v>
      </c>
      <c r="BP116">
        <v>35705</v>
      </c>
      <c r="BQ116">
        <v>9524426540</v>
      </c>
      <c r="BR116" t="s">
        <v>2070</v>
      </c>
      <c r="BS116" t="s">
        <v>2170</v>
      </c>
      <c r="BT116" t="s">
        <v>2170</v>
      </c>
      <c r="BU116" t="s">
        <v>1479</v>
      </c>
      <c r="BV116" t="s">
        <v>336</v>
      </c>
      <c r="BW116" t="s">
        <v>2170</v>
      </c>
      <c r="BX116" t="s">
        <v>2170</v>
      </c>
      <c r="BY116" t="s">
        <v>370</v>
      </c>
    </row>
    <row r="117" spans="1:77" customFormat="1" x14ac:dyDescent="0.2">
      <c r="A117" s="504">
        <v>169</v>
      </c>
      <c r="B117">
        <v>1073516357</v>
      </c>
      <c r="C117" t="s">
        <v>1416</v>
      </c>
      <c r="D117" t="s">
        <v>1417</v>
      </c>
      <c r="E117" t="s">
        <v>2319</v>
      </c>
      <c r="F117" t="s">
        <v>2090</v>
      </c>
      <c r="H117" t="s">
        <v>1147</v>
      </c>
      <c r="I117" t="s">
        <v>336</v>
      </c>
      <c r="J117">
        <v>56762</v>
      </c>
      <c r="K117">
        <v>1461</v>
      </c>
      <c r="L117">
        <v>2187454211</v>
      </c>
      <c r="M117">
        <v>2187454215</v>
      </c>
      <c r="N117" t="s">
        <v>1993</v>
      </c>
      <c r="O117" t="s">
        <v>3212</v>
      </c>
      <c r="P117" t="s">
        <v>308</v>
      </c>
      <c r="Q117" t="s">
        <v>3213</v>
      </c>
      <c r="R117" t="s">
        <v>1418</v>
      </c>
      <c r="S117" t="s">
        <v>2320</v>
      </c>
      <c r="T117" t="s">
        <v>2321</v>
      </c>
      <c r="U117" t="s">
        <v>1624</v>
      </c>
      <c r="V117">
        <v>7012398563</v>
      </c>
      <c r="W117" t="s">
        <v>2090</v>
      </c>
      <c r="X117">
        <v>7012398600</v>
      </c>
      <c r="Y117" t="s">
        <v>2322</v>
      </c>
      <c r="Z117" t="s">
        <v>2323</v>
      </c>
      <c r="AA117" t="s">
        <v>2170</v>
      </c>
      <c r="AB117" t="s">
        <v>1417</v>
      </c>
      <c r="AC117" t="s">
        <v>336</v>
      </c>
      <c r="AD117">
        <v>58104</v>
      </c>
      <c r="AE117" t="s">
        <v>2170</v>
      </c>
      <c r="AF117" t="s">
        <v>1147</v>
      </c>
      <c r="AG117" t="s">
        <v>3214</v>
      </c>
      <c r="AH117" t="s">
        <v>351</v>
      </c>
      <c r="AI117" t="s">
        <v>2170</v>
      </c>
      <c r="AJ117">
        <v>1</v>
      </c>
      <c r="AK117" t="s">
        <v>2799</v>
      </c>
      <c r="AL117" t="s">
        <v>1421</v>
      </c>
      <c r="AM117" t="s">
        <v>1422</v>
      </c>
      <c r="AN117" t="s">
        <v>341</v>
      </c>
      <c r="AO117">
        <v>2187453261</v>
      </c>
      <c r="AP117" t="s">
        <v>2090</v>
      </c>
      <c r="AQ117">
        <v>2187454215</v>
      </c>
      <c r="AR117" t="s">
        <v>1913</v>
      </c>
      <c r="AS117" t="s">
        <v>2319</v>
      </c>
      <c r="AT117" t="s">
        <v>2170</v>
      </c>
      <c r="AU117" t="s">
        <v>1423</v>
      </c>
      <c r="AV117" t="s">
        <v>336</v>
      </c>
      <c r="AW117">
        <v>56762</v>
      </c>
      <c r="AX117">
        <v>1499</v>
      </c>
      <c r="AY117" t="s">
        <v>2170</v>
      </c>
      <c r="AZ117" t="s">
        <v>2170</v>
      </c>
      <c r="BA117" t="s">
        <v>2170</v>
      </c>
      <c r="BB117" t="s">
        <v>2170</v>
      </c>
      <c r="BC117" t="s">
        <v>2170</v>
      </c>
      <c r="BD117" t="s">
        <v>2170</v>
      </c>
      <c r="BE117" t="s">
        <v>2170</v>
      </c>
      <c r="BF117" t="s">
        <v>2170</v>
      </c>
      <c r="BG117" t="s">
        <v>2170</v>
      </c>
      <c r="BH117" t="s">
        <v>2170</v>
      </c>
      <c r="BI117" t="s">
        <v>2170</v>
      </c>
      <c r="BJ117" t="s">
        <v>2170</v>
      </c>
      <c r="BK117" t="s">
        <v>2170</v>
      </c>
      <c r="BL117" t="s">
        <v>1421</v>
      </c>
      <c r="BM117" t="s">
        <v>1422</v>
      </c>
      <c r="BN117" t="s">
        <v>341</v>
      </c>
      <c r="BO117">
        <v>2187453261</v>
      </c>
      <c r="BP117" t="s">
        <v>2090</v>
      </c>
      <c r="BQ117">
        <v>2187454215</v>
      </c>
      <c r="BR117" t="s">
        <v>1913</v>
      </c>
      <c r="BS117" t="s">
        <v>2319</v>
      </c>
      <c r="BT117" t="s">
        <v>2170</v>
      </c>
      <c r="BU117" t="s">
        <v>1423</v>
      </c>
      <c r="BV117" t="s">
        <v>336</v>
      </c>
      <c r="BW117">
        <v>56762</v>
      </c>
      <c r="BX117">
        <v>1499</v>
      </c>
      <c r="BY117" t="s">
        <v>370</v>
      </c>
    </row>
    <row r="118" spans="1:77" customFormat="1" x14ac:dyDescent="0.2">
      <c r="A118" s="504">
        <v>170</v>
      </c>
      <c r="B118">
        <v>1740256668</v>
      </c>
      <c r="C118" t="s">
        <v>2800</v>
      </c>
      <c r="D118" t="s">
        <v>1486</v>
      </c>
      <c r="E118" t="s">
        <v>2801</v>
      </c>
      <c r="F118" t="s">
        <v>2090</v>
      </c>
      <c r="H118" t="s">
        <v>1486</v>
      </c>
      <c r="I118" t="s">
        <v>336</v>
      </c>
      <c r="J118">
        <v>56093</v>
      </c>
      <c r="K118">
        <v>2811</v>
      </c>
      <c r="L118">
        <v>5078351210</v>
      </c>
      <c r="M118">
        <v>5077818280</v>
      </c>
      <c r="N118" t="s">
        <v>3134</v>
      </c>
      <c r="O118" t="s">
        <v>1057</v>
      </c>
      <c r="P118" t="s">
        <v>270</v>
      </c>
      <c r="Q118" t="s">
        <v>3135</v>
      </c>
      <c r="R118" t="s">
        <v>2902</v>
      </c>
      <c r="S118" t="s">
        <v>1631</v>
      </c>
      <c r="T118" t="s">
        <v>1632</v>
      </c>
      <c r="U118" t="s">
        <v>2172</v>
      </c>
      <c r="V118">
        <v>5075947197</v>
      </c>
      <c r="W118" t="s">
        <v>2090</v>
      </c>
      <c r="X118">
        <v>5075944874</v>
      </c>
      <c r="Y118" t="s">
        <v>1633</v>
      </c>
      <c r="Z118" t="s">
        <v>2903</v>
      </c>
      <c r="AA118" t="s">
        <v>357</v>
      </c>
      <c r="AB118" t="s">
        <v>193</v>
      </c>
      <c r="AC118" t="s">
        <v>336</v>
      </c>
      <c r="AD118">
        <v>56001</v>
      </c>
      <c r="AE118" t="s">
        <v>2170</v>
      </c>
      <c r="AF118" t="s">
        <v>194</v>
      </c>
      <c r="AG118" t="s">
        <v>2676</v>
      </c>
      <c r="AH118" t="s">
        <v>958</v>
      </c>
      <c r="AI118" t="s">
        <v>953</v>
      </c>
      <c r="AJ118">
        <v>1</v>
      </c>
      <c r="AK118" t="s">
        <v>2969</v>
      </c>
      <c r="AL118" t="s">
        <v>117</v>
      </c>
      <c r="AM118" t="s">
        <v>2905</v>
      </c>
      <c r="AN118" t="s">
        <v>2906</v>
      </c>
      <c r="AO118">
        <v>5074341069</v>
      </c>
      <c r="AP118" t="s">
        <v>2090</v>
      </c>
      <c r="AQ118">
        <v>5074341432</v>
      </c>
      <c r="AR118" t="s">
        <v>2907</v>
      </c>
      <c r="AS118" t="s">
        <v>2472</v>
      </c>
      <c r="AT118" t="s">
        <v>2170</v>
      </c>
      <c r="AU118" t="s">
        <v>2469</v>
      </c>
      <c r="AV118" t="s">
        <v>336</v>
      </c>
      <c r="AW118">
        <v>55912</v>
      </c>
      <c r="AX118" t="s">
        <v>2170</v>
      </c>
      <c r="AY118" t="s">
        <v>2170</v>
      </c>
      <c r="AZ118" t="s">
        <v>2170</v>
      </c>
      <c r="BA118" t="s">
        <v>2170</v>
      </c>
      <c r="BB118" t="s">
        <v>2170</v>
      </c>
      <c r="BC118" t="s">
        <v>2170</v>
      </c>
      <c r="BD118" t="s">
        <v>2170</v>
      </c>
      <c r="BE118" t="s">
        <v>2170</v>
      </c>
      <c r="BF118" t="s">
        <v>2170</v>
      </c>
      <c r="BG118" t="s">
        <v>2170</v>
      </c>
      <c r="BH118" t="s">
        <v>2170</v>
      </c>
      <c r="BI118" t="s">
        <v>2170</v>
      </c>
      <c r="BJ118" t="s">
        <v>2170</v>
      </c>
      <c r="BK118" t="s">
        <v>2170</v>
      </c>
      <c r="BL118" t="s">
        <v>1631</v>
      </c>
      <c r="BM118" t="s">
        <v>1632</v>
      </c>
      <c r="BN118" t="s">
        <v>2172</v>
      </c>
      <c r="BO118">
        <v>5075947197</v>
      </c>
      <c r="BP118" t="s">
        <v>2090</v>
      </c>
      <c r="BQ118">
        <v>5075944874</v>
      </c>
      <c r="BR118" t="s">
        <v>1633</v>
      </c>
      <c r="BS118" t="s">
        <v>2903</v>
      </c>
      <c r="BT118" t="s">
        <v>357</v>
      </c>
      <c r="BU118" t="s">
        <v>193</v>
      </c>
      <c r="BV118" t="s">
        <v>336</v>
      </c>
      <c r="BW118">
        <v>56001</v>
      </c>
      <c r="BX118" t="s">
        <v>2170</v>
      </c>
      <c r="BY118" t="s">
        <v>370</v>
      </c>
    </row>
    <row r="119" spans="1:77" customFormat="1" x14ac:dyDescent="0.2">
      <c r="A119" s="504">
        <v>171</v>
      </c>
      <c r="B119">
        <v>1639198732</v>
      </c>
      <c r="C119" t="s">
        <v>2802</v>
      </c>
      <c r="D119" t="s">
        <v>717</v>
      </c>
      <c r="E119" t="s">
        <v>2803</v>
      </c>
      <c r="F119" t="s">
        <v>2090</v>
      </c>
      <c r="H119" t="s">
        <v>487</v>
      </c>
      <c r="I119" t="s">
        <v>336</v>
      </c>
      <c r="J119">
        <v>56081</v>
      </c>
      <c r="K119">
        <v>2408</v>
      </c>
      <c r="L119">
        <v>5073753261</v>
      </c>
      <c r="M119">
        <v>5073758605</v>
      </c>
      <c r="N119" t="s">
        <v>957</v>
      </c>
      <c r="O119" t="s">
        <v>2221</v>
      </c>
      <c r="P119" t="s">
        <v>270</v>
      </c>
      <c r="Q119" t="s">
        <v>3215</v>
      </c>
      <c r="R119" t="s">
        <v>2902</v>
      </c>
      <c r="S119" t="s">
        <v>1631</v>
      </c>
      <c r="T119" t="s">
        <v>1632</v>
      </c>
      <c r="U119" t="s">
        <v>2172</v>
      </c>
      <c r="V119">
        <v>5075947197</v>
      </c>
      <c r="W119" t="s">
        <v>2090</v>
      </c>
      <c r="X119">
        <v>5075944874</v>
      </c>
      <c r="Y119" t="s">
        <v>1633</v>
      </c>
      <c r="Z119" t="s">
        <v>2903</v>
      </c>
      <c r="AA119" t="s">
        <v>357</v>
      </c>
      <c r="AB119" t="s">
        <v>193</v>
      </c>
      <c r="AC119" t="s">
        <v>336</v>
      </c>
      <c r="AD119">
        <v>56001</v>
      </c>
      <c r="AE119" t="s">
        <v>2170</v>
      </c>
      <c r="AF119" t="s">
        <v>194</v>
      </c>
      <c r="AG119" t="s">
        <v>979</v>
      </c>
      <c r="AH119" t="s">
        <v>958</v>
      </c>
      <c r="AI119" t="s">
        <v>953</v>
      </c>
      <c r="AJ119">
        <v>1</v>
      </c>
      <c r="AK119" t="s">
        <v>2969</v>
      </c>
      <c r="AL119" t="s">
        <v>117</v>
      </c>
      <c r="AM119" t="s">
        <v>2905</v>
      </c>
      <c r="AN119" t="s">
        <v>2906</v>
      </c>
      <c r="AO119">
        <v>5074341069</v>
      </c>
      <c r="AP119" t="s">
        <v>2090</v>
      </c>
      <c r="AQ119">
        <v>5074341432</v>
      </c>
      <c r="AR119" t="s">
        <v>2907</v>
      </c>
      <c r="AS119" t="s">
        <v>2472</v>
      </c>
      <c r="AT119" t="s">
        <v>2170</v>
      </c>
      <c r="AU119" t="s">
        <v>2469</v>
      </c>
      <c r="AV119" t="s">
        <v>336</v>
      </c>
      <c r="AW119">
        <v>55912</v>
      </c>
      <c r="AX119" t="s">
        <v>2170</v>
      </c>
      <c r="AY119" t="s">
        <v>2170</v>
      </c>
      <c r="AZ119" t="s">
        <v>2170</v>
      </c>
      <c r="BA119" t="s">
        <v>2170</v>
      </c>
      <c r="BB119" t="s">
        <v>2170</v>
      </c>
      <c r="BC119" t="s">
        <v>2170</v>
      </c>
      <c r="BD119" t="s">
        <v>2170</v>
      </c>
      <c r="BE119" t="s">
        <v>2170</v>
      </c>
      <c r="BF119" t="s">
        <v>2170</v>
      </c>
      <c r="BG119" t="s">
        <v>2170</v>
      </c>
      <c r="BH119" t="s">
        <v>2170</v>
      </c>
      <c r="BI119" t="s">
        <v>2170</v>
      </c>
      <c r="BJ119" t="s">
        <v>2170</v>
      </c>
      <c r="BK119" t="s">
        <v>2170</v>
      </c>
      <c r="BL119" t="s">
        <v>1631</v>
      </c>
      <c r="BM119" t="s">
        <v>1632</v>
      </c>
      <c r="BN119" t="s">
        <v>2172</v>
      </c>
      <c r="BO119">
        <v>5075947197</v>
      </c>
      <c r="BP119" t="s">
        <v>2090</v>
      </c>
      <c r="BQ119">
        <v>5075944874</v>
      </c>
      <c r="BR119" t="s">
        <v>1633</v>
      </c>
      <c r="BS119" t="s">
        <v>2903</v>
      </c>
      <c r="BT119" t="s">
        <v>357</v>
      </c>
      <c r="BU119" t="s">
        <v>193</v>
      </c>
      <c r="BV119" t="s">
        <v>336</v>
      </c>
      <c r="BW119">
        <v>56001</v>
      </c>
      <c r="BX119" t="s">
        <v>2170</v>
      </c>
      <c r="BY119" t="s">
        <v>370</v>
      </c>
    </row>
    <row r="120" spans="1:77" customFormat="1" x14ac:dyDescent="0.2">
      <c r="A120" s="504">
        <v>172</v>
      </c>
      <c r="B120">
        <v>1568401016</v>
      </c>
      <c r="C120" t="s">
        <v>363</v>
      </c>
      <c r="D120" t="s">
        <v>1147</v>
      </c>
      <c r="E120" t="s">
        <v>2138</v>
      </c>
      <c r="F120" t="s">
        <v>2090</v>
      </c>
      <c r="H120" t="s">
        <v>1148</v>
      </c>
      <c r="I120" t="s">
        <v>336</v>
      </c>
      <c r="J120">
        <v>56258</v>
      </c>
      <c r="K120">
        <v>1934</v>
      </c>
      <c r="L120">
        <v>5075329661</v>
      </c>
      <c r="M120">
        <v>5075379053</v>
      </c>
      <c r="N120" t="s">
        <v>1252</v>
      </c>
      <c r="O120" t="s">
        <v>3216</v>
      </c>
      <c r="P120" t="s">
        <v>3217</v>
      </c>
      <c r="Q120" t="s">
        <v>3218</v>
      </c>
      <c r="R120" t="s">
        <v>2565</v>
      </c>
      <c r="S120" t="s">
        <v>2566</v>
      </c>
      <c r="T120" t="s">
        <v>2567</v>
      </c>
      <c r="U120" t="s">
        <v>2568</v>
      </c>
      <c r="V120">
        <v>5075372739</v>
      </c>
      <c r="W120" t="s">
        <v>2090</v>
      </c>
      <c r="X120">
        <v>5075372743</v>
      </c>
      <c r="Y120" t="s">
        <v>2569</v>
      </c>
      <c r="Z120" t="s">
        <v>2138</v>
      </c>
      <c r="AA120" t="s">
        <v>2170</v>
      </c>
      <c r="AB120" t="s">
        <v>1150</v>
      </c>
      <c r="AC120" t="s">
        <v>336</v>
      </c>
      <c r="AD120">
        <v>56258</v>
      </c>
      <c r="AE120">
        <v>1934</v>
      </c>
      <c r="AF120" t="s">
        <v>2170</v>
      </c>
      <c r="AG120" t="s">
        <v>3219</v>
      </c>
      <c r="AH120" t="s">
        <v>1360</v>
      </c>
      <c r="AI120" t="s">
        <v>953</v>
      </c>
      <c r="AJ120">
        <v>1</v>
      </c>
      <c r="AK120" t="s">
        <v>3220</v>
      </c>
      <c r="AL120" t="s">
        <v>2571</v>
      </c>
      <c r="AM120" t="s">
        <v>2572</v>
      </c>
      <c r="AN120" t="s">
        <v>425</v>
      </c>
      <c r="AO120">
        <v>5075379159</v>
      </c>
      <c r="AP120" t="s">
        <v>2090</v>
      </c>
      <c r="AQ120">
        <v>5075372743</v>
      </c>
      <c r="AR120" t="s">
        <v>2573</v>
      </c>
      <c r="AS120" t="s">
        <v>2138</v>
      </c>
      <c r="AT120" t="s">
        <v>2170</v>
      </c>
      <c r="AU120" t="s">
        <v>1150</v>
      </c>
      <c r="AV120" t="s">
        <v>336</v>
      </c>
      <c r="AW120">
        <v>56258</v>
      </c>
      <c r="AX120">
        <v>1934</v>
      </c>
      <c r="AY120" t="s">
        <v>2170</v>
      </c>
      <c r="AZ120" t="s">
        <v>2170</v>
      </c>
      <c r="BA120" t="s">
        <v>2170</v>
      </c>
      <c r="BB120" t="s">
        <v>2170</v>
      </c>
      <c r="BC120" t="s">
        <v>2170</v>
      </c>
      <c r="BD120" t="s">
        <v>2170</v>
      </c>
      <c r="BE120" t="s">
        <v>2170</v>
      </c>
      <c r="BF120" t="s">
        <v>2170</v>
      </c>
      <c r="BG120" t="s">
        <v>2170</v>
      </c>
      <c r="BH120" t="s">
        <v>2170</v>
      </c>
      <c r="BI120" t="s">
        <v>2170</v>
      </c>
      <c r="BJ120" t="s">
        <v>2170</v>
      </c>
      <c r="BK120" t="s">
        <v>2170</v>
      </c>
      <c r="BL120" t="s">
        <v>2566</v>
      </c>
      <c r="BM120" t="s">
        <v>2567</v>
      </c>
      <c r="BN120" t="s">
        <v>2568</v>
      </c>
      <c r="BO120">
        <v>5075372739</v>
      </c>
      <c r="BP120" t="s">
        <v>2090</v>
      </c>
      <c r="BQ120">
        <v>5075372743</v>
      </c>
      <c r="BR120" t="s">
        <v>2569</v>
      </c>
      <c r="BS120" t="s">
        <v>2138</v>
      </c>
      <c r="BT120" t="s">
        <v>2170</v>
      </c>
      <c r="BU120" t="s">
        <v>1150</v>
      </c>
      <c r="BV120" t="s">
        <v>336</v>
      </c>
      <c r="BW120">
        <v>56258</v>
      </c>
      <c r="BX120">
        <v>1934</v>
      </c>
      <c r="BY120" t="s">
        <v>370</v>
      </c>
    </row>
    <row r="121" spans="1:77" customFormat="1" x14ac:dyDescent="0.2">
      <c r="A121" s="504">
        <v>174</v>
      </c>
      <c r="B121">
        <v>1326045253</v>
      </c>
      <c r="C121" t="s">
        <v>2805</v>
      </c>
      <c r="D121" t="s">
        <v>842</v>
      </c>
      <c r="E121" t="s">
        <v>3221</v>
      </c>
      <c r="F121" t="s">
        <v>2090</v>
      </c>
      <c r="H121" t="s">
        <v>843</v>
      </c>
      <c r="I121" t="s">
        <v>336</v>
      </c>
      <c r="J121">
        <v>56296</v>
      </c>
      <c r="K121">
        <v>1070</v>
      </c>
      <c r="L121">
        <v>3205638226</v>
      </c>
      <c r="M121">
        <v>3205638012</v>
      </c>
      <c r="N121" t="s">
        <v>3222</v>
      </c>
      <c r="O121" t="s">
        <v>3223</v>
      </c>
      <c r="P121" t="s">
        <v>1069</v>
      </c>
      <c r="Q121" t="s">
        <v>3224</v>
      </c>
      <c r="R121" t="s">
        <v>2732</v>
      </c>
      <c r="S121" t="s">
        <v>1311</v>
      </c>
      <c r="T121" t="s">
        <v>1998</v>
      </c>
      <c r="U121" t="s">
        <v>2920</v>
      </c>
      <c r="V121">
        <v>6123764528</v>
      </c>
      <c r="W121" t="s">
        <v>2090</v>
      </c>
      <c r="X121">
        <v>6123764850</v>
      </c>
      <c r="Y121" t="s">
        <v>1999</v>
      </c>
      <c r="Z121" t="s">
        <v>2187</v>
      </c>
      <c r="AA121" t="s">
        <v>2170</v>
      </c>
      <c r="AB121" t="s">
        <v>119</v>
      </c>
      <c r="AC121" t="s">
        <v>336</v>
      </c>
      <c r="AD121">
        <v>55402</v>
      </c>
      <c r="AE121" t="s">
        <v>2170</v>
      </c>
      <c r="AF121" t="s">
        <v>120</v>
      </c>
      <c r="AG121" t="s">
        <v>1688</v>
      </c>
      <c r="AH121" t="s">
        <v>1274</v>
      </c>
      <c r="AI121" t="s">
        <v>953</v>
      </c>
      <c r="AJ121">
        <v>1</v>
      </c>
      <c r="AK121" t="s">
        <v>3225</v>
      </c>
      <c r="AL121" t="s">
        <v>2104</v>
      </c>
      <c r="AM121" t="s">
        <v>2925</v>
      </c>
      <c r="AN121" t="s">
        <v>2922</v>
      </c>
      <c r="AO121">
        <v>7012341213</v>
      </c>
      <c r="AP121" t="s">
        <v>2090</v>
      </c>
      <c r="AQ121" t="s">
        <v>2090</v>
      </c>
      <c r="AR121" t="s">
        <v>2923</v>
      </c>
      <c r="AS121" t="s">
        <v>2170</v>
      </c>
      <c r="AT121" t="s">
        <v>2170</v>
      </c>
      <c r="AU121" t="s">
        <v>2170</v>
      </c>
      <c r="AV121" t="s">
        <v>1995</v>
      </c>
      <c r="AW121" t="s">
        <v>2170</v>
      </c>
      <c r="AX121" t="s">
        <v>2170</v>
      </c>
      <c r="AY121" t="s">
        <v>2170</v>
      </c>
      <c r="AZ121" t="s">
        <v>2170</v>
      </c>
      <c r="BA121" t="s">
        <v>2170</v>
      </c>
      <c r="BB121" t="s">
        <v>2170</v>
      </c>
      <c r="BC121" t="s">
        <v>2170</v>
      </c>
      <c r="BD121" t="s">
        <v>2170</v>
      </c>
      <c r="BE121" t="s">
        <v>2170</v>
      </c>
      <c r="BF121" t="s">
        <v>2170</v>
      </c>
      <c r="BG121" t="s">
        <v>2170</v>
      </c>
      <c r="BH121" t="s">
        <v>2170</v>
      </c>
      <c r="BI121" t="s">
        <v>2170</v>
      </c>
      <c r="BJ121" t="s">
        <v>2170</v>
      </c>
      <c r="BK121" t="s">
        <v>2170</v>
      </c>
      <c r="BL121" t="s">
        <v>2170</v>
      </c>
      <c r="BM121" t="s">
        <v>2170</v>
      </c>
      <c r="BN121" t="s">
        <v>2170</v>
      </c>
      <c r="BO121" t="s">
        <v>2170</v>
      </c>
      <c r="BP121" t="s">
        <v>2170</v>
      </c>
      <c r="BQ121" t="s">
        <v>2170</v>
      </c>
      <c r="BR121" t="s">
        <v>2170</v>
      </c>
      <c r="BS121" t="s">
        <v>2170</v>
      </c>
      <c r="BT121" t="s">
        <v>2170</v>
      </c>
      <c r="BU121" t="s">
        <v>2170</v>
      </c>
      <c r="BV121" t="s">
        <v>2170</v>
      </c>
      <c r="BW121" t="s">
        <v>2170</v>
      </c>
      <c r="BX121" t="s">
        <v>2170</v>
      </c>
      <c r="BY121" t="s">
        <v>370</v>
      </c>
    </row>
    <row r="122" spans="1:77" customFormat="1" x14ac:dyDescent="0.2">
      <c r="A122" s="504">
        <v>175</v>
      </c>
      <c r="B122">
        <v>1639278609</v>
      </c>
      <c r="C122" t="s">
        <v>3226</v>
      </c>
      <c r="D122" t="s">
        <v>976</v>
      </c>
      <c r="E122" t="s">
        <v>3227</v>
      </c>
      <c r="F122" t="s">
        <v>2090</v>
      </c>
      <c r="H122" t="s">
        <v>977</v>
      </c>
      <c r="I122" t="s">
        <v>336</v>
      </c>
      <c r="J122">
        <v>55705</v>
      </c>
      <c r="K122">
        <v>1522</v>
      </c>
      <c r="L122">
        <v>2182292211</v>
      </c>
      <c r="M122">
        <v>2182292042</v>
      </c>
      <c r="N122" t="s">
        <v>134</v>
      </c>
      <c r="O122" t="s">
        <v>1163</v>
      </c>
      <c r="P122" t="s">
        <v>308</v>
      </c>
      <c r="Q122" t="s">
        <v>2180</v>
      </c>
      <c r="R122" t="s">
        <v>1839</v>
      </c>
      <c r="S122" t="s">
        <v>449</v>
      </c>
      <c r="T122" t="s">
        <v>3228</v>
      </c>
      <c r="U122" t="s">
        <v>3229</v>
      </c>
      <c r="V122">
        <v>2187861463</v>
      </c>
      <c r="W122" t="s">
        <v>2090</v>
      </c>
      <c r="X122" t="s">
        <v>2090</v>
      </c>
      <c r="Y122" t="s">
        <v>3230</v>
      </c>
      <c r="Z122" t="s">
        <v>2181</v>
      </c>
      <c r="AA122" t="s">
        <v>2170</v>
      </c>
      <c r="AB122" t="s">
        <v>1298</v>
      </c>
      <c r="AC122" t="s">
        <v>336</v>
      </c>
      <c r="AD122">
        <v>55805</v>
      </c>
      <c r="AE122">
        <v>1984</v>
      </c>
      <c r="AF122" t="s">
        <v>2170</v>
      </c>
      <c r="AG122" t="s">
        <v>2182</v>
      </c>
      <c r="AH122" t="s">
        <v>2091</v>
      </c>
      <c r="AI122" t="s">
        <v>953</v>
      </c>
      <c r="AJ122">
        <v>1</v>
      </c>
      <c r="AK122" t="s">
        <v>1262</v>
      </c>
      <c r="AL122" t="s">
        <v>2183</v>
      </c>
      <c r="AM122" t="s">
        <v>2184</v>
      </c>
      <c r="AN122" t="s">
        <v>2945</v>
      </c>
      <c r="AO122">
        <v>2187861419</v>
      </c>
      <c r="AP122" t="s">
        <v>2090</v>
      </c>
      <c r="AQ122" t="s">
        <v>2090</v>
      </c>
      <c r="AR122" t="s">
        <v>2185</v>
      </c>
      <c r="AS122" t="s">
        <v>2181</v>
      </c>
      <c r="AT122" t="s">
        <v>2170</v>
      </c>
      <c r="AU122" t="s">
        <v>1298</v>
      </c>
      <c r="AV122" t="s">
        <v>336</v>
      </c>
      <c r="AW122">
        <v>55805</v>
      </c>
      <c r="AX122" t="s">
        <v>2170</v>
      </c>
      <c r="AY122" t="s">
        <v>2170</v>
      </c>
      <c r="AZ122" t="s">
        <v>2170</v>
      </c>
      <c r="BA122" t="s">
        <v>2170</v>
      </c>
      <c r="BB122" t="s">
        <v>2170</v>
      </c>
      <c r="BC122" t="s">
        <v>2170</v>
      </c>
      <c r="BD122" t="s">
        <v>2170</v>
      </c>
      <c r="BE122" t="s">
        <v>2170</v>
      </c>
      <c r="BF122" t="s">
        <v>2170</v>
      </c>
      <c r="BG122" t="s">
        <v>2170</v>
      </c>
      <c r="BH122" t="s">
        <v>2170</v>
      </c>
      <c r="BI122" t="s">
        <v>2170</v>
      </c>
      <c r="BJ122" t="s">
        <v>2170</v>
      </c>
      <c r="BK122" t="s">
        <v>2170</v>
      </c>
      <c r="BL122" t="s">
        <v>1266</v>
      </c>
      <c r="BM122" t="s">
        <v>2946</v>
      </c>
      <c r="BN122" t="s">
        <v>2947</v>
      </c>
      <c r="BO122">
        <v>2187868169</v>
      </c>
      <c r="BP122" t="s">
        <v>2090</v>
      </c>
      <c r="BQ122">
        <v>2187868406</v>
      </c>
      <c r="BR122" t="s">
        <v>2948</v>
      </c>
      <c r="BS122" t="s">
        <v>2181</v>
      </c>
      <c r="BT122" t="s">
        <v>2170</v>
      </c>
      <c r="BU122" t="s">
        <v>1298</v>
      </c>
      <c r="BV122" t="s">
        <v>336</v>
      </c>
      <c r="BW122">
        <v>55805</v>
      </c>
      <c r="BX122" t="s">
        <v>2170</v>
      </c>
      <c r="BY122" t="s">
        <v>370</v>
      </c>
    </row>
    <row r="123" spans="1:77" customFormat="1" x14ac:dyDescent="0.2">
      <c r="A123" s="504">
        <v>176</v>
      </c>
      <c r="B123">
        <v>1841288644</v>
      </c>
      <c r="C123" t="s">
        <v>2806</v>
      </c>
      <c r="D123" t="s">
        <v>850</v>
      </c>
      <c r="E123" t="s">
        <v>3231</v>
      </c>
      <c r="F123" t="s">
        <v>2090</v>
      </c>
      <c r="H123" t="s">
        <v>840</v>
      </c>
      <c r="I123" t="s">
        <v>336</v>
      </c>
      <c r="J123">
        <v>56101</v>
      </c>
      <c r="K123">
        <v>1287</v>
      </c>
      <c r="L123">
        <v>5078312400</v>
      </c>
      <c r="M123">
        <v>5078315749</v>
      </c>
      <c r="N123" t="s">
        <v>2160</v>
      </c>
      <c r="O123" t="s">
        <v>2161</v>
      </c>
      <c r="P123" t="s">
        <v>346</v>
      </c>
      <c r="Q123" t="s">
        <v>2162</v>
      </c>
      <c r="R123" t="s">
        <v>3232</v>
      </c>
      <c r="S123" t="s">
        <v>1301</v>
      </c>
      <c r="T123" t="s">
        <v>3233</v>
      </c>
      <c r="U123" t="s">
        <v>341</v>
      </c>
      <c r="V123">
        <v>5078310689</v>
      </c>
      <c r="W123" t="s">
        <v>2090</v>
      </c>
      <c r="X123">
        <v>5078315749</v>
      </c>
      <c r="Y123" t="s">
        <v>3234</v>
      </c>
      <c r="Z123" t="s">
        <v>2170</v>
      </c>
      <c r="AA123" t="s">
        <v>2170</v>
      </c>
      <c r="AB123" t="s">
        <v>2170</v>
      </c>
      <c r="AC123" t="s">
        <v>1995</v>
      </c>
      <c r="AD123" t="s">
        <v>2170</v>
      </c>
      <c r="AE123" t="s">
        <v>2170</v>
      </c>
      <c r="AF123" t="s">
        <v>2170</v>
      </c>
      <c r="AG123" t="s">
        <v>851</v>
      </c>
      <c r="AH123" t="s">
        <v>1274</v>
      </c>
      <c r="AI123" t="s">
        <v>1060</v>
      </c>
      <c r="AJ123">
        <v>1</v>
      </c>
      <c r="AK123" t="s">
        <v>1254</v>
      </c>
      <c r="AL123" t="s">
        <v>2170</v>
      </c>
      <c r="AM123" t="s">
        <v>2170</v>
      </c>
      <c r="AN123" t="s">
        <v>2170</v>
      </c>
      <c r="AO123" t="s">
        <v>2170</v>
      </c>
      <c r="AP123" t="s">
        <v>2170</v>
      </c>
      <c r="AQ123" t="s">
        <v>2170</v>
      </c>
      <c r="AR123" t="s">
        <v>2170</v>
      </c>
      <c r="AS123" t="s">
        <v>2170</v>
      </c>
      <c r="AT123" t="s">
        <v>2170</v>
      </c>
      <c r="AU123" t="s">
        <v>2170</v>
      </c>
      <c r="AV123" t="s">
        <v>2170</v>
      </c>
      <c r="AW123" t="s">
        <v>2170</v>
      </c>
      <c r="AX123" t="s">
        <v>2170</v>
      </c>
      <c r="AY123" t="s">
        <v>2170</v>
      </c>
      <c r="AZ123" t="s">
        <v>2170</v>
      </c>
      <c r="BA123" t="s">
        <v>2170</v>
      </c>
      <c r="BB123" t="s">
        <v>2170</v>
      </c>
      <c r="BC123" t="s">
        <v>2170</v>
      </c>
      <c r="BD123" t="s">
        <v>2170</v>
      </c>
      <c r="BE123" t="s">
        <v>2170</v>
      </c>
      <c r="BF123" t="s">
        <v>2170</v>
      </c>
      <c r="BG123" t="s">
        <v>2170</v>
      </c>
      <c r="BH123" t="s">
        <v>2170</v>
      </c>
      <c r="BI123" t="s">
        <v>2170</v>
      </c>
      <c r="BJ123" t="s">
        <v>2170</v>
      </c>
      <c r="BK123" t="s">
        <v>2170</v>
      </c>
      <c r="BL123" t="s">
        <v>1301</v>
      </c>
      <c r="BM123" t="s">
        <v>3233</v>
      </c>
      <c r="BN123" t="s">
        <v>341</v>
      </c>
      <c r="BO123">
        <v>5078310689</v>
      </c>
      <c r="BP123" t="s">
        <v>2090</v>
      </c>
      <c r="BQ123">
        <v>5078315749</v>
      </c>
      <c r="BR123" t="s">
        <v>3234</v>
      </c>
      <c r="BS123" t="s">
        <v>2170</v>
      </c>
      <c r="BT123" t="s">
        <v>2170</v>
      </c>
      <c r="BU123" t="s">
        <v>2170</v>
      </c>
      <c r="BV123" t="s">
        <v>1995</v>
      </c>
      <c r="BW123" t="s">
        <v>2170</v>
      </c>
      <c r="BX123" t="s">
        <v>2170</v>
      </c>
      <c r="BY123" t="s">
        <v>366</v>
      </c>
    </row>
    <row r="124" spans="1:77" customFormat="1" x14ac:dyDescent="0.2">
      <c r="A124" s="504">
        <v>177</v>
      </c>
      <c r="B124">
        <v>1396712618</v>
      </c>
      <c r="C124" t="s">
        <v>1691</v>
      </c>
      <c r="D124" t="s">
        <v>863</v>
      </c>
      <c r="E124" t="s">
        <v>3235</v>
      </c>
      <c r="F124" t="s">
        <v>2090</v>
      </c>
      <c r="H124" t="s">
        <v>864</v>
      </c>
      <c r="I124" t="s">
        <v>336</v>
      </c>
      <c r="J124">
        <v>56187</v>
      </c>
      <c r="K124">
        <v>2202</v>
      </c>
      <c r="L124">
        <v>5073722941</v>
      </c>
      <c r="M124">
        <v>5073723240</v>
      </c>
      <c r="N124" t="s">
        <v>1166</v>
      </c>
      <c r="O124" t="s">
        <v>2807</v>
      </c>
      <c r="P124" t="s">
        <v>1838</v>
      </c>
      <c r="Q124" t="s">
        <v>2808</v>
      </c>
      <c r="R124" t="s">
        <v>2809</v>
      </c>
      <c r="S124" t="s">
        <v>1311</v>
      </c>
      <c r="T124" t="s">
        <v>1998</v>
      </c>
      <c r="U124" t="s">
        <v>2920</v>
      </c>
      <c r="V124">
        <v>6123764528</v>
      </c>
      <c r="W124" t="s">
        <v>2090</v>
      </c>
      <c r="X124">
        <v>6123764850</v>
      </c>
      <c r="Y124" t="s">
        <v>1999</v>
      </c>
      <c r="Z124" t="s">
        <v>2187</v>
      </c>
      <c r="AA124" t="s">
        <v>2170</v>
      </c>
      <c r="AB124" t="s">
        <v>119</v>
      </c>
      <c r="AC124" t="s">
        <v>336</v>
      </c>
      <c r="AD124">
        <v>55402</v>
      </c>
      <c r="AE124" t="s">
        <v>2170</v>
      </c>
      <c r="AF124" t="s">
        <v>120</v>
      </c>
      <c r="AG124" t="s">
        <v>1331</v>
      </c>
      <c r="AH124" t="s">
        <v>1274</v>
      </c>
      <c r="AI124" t="s">
        <v>953</v>
      </c>
      <c r="AJ124">
        <v>0</v>
      </c>
      <c r="AK124" t="s">
        <v>2810</v>
      </c>
      <c r="AL124" t="s">
        <v>2811</v>
      </c>
      <c r="AM124" t="s">
        <v>2666</v>
      </c>
      <c r="AN124" t="s">
        <v>2812</v>
      </c>
      <c r="AO124">
        <v>0</v>
      </c>
      <c r="AP124" t="s">
        <v>2090</v>
      </c>
      <c r="AQ124" t="s">
        <v>2090</v>
      </c>
      <c r="AR124" t="s">
        <v>2813</v>
      </c>
      <c r="AS124" t="s">
        <v>2170</v>
      </c>
      <c r="AT124" t="s">
        <v>2170</v>
      </c>
      <c r="AU124" t="s">
        <v>2170</v>
      </c>
      <c r="AV124" t="s">
        <v>1995</v>
      </c>
      <c r="AW124" t="s">
        <v>2170</v>
      </c>
      <c r="AX124" t="s">
        <v>2170</v>
      </c>
      <c r="AY124" t="s">
        <v>2104</v>
      </c>
      <c r="AZ124" t="s">
        <v>2925</v>
      </c>
      <c r="BA124" t="s">
        <v>2922</v>
      </c>
      <c r="BB124">
        <v>7012341213</v>
      </c>
      <c r="BC124" t="s">
        <v>2090</v>
      </c>
      <c r="BD124" t="s">
        <v>2090</v>
      </c>
      <c r="BE124" t="s">
        <v>2923</v>
      </c>
      <c r="BF124" t="s">
        <v>2170</v>
      </c>
      <c r="BG124" t="s">
        <v>2170</v>
      </c>
      <c r="BH124" t="s">
        <v>2170</v>
      </c>
      <c r="BI124" t="s">
        <v>2170</v>
      </c>
      <c r="BJ124" t="s">
        <v>2170</v>
      </c>
      <c r="BK124" t="s">
        <v>2170</v>
      </c>
      <c r="BL124" t="s">
        <v>2811</v>
      </c>
      <c r="BM124" t="s">
        <v>2666</v>
      </c>
      <c r="BN124" t="s">
        <v>2812</v>
      </c>
      <c r="BO124">
        <v>0</v>
      </c>
      <c r="BP124" t="s">
        <v>2090</v>
      </c>
      <c r="BQ124" t="s">
        <v>2090</v>
      </c>
      <c r="BR124" t="s">
        <v>2813</v>
      </c>
      <c r="BS124" t="s">
        <v>2170</v>
      </c>
      <c r="BT124" t="s">
        <v>2170</v>
      </c>
      <c r="BU124" t="s">
        <v>2170</v>
      </c>
      <c r="BV124" t="s">
        <v>1995</v>
      </c>
      <c r="BW124" t="s">
        <v>2170</v>
      </c>
      <c r="BX124" t="s">
        <v>2170</v>
      </c>
      <c r="BY124" t="s">
        <v>370</v>
      </c>
    </row>
    <row r="125" spans="1:77" customFormat="1" x14ac:dyDescent="0.2">
      <c r="A125" s="504">
        <v>180</v>
      </c>
      <c r="B125">
        <v>1447218482</v>
      </c>
      <c r="C125" t="s">
        <v>2814</v>
      </c>
      <c r="D125" t="s">
        <v>359</v>
      </c>
      <c r="E125" t="s">
        <v>2550</v>
      </c>
      <c r="F125" t="s">
        <v>2090</v>
      </c>
      <c r="H125" t="s">
        <v>1048</v>
      </c>
      <c r="I125" t="s">
        <v>336</v>
      </c>
      <c r="J125">
        <v>55109</v>
      </c>
      <c r="K125">
        <v>1126</v>
      </c>
      <c r="L125">
        <v>6512327000</v>
      </c>
      <c r="M125">
        <v>6512323601</v>
      </c>
      <c r="N125" t="s">
        <v>2624</v>
      </c>
      <c r="O125" t="s">
        <v>2620</v>
      </c>
      <c r="P125" t="s">
        <v>2977</v>
      </c>
      <c r="Q125" t="s">
        <v>2885</v>
      </c>
      <c r="R125" t="s">
        <v>2587</v>
      </c>
      <c r="S125" t="s">
        <v>2588</v>
      </c>
      <c r="T125" t="s">
        <v>2589</v>
      </c>
      <c r="U125" t="s">
        <v>1881</v>
      </c>
      <c r="V125">
        <v>6126722287</v>
      </c>
      <c r="W125" t="s">
        <v>2090</v>
      </c>
      <c r="X125">
        <v>6126726986</v>
      </c>
      <c r="Y125" t="s">
        <v>2590</v>
      </c>
      <c r="Z125" t="s">
        <v>2889</v>
      </c>
      <c r="AA125" t="s">
        <v>2170</v>
      </c>
      <c r="AB125" t="s">
        <v>2307</v>
      </c>
      <c r="AC125" t="s">
        <v>1995</v>
      </c>
      <c r="AD125">
        <v>55104</v>
      </c>
      <c r="AE125" t="s">
        <v>2170</v>
      </c>
      <c r="AF125" t="s">
        <v>1048</v>
      </c>
      <c r="AG125" t="s">
        <v>361</v>
      </c>
      <c r="AH125" t="s">
        <v>2773</v>
      </c>
      <c r="AI125" t="s">
        <v>953</v>
      </c>
      <c r="AJ125">
        <v>0</v>
      </c>
      <c r="AK125" t="s">
        <v>1513</v>
      </c>
      <c r="AL125" t="s">
        <v>204</v>
      </c>
      <c r="AM125" t="s">
        <v>1267</v>
      </c>
      <c r="AN125" t="s">
        <v>2591</v>
      </c>
      <c r="AO125">
        <v>6126726736</v>
      </c>
      <c r="AP125" t="s">
        <v>2090</v>
      </c>
      <c r="AQ125">
        <v>6126726986</v>
      </c>
      <c r="AR125" t="s">
        <v>1268</v>
      </c>
      <c r="AS125" t="s">
        <v>2889</v>
      </c>
      <c r="AT125" t="s">
        <v>2170</v>
      </c>
      <c r="AU125" t="s">
        <v>2307</v>
      </c>
      <c r="AV125" t="s">
        <v>1995</v>
      </c>
      <c r="AW125">
        <v>55104</v>
      </c>
      <c r="AX125" t="s">
        <v>2170</v>
      </c>
      <c r="AY125" t="s">
        <v>1620</v>
      </c>
      <c r="AZ125" t="s">
        <v>2890</v>
      </c>
      <c r="BA125" t="s">
        <v>2007</v>
      </c>
      <c r="BB125">
        <v>6126727067</v>
      </c>
      <c r="BC125" t="s">
        <v>2090</v>
      </c>
      <c r="BD125">
        <v>6126726986</v>
      </c>
      <c r="BE125" t="s">
        <v>1313</v>
      </c>
      <c r="BF125" t="s">
        <v>2889</v>
      </c>
      <c r="BG125" t="s">
        <v>2170</v>
      </c>
      <c r="BH125" t="s">
        <v>2307</v>
      </c>
      <c r="BI125" t="s">
        <v>1995</v>
      </c>
      <c r="BJ125">
        <v>55104</v>
      </c>
      <c r="BK125" t="s">
        <v>2170</v>
      </c>
      <c r="BL125" t="s">
        <v>2891</v>
      </c>
      <c r="BM125" t="s">
        <v>2892</v>
      </c>
      <c r="BN125" t="s">
        <v>2203</v>
      </c>
      <c r="BO125">
        <v>6126724923</v>
      </c>
      <c r="BP125" t="s">
        <v>2090</v>
      </c>
      <c r="BQ125" t="s">
        <v>2090</v>
      </c>
      <c r="BR125" t="s">
        <v>2893</v>
      </c>
      <c r="BS125" t="s">
        <v>2894</v>
      </c>
      <c r="BT125" t="s">
        <v>2170</v>
      </c>
      <c r="BU125" t="s">
        <v>2177</v>
      </c>
      <c r="BV125" t="s">
        <v>336</v>
      </c>
      <c r="BW125">
        <v>55104</v>
      </c>
      <c r="BX125" t="s">
        <v>2170</v>
      </c>
      <c r="BY125" t="s">
        <v>370</v>
      </c>
    </row>
    <row r="126" spans="1:77" customFormat="1" x14ac:dyDescent="0.2">
      <c r="A126" s="504">
        <v>183</v>
      </c>
      <c r="B126">
        <v>1770585382</v>
      </c>
      <c r="C126" t="s">
        <v>436</v>
      </c>
      <c r="D126" t="s">
        <v>437</v>
      </c>
      <c r="E126" t="s">
        <v>3236</v>
      </c>
      <c r="F126" t="s">
        <v>2090</v>
      </c>
      <c r="H126" t="s">
        <v>129</v>
      </c>
      <c r="I126" t="s">
        <v>336</v>
      </c>
      <c r="J126">
        <v>55422</v>
      </c>
      <c r="K126">
        <v>4286</v>
      </c>
      <c r="L126">
        <v>7635882750</v>
      </c>
      <c r="M126">
        <v>7635213805</v>
      </c>
      <c r="N126" t="s">
        <v>2815</v>
      </c>
      <c r="O126" t="s">
        <v>2816</v>
      </c>
      <c r="P126" t="s">
        <v>338</v>
      </c>
      <c r="Q126" t="s">
        <v>2817</v>
      </c>
      <c r="R126" t="s">
        <v>1692</v>
      </c>
      <c r="S126" t="s">
        <v>1327</v>
      </c>
      <c r="T126" t="s">
        <v>2228</v>
      </c>
      <c r="U126" t="s">
        <v>2229</v>
      </c>
      <c r="V126">
        <v>7177306803</v>
      </c>
      <c r="W126" t="s">
        <v>2090</v>
      </c>
      <c r="X126" t="s">
        <v>2090</v>
      </c>
      <c r="Y126" t="s">
        <v>2230</v>
      </c>
      <c r="Z126" t="s">
        <v>2231</v>
      </c>
      <c r="AA126" t="s">
        <v>2170</v>
      </c>
      <c r="AB126" t="s">
        <v>1872</v>
      </c>
      <c r="AC126" t="s">
        <v>1873</v>
      </c>
      <c r="AD126">
        <v>17055</v>
      </c>
      <c r="AE126" t="s">
        <v>2170</v>
      </c>
      <c r="AF126" t="s">
        <v>3237</v>
      </c>
      <c r="AG126" t="s">
        <v>1693</v>
      </c>
      <c r="AH126" t="s">
        <v>1694</v>
      </c>
      <c r="AI126" t="s">
        <v>953</v>
      </c>
      <c r="AJ126">
        <v>0</v>
      </c>
      <c r="AK126" t="s">
        <v>1695</v>
      </c>
      <c r="AL126" t="s">
        <v>2170</v>
      </c>
      <c r="AM126" t="s">
        <v>2170</v>
      </c>
      <c r="AN126" t="s">
        <v>2170</v>
      </c>
      <c r="AO126" t="s">
        <v>2170</v>
      </c>
      <c r="AP126" t="s">
        <v>2170</v>
      </c>
      <c r="AQ126" t="s">
        <v>2170</v>
      </c>
      <c r="AR126" t="s">
        <v>2170</v>
      </c>
      <c r="AS126" t="s">
        <v>2170</v>
      </c>
      <c r="AT126" t="s">
        <v>2170</v>
      </c>
      <c r="AU126" t="s">
        <v>2170</v>
      </c>
      <c r="AV126" t="s">
        <v>2170</v>
      </c>
      <c r="AW126" t="s">
        <v>2170</v>
      </c>
      <c r="AX126" t="s">
        <v>2170</v>
      </c>
      <c r="AY126" t="s">
        <v>2170</v>
      </c>
      <c r="AZ126" t="s">
        <v>2170</v>
      </c>
      <c r="BA126" t="s">
        <v>2170</v>
      </c>
      <c r="BB126" t="s">
        <v>2170</v>
      </c>
      <c r="BC126" t="s">
        <v>2170</v>
      </c>
      <c r="BD126" t="s">
        <v>2170</v>
      </c>
      <c r="BE126" t="s">
        <v>2170</v>
      </c>
      <c r="BF126" t="s">
        <v>2170</v>
      </c>
      <c r="BG126" t="s">
        <v>2170</v>
      </c>
      <c r="BH126" t="s">
        <v>2170</v>
      </c>
      <c r="BI126" t="s">
        <v>2170</v>
      </c>
      <c r="BJ126" t="s">
        <v>2170</v>
      </c>
      <c r="BK126" t="s">
        <v>2170</v>
      </c>
      <c r="BL126" t="s">
        <v>2815</v>
      </c>
      <c r="BM126" t="s">
        <v>2816</v>
      </c>
      <c r="BN126" t="s">
        <v>338</v>
      </c>
      <c r="BO126">
        <v>7635882750</v>
      </c>
      <c r="BP126" t="s">
        <v>2090</v>
      </c>
      <c r="BQ126">
        <v>7635213805</v>
      </c>
      <c r="BR126" t="s">
        <v>2818</v>
      </c>
      <c r="BS126" t="s">
        <v>2170</v>
      </c>
      <c r="BT126" t="s">
        <v>2170</v>
      </c>
      <c r="BU126" t="s">
        <v>1696</v>
      </c>
      <c r="BV126" t="s">
        <v>336</v>
      </c>
      <c r="BW126" t="s">
        <v>2170</v>
      </c>
      <c r="BX126" t="s">
        <v>2170</v>
      </c>
      <c r="BY126" t="s">
        <v>374</v>
      </c>
    </row>
    <row r="127" spans="1:77" customFormat="1" x14ac:dyDescent="0.2">
      <c r="A127" s="504">
        <v>184</v>
      </c>
      <c r="B127" t="s">
        <v>2170</v>
      </c>
      <c r="C127" t="s">
        <v>2170</v>
      </c>
      <c r="D127" t="s">
        <v>2170</v>
      </c>
      <c r="E127" t="s">
        <v>2170</v>
      </c>
      <c r="F127" t="s">
        <v>2170</v>
      </c>
      <c r="H127" t="s">
        <v>2170</v>
      </c>
      <c r="I127" t="s">
        <v>2170</v>
      </c>
      <c r="J127" t="s">
        <v>2170</v>
      </c>
      <c r="K127" t="s">
        <v>2170</v>
      </c>
      <c r="L127" t="s">
        <v>2170</v>
      </c>
      <c r="M127" t="s">
        <v>2170</v>
      </c>
      <c r="N127" t="s">
        <v>2170</v>
      </c>
      <c r="O127" t="s">
        <v>2170</v>
      </c>
      <c r="P127" t="s">
        <v>2170</v>
      </c>
      <c r="Q127" t="s">
        <v>2170</v>
      </c>
      <c r="R127" t="s">
        <v>2170</v>
      </c>
      <c r="S127" t="s">
        <v>2170</v>
      </c>
      <c r="T127" t="s">
        <v>2170</v>
      </c>
      <c r="U127" t="s">
        <v>2170</v>
      </c>
      <c r="V127" t="s">
        <v>2170</v>
      </c>
      <c r="W127" t="s">
        <v>2170</v>
      </c>
      <c r="X127" t="s">
        <v>2170</v>
      </c>
      <c r="Y127" t="s">
        <v>2170</v>
      </c>
      <c r="Z127" t="s">
        <v>2170</v>
      </c>
      <c r="AA127" t="s">
        <v>2170</v>
      </c>
      <c r="AB127" t="s">
        <v>2170</v>
      </c>
      <c r="AC127" t="s">
        <v>2170</v>
      </c>
      <c r="AD127" t="s">
        <v>2170</v>
      </c>
      <c r="AE127" t="s">
        <v>2170</v>
      </c>
      <c r="AF127" t="s">
        <v>2170</v>
      </c>
      <c r="AG127" t="s">
        <v>2170</v>
      </c>
      <c r="AH127" t="s">
        <v>2170</v>
      </c>
      <c r="AI127" t="s">
        <v>2170</v>
      </c>
      <c r="AJ127" t="s">
        <v>2170</v>
      </c>
      <c r="AK127" t="s">
        <v>2170</v>
      </c>
      <c r="AL127" t="s">
        <v>2170</v>
      </c>
      <c r="AM127" t="s">
        <v>2170</v>
      </c>
      <c r="AN127" t="s">
        <v>2170</v>
      </c>
      <c r="AO127" t="s">
        <v>2170</v>
      </c>
      <c r="AP127" t="s">
        <v>2170</v>
      </c>
      <c r="AQ127" t="s">
        <v>2170</v>
      </c>
      <c r="AR127" t="s">
        <v>2170</v>
      </c>
      <c r="AS127" t="s">
        <v>2170</v>
      </c>
      <c r="AT127" t="s">
        <v>2170</v>
      </c>
      <c r="AU127" t="s">
        <v>2170</v>
      </c>
      <c r="AV127" t="s">
        <v>2170</v>
      </c>
      <c r="AW127" t="s">
        <v>2170</v>
      </c>
      <c r="AX127" t="s">
        <v>2170</v>
      </c>
      <c r="AY127" t="s">
        <v>2170</v>
      </c>
      <c r="AZ127" t="s">
        <v>2170</v>
      </c>
      <c r="BA127" t="s">
        <v>2170</v>
      </c>
      <c r="BB127" t="s">
        <v>2170</v>
      </c>
      <c r="BC127" t="s">
        <v>2170</v>
      </c>
      <c r="BD127" t="s">
        <v>2170</v>
      </c>
      <c r="BE127" t="s">
        <v>2170</v>
      </c>
      <c r="BF127" t="s">
        <v>2170</v>
      </c>
      <c r="BG127" t="s">
        <v>2170</v>
      </c>
      <c r="BH127" t="s">
        <v>2170</v>
      </c>
      <c r="BI127" t="s">
        <v>2170</v>
      </c>
      <c r="BJ127" t="s">
        <v>2170</v>
      </c>
      <c r="BK127" t="s">
        <v>2170</v>
      </c>
      <c r="BL127" t="s">
        <v>2170</v>
      </c>
      <c r="BM127" t="s">
        <v>2170</v>
      </c>
      <c r="BN127" t="s">
        <v>2170</v>
      </c>
      <c r="BO127" t="s">
        <v>2170</v>
      </c>
      <c r="BP127" t="s">
        <v>2170</v>
      </c>
      <c r="BQ127" t="s">
        <v>2170</v>
      </c>
      <c r="BR127" t="s">
        <v>2170</v>
      </c>
      <c r="BS127" t="s">
        <v>2170</v>
      </c>
      <c r="BT127" t="s">
        <v>2170</v>
      </c>
      <c r="BU127" t="s">
        <v>2170</v>
      </c>
      <c r="BV127" t="s">
        <v>2170</v>
      </c>
      <c r="BW127" t="s">
        <v>2170</v>
      </c>
      <c r="BX127" t="s">
        <v>2170</v>
      </c>
      <c r="BY127" t="s">
        <v>2170</v>
      </c>
    </row>
    <row r="128" spans="1:77" customFormat="1" x14ac:dyDescent="0.2">
      <c r="A128" s="504">
        <v>185</v>
      </c>
      <c r="B128">
        <v>1013994359</v>
      </c>
      <c r="C128" t="s">
        <v>2819</v>
      </c>
      <c r="D128" t="s">
        <v>125</v>
      </c>
      <c r="E128" t="s">
        <v>1968</v>
      </c>
      <c r="F128" t="s">
        <v>2090</v>
      </c>
      <c r="H128" t="s">
        <v>129</v>
      </c>
      <c r="I128" t="s">
        <v>336</v>
      </c>
      <c r="J128">
        <v>55454</v>
      </c>
      <c r="K128">
        <v>1450</v>
      </c>
      <c r="L128">
        <v>6126726000</v>
      </c>
      <c r="M128">
        <v>6126724098</v>
      </c>
      <c r="N128" t="s">
        <v>1362</v>
      </c>
      <c r="O128" t="s">
        <v>362</v>
      </c>
      <c r="P128" t="s">
        <v>3238</v>
      </c>
      <c r="Q128" t="s">
        <v>3239</v>
      </c>
      <c r="R128" t="s">
        <v>2587</v>
      </c>
      <c r="S128" t="s">
        <v>470</v>
      </c>
      <c r="T128" t="s">
        <v>1332</v>
      </c>
      <c r="U128" t="s">
        <v>1881</v>
      </c>
      <c r="V128">
        <v>6126726883</v>
      </c>
      <c r="W128" t="s">
        <v>2090</v>
      </c>
      <c r="X128" t="s">
        <v>2090</v>
      </c>
      <c r="Y128" t="s">
        <v>3240</v>
      </c>
      <c r="Z128" t="s">
        <v>2980</v>
      </c>
      <c r="AA128" t="s">
        <v>2170</v>
      </c>
      <c r="AB128" t="s">
        <v>968</v>
      </c>
      <c r="AC128" t="s">
        <v>336</v>
      </c>
      <c r="AD128">
        <v>55104</v>
      </c>
      <c r="AE128">
        <v>3727</v>
      </c>
      <c r="AF128" t="s">
        <v>2978</v>
      </c>
      <c r="AG128" t="s">
        <v>3241</v>
      </c>
      <c r="AH128" t="s">
        <v>2773</v>
      </c>
      <c r="AI128" t="s">
        <v>953</v>
      </c>
      <c r="AJ128">
        <v>0</v>
      </c>
      <c r="AK128" t="s">
        <v>2272</v>
      </c>
      <c r="AL128" t="s">
        <v>1620</v>
      </c>
      <c r="AM128" t="s">
        <v>2890</v>
      </c>
      <c r="AN128" t="s">
        <v>2007</v>
      </c>
      <c r="AO128">
        <v>6126727067</v>
      </c>
      <c r="AP128" t="s">
        <v>2090</v>
      </c>
      <c r="AQ128" t="s">
        <v>2090</v>
      </c>
      <c r="AR128" t="s">
        <v>3242</v>
      </c>
      <c r="AS128" t="s">
        <v>2980</v>
      </c>
      <c r="AT128" t="s">
        <v>2170</v>
      </c>
      <c r="AU128" t="s">
        <v>968</v>
      </c>
      <c r="AV128" t="s">
        <v>336</v>
      </c>
      <c r="AW128">
        <v>55104</v>
      </c>
      <c r="AX128">
        <v>3727</v>
      </c>
      <c r="AY128" t="s">
        <v>204</v>
      </c>
      <c r="AZ128" t="s">
        <v>1267</v>
      </c>
      <c r="BA128" t="s">
        <v>2591</v>
      </c>
      <c r="BB128">
        <v>6126726736</v>
      </c>
      <c r="BC128" t="s">
        <v>2090</v>
      </c>
      <c r="BD128" t="s">
        <v>2090</v>
      </c>
      <c r="BE128" t="s">
        <v>2979</v>
      </c>
      <c r="BF128" t="s">
        <v>2980</v>
      </c>
      <c r="BG128" t="s">
        <v>2170</v>
      </c>
      <c r="BH128" t="s">
        <v>968</v>
      </c>
      <c r="BI128" t="s">
        <v>336</v>
      </c>
      <c r="BJ128">
        <v>55104</v>
      </c>
      <c r="BK128">
        <v>3727</v>
      </c>
      <c r="BL128" t="s">
        <v>2891</v>
      </c>
      <c r="BM128" t="s">
        <v>2892</v>
      </c>
      <c r="BN128" t="s">
        <v>2203</v>
      </c>
      <c r="BO128">
        <v>6126724923</v>
      </c>
      <c r="BP128" t="s">
        <v>2090</v>
      </c>
      <c r="BQ128" t="s">
        <v>2090</v>
      </c>
      <c r="BR128" t="s">
        <v>2893</v>
      </c>
      <c r="BS128" t="s">
        <v>2894</v>
      </c>
      <c r="BT128" t="s">
        <v>2170</v>
      </c>
      <c r="BU128" t="s">
        <v>2177</v>
      </c>
      <c r="BV128" t="s">
        <v>336</v>
      </c>
      <c r="BW128">
        <v>55104</v>
      </c>
      <c r="BX128" t="s">
        <v>2170</v>
      </c>
      <c r="BY128" t="s">
        <v>370</v>
      </c>
    </row>
    <row r="129" spans="1:77" customFormat="1" x14ac:dyDescent="0.2">
      <c r="A129" s="504">
        <v>186</v>
      </c>
      <c r="B129">
        <v>1083692941</v>
      </c>
      <c r="C129" t="s">
        <v>2820</v>
      </c>
      <c r="D129" t="s">
        <v>865</v>
      </c>
      <c r="E129" t="s">
        <v>2821</v>
      </c>
      <c r="F129" t="s">
        <v>2090</v>
      </c>
      <c r="H129" t="s">
        <v>866</v>
      </c>
      <c r="I129" t="s">
        <v>336</v>
      </c>
      <c r="J129">
        <v>55092</v>
      </c>
      <c r="K129">
        <v>8013</v>
      </c>
      <c r="L129">
        <v>6519827000</v>
      </c>
      <c r="M129">
        <v>6519827110</v>
      </c>
      <c r="N129" t="s">
        <v>2624</v>
      </c>
      <c r="O129" t="s">
        <v>2620</v>
      </c>
      <c r="P129" t="s">
        <v>2621</v>
      </c>
      <c r="Q129" t="s">
        <v>2885</v>
      </c>
      <c r="R129" t="s">
        <v>2822</v>
      </c>
      <c r="S129" t="s">
        <v>2970</v>
      </c>
      <c r="T129" t="s">
        <v>2971</v>
      </c>
      <c r="U129" t="s">
        <v>2972</v>
      </c>
      <c r="V129">
        <v>6126725963</v>
      </c>
      <c r="W129" t="s">
        <v>2090</v>
      </c>
      <c r="X129">
        <v>6126726986</v>
      </c>
      <c r="Y129" t="s">
        <v>2973</v>
      </c>
      <c r="Z129" t="s">
        <v>2888</v>
      </c>
      <c r="AA129" t="s">
        <v>2170</v>
      </c>
      <c r="AB129" t="s">
        <v>2177</v>
      </c>
      <c r="AC129" t="s">
        <v>336</v>
      </c>
      <c r="AD129">
        <v>55104</v>
      </c>
      <c r="AE129" t="s">
        <v>2170</v>
      </c>
      <c r="AF129" t="s">
        <v>866</v>
      </c>
      <c r="AG129" t="s">
        <v>130</v>
      </c>
      <c r="AH129" t="s">
        <v>2773</v>
      </c>
      <c r="AI129" t="s">
        <v>953</v>
      </c>
      <c r="AJ129">
        <v>0</v>
      </c>
      <c r="AK129" t="s">
        <v>3243</v>
      </c>
      <c r="AL129" t="s">
        <v>2974</v>
      </c>
      <c r="AM129" t="s">
        <v>2975</v>
      </c>
      <c r="AN129" t="s">
        <v>2591</v>
      </c>
      <c r="AO129">
        <v>6126724660</v>
      </c>
      <c r="AP129" t="s">
        <v>2090</v>
      </c>
      <c r="AQ129">
        <v>6126726986</v>
      </c>
      <c r="AR129" t="s">
        <v>2976</v>
      </c>
      <c r="AS129" t="s">
        <v>2888</v>
      </c>
      <c r="AT129" t="s">
        <v>2170</v>
      </c>
      <c r="AU129" t="s">
        <v>2177</v>
      </c>
      <c r="AV129" t="s">
        <v>336</v>
      </c>
      <c r="AW129">
        <v>55104</v>
      </c>
      <c r="AX129" t="s">
        <v>2170</v>
      </c>
      <c r="AY129" t="s">
        <v>1620</v>
      </c>
      <c r="AZ129" t="s">
        <v>2890</v>
      </c>
      <c r="BA129" t="s">
        <v>2007</v>
      </c>
      <c r="BB129">
        <v>6126727067</v>
      </c>
      <c r="BC129" t="s">
        <v>2090</v>
      </c>
      <c r="BD129">
        <v>6126726986</v>
      </c>
      <c r="BE129" t="s">
        <v>1313</v>
      </c>
      <c r="BF129" t="s">
        <v>2889</v>
      </c>
      <c r="BG129" t="s">
        <v>2170</v>
      </c>
      <c r="BH129" t="s">
        <v>2307</v>
      </c>
      <c r="BI129" t="s">
        <v>1995</v>
      </c>
      <c r="BJ129">
        <v>55104</v>
      </c>
      <c r="BK129" t="s">
        <v>2170</v>
      </c>
      <c r="BL129" t="s">
        <v>2891</v>
      </c>
      <c r="BM129" t="s">
        <v>2892</v>
      </c>
      <c r="BN129" t="s">
        <v>2203</v>
      </c>
      <c r="BO129">
        <v>6126724923</v>
      </c>
      <c r="BP129" t="s">
        <v>2090</v>
      </c>
      <c r="BQ129" t="s">
        <v>2090</v>
      </c>
      <c r="BR129" t="s">
        <v>2893</v>
      </c>
      <c r="BS129" t="s">
        <v>2894</v>
      </c>
      <c r="BT129" t="s">
        <v>2170</v>
      </c>
      <c r="BU129" t="s">
        <v>2177</v>
      </c>
      <c r="BV129" t="s">
        <v>336</v>
      </c>
      <c r="BW129">
        <v>55104</v>
      </c>
      <c r="BX129" t="s">
        <v>2170</v>
      </c>
      <c r="BY129" t="s">
        <v>370</v>
      </c>
    </row>
    <row r="130" spans="1:77" customFormat="1" x14ac:dyDescent="0.2">
      <c r="A130" s="504">
        <v>187</v>
      </c>
      <c r="B130">
        <v>1356309322</v>
      </c>
      <c r="C130" t="s">
        <v>861</v>
      </c>
      <c r="D130" t="s">
        <v>862</v>
      </c>
      <c r="E130" t="s">
        <v>2823</v>
      </c>
      <c r="F130" t="s">
        <v>2090</v>
      </c>
      <c r="H130" t="s">
        <v>714</v>
      </c>
      <c r="I130" t="s">
        <v>336</v>
      </c>
      <c r="J130">
        <v>55125</v>
      </c>
      <c r="K130">
        <v>2270</v>
      </c>
      <c r="L130">
        <v>6512326880</v>
      </c>
      <c r="M130">
        <v>6512326888</v>
      </c>
      <c r="N130" t="s">
        <v>2624</v>
      </c>
      <c r="O130" t="s">
        <v>2620</v>
      </c>
      <c r="P130" t="s">
        <v>2977</v>
      </c>
      <c r="Q130" t="s">
        <v>2885</v>
      </c>
      <c r="R130" t="s">
        <v>2587</v>
      </c>
      <c r="S130" t="s">
        <v>2588</v>
      </c>
      <c r="T130" t="s">
        <v>2589</v>
      </c>
      <c r="U130" t="s">
        <v>1881</v>
      </c>
      <c r="V130">
        <v>6126722287</v>
      </c>
      <c r="W130" t="s">
        <v>2090</v>
      </c>
      <c r="X130">
        <v>6126726986</v>
      </c>
      <c r="Y130" t="s">
        <v>2590</v>
      </c>
      <c r="Z130" t="s">
        <v>2889</v>
      </c>
      <c r="AA130" t="s">
        <v>2170</v>
      </c>
      <c r="AB130" t="s">
        <v>2307</v>
      </c>
      <c r="AC130" t="s">
        <v>1995</v>
      </c>
      <c r="AD130">
        <v>55104</v>
      </c>
      <c r="AE130" t="s">
        <v>2170</v>
      </c>
      <c r="AF130" t="s">
        <v>1048</v>
      </c>
      <c r="AG130" t="s">
        <v>361</v>
      </c>
      <c r="AH130" t="s">
        <v>2773</v>
      </c>
      <c r="AI130" t="s">
        <v>953</v>
      </c>
      <c r="AJ130">
        <v>0</v>
      </c>
      <c r="AK130" t="s">
        <v>3244</v>
      </c>
      <c r="AL130" t="s">
        <v>204</v>
      </c>
      <c r="AM130" t="s">
        <v>1267</v>
      </c>
      <c r="AN130" t="s">
        <v>2591</v>
      </c>
      <c r="AO130">
        <v>6126726736</v>
      </c>
      <c r="AP130" t="s">
        <v>2090</v>
      </c>
      <c r="AQ130">
        <v>6126726986</v>
      </c>
      <c r="AR130" t="s">
        <v>1268</v>
      </c>
      <c r="AS130" t="s">
        <v>2889</v>
      </c>
      <c r="AT130" t="s">
        <v>2170</v>
      </c>
      <c r="AU130" t="s">
        <v>2307</v>
      </c>
      <c r="AV130" t="s">
        <v>1995</v>
      </c>
      <c r="AW130">
        <v>55104</v>
      </c>
      <c r="AX130" t="s">
        <v>2170</v>
      </c>
      <c r="AY130" t="s">
        <v>1620</v>
      </c>
      <c r="AZ130" t="s">
        <v>2890</v>
      </c>
      <c r="BA130" t="s">
        <v>2007</v>
      </c>
      <c r="BB130">
        <v>6126727067</v>
      </c>
      <c r="BC130" t="s">
        <v>2090</v>
      </c>
      <c r="BD130">
        <v>6126726986</v>
      </c>
      <c r="BE130" t="s">
        <v>1313</v>
      </c>
      <c r="BF130" t="s">
        <v>2889</v>
      </c>
      <c r="BG130" t="s">
        <v>2170</v>
      </c>
      <c r="BH130" t="s">
        <v>2307</v>
      </c>
      <c r="BI130" t="s">
        <v>1995</v>
      </c>
      <c r="BJ130">
        <v>55104</v>
      </c>
      <c r="BK130" t="s">
        <v>2170</v>
      </c>
      <c r="BL130" t="s">
        <v>2891</v>
      </c>
      <c r="BM130" t="s">
        <v>2892</v>
      </c>
      <c r="BN130" t="s">
        <v>2203</v>
      </c>
      <c r="BO130">
        <v>6126724923</v>
      </c>
      <c r="BP130" t="s">
        <v>2090</v>
      </c>
      <c r="BQ130" t="s">
        <v>2090</v>
      </c>
      <c r="BR130" t="s">
        <v>2893</v>
      </c>
      <c r="BS130" t="s">
        <v>2894</v>
      </c>
      <c r="BT130" t="s">
        <v>2170</v>
      </c>
      <c r="BU130" t="s">
        <v>2177</v>
      </c>
      <c r="BV130" t="s">
        <v>336</v>
      </c>
      <c r="BW130">
        <v>55104</v>
      </c>
      <c r="BX130" t="s">
        <v>2170</v>
      </c>
      <c r="BY130" t="s">
        <v>370</v>
      </c>
    </row>
    <row r="131" spans="1:77" customFormat="1" x14ac:dyDescent="0.2">
      <c r="A131" s="504">
        <v>191</v>
      </c>
      <c r="B131">
        <v>1225272552</v>
      </c>
      <c r="C131" t="s">
        <v>1697</v>
      </c>
      <c r="D131" t="s">
        <v>1698</v>
      </c>
      <c r="E131" t="s">
        <v>2264</v>
      </c>
      <c r="F131" t="s">
        <v>2090</v>
      </c>
      <c r="H131" t="s">
        <v>129</v>
      </c>
      <c r="I131" t="s">
        <v>336</v>
      </c>
      <c r="J131">
        <v>55369</v>
      </c>
      <c r="K131" t="s">
        <v>2090</v>
      </c>
      <c r="L131">
        <v>7635811000</v>
      </c>
      <c r="M131">
        <v>7635811555</v>
      </c>
      <c r="N131" t="s">
        <v>2025</v>
      </c>
      <c r="O131" t="s">
        <v>2026</v>
      </c>
      <c r="P131" t="s">
        <v>1069</v>
      </c>
      <c r="Q131" t="s">
        <v>2027</v>
      </c>
      <c r="R131" t="s">
        <v>3102</v>
      </c>
      <c r="S131" t="s">
        <v>142</v>
      </c>
      <c r="T131" t="s">
        <v>2713</v>
      </c>
      <c r="U131" t="s">
        <v>2714</v>
      </c>
      <c r="V131">
        <v>7635814573</v>
      </c>
      <c r="W131" t="s">
        <v>2090</v>
      </c>
      <c r="X131">
        <v>7635814561</v>
      </c>
      <c r="Y131" t="s">
        <v>2715</v>
      </c>
      <c r="Z131" t="s">
        <v>2716</v>
      </c>
      <c r="AA131" t="s">
        <v>2170</v>
      </c>
      <c r="AB131" t="s">
        <v>937</v>
      </c>
      <c r="AC131" t="s">
        <v>336</v>
      </c>
      <c r="AD131">
        <v>55422</v>
      </c>
      <c r="AE131" t="s">
        <v>2170</v>
      </c>
      <c r="AF131" t="s">
        <v>2170</v>
      </c>
      <c r="AG131" t="s">
        <v>1699</v>
      </c>
      <c r="AH131" t="s">
        <v>938</v>
      </c>
      <c r="AI131" t="s">
        <v>953</v>
      </c>
      <c r="AJ131">
        <v>0</v>
      </c>
      <c r="AK131" t="s">
        <v>1700</v>
      </c>
      <c r="AL131" t="s">
        <v>1247</v>
      </c>
      <c r="AM131" t="s">
        <v>2718</v>
      </c>
      <c r="AN131" t="s">
        <v>2719</v>
      </c>
      <c r="AO131">
        <v>7635814768</v>
      </c>
      <c r="AP131" t="s">
        <v>2090</v>
      </c>
      <c r="AQ131">
        <v>7635814561</v>
      </c>
      <c r="AR131" t="s">
        <v>2720</v>
      </c>
      <c r="AS131" t="s">
        <v>2716</v>
      </c>
      <c r="AT131" t="s">
        <v>2170</v>
      </c>
      <c r="AU131" t="s">
        <v>937</v>
      </c>
      <c r="AV131" t="s">
        <v>336</v>
      </c>
      <c r="AW131">
        <v>55422</v>
      </c>
      <c r="AX131" t="s">
        <v>2170</v>
      </c>
      <c r="AY131" t="s">
        <v>2170</v>
      </c>
      <c r="AZ131" t="s">
        <v>2170</v>
      </c>
      <c r="BA131" t="s">
        <v>2170</v>
      </c>
      <c r="BB131" t="s">
        <v>2170</v>
      </c>
      <c r="BC131" t="s">
        <v>2170</v>
      </c>
      <c r="BD131" t="s">
        <v>2170</v>
      </c>
      <c r="BE131" t="s">
        <v>2170</v>
      </c>
      <c r="BF131" t="s">
        <v>2170</v>
      </c>
      <c r="BG131" t="s">
        <v>2170</v>
      </c>
      <c r="BH131" t="s">
        <v>2170</v>
      </c>
      <c r="BI131" t="s">
        <v>2170</v>
      </c>
      <c r="BJ131" t="s">
        <v>2170</v>
      </c>
      <c r="BK131" t="s">
        <v>2170</v>
      </c>
      <c r="BL131" t="s">
        <v>2721</v>
      </c>
      <c r="BM131" t="s">
        <v>2722</v>
      </c>
      <c r="BN131" t="s">
        <v>2723</v>
      </c>
      <c r="BO131">
        <v>7635810988</v>
      </c>
      <c r="BP131" t="s">
        <v>2090</v>
      </c>
      <c r="BQ131">
        <v>7635814561</v>
      </c>
      <c r="BR131" t="s">
        <v>2724</v>
      </c>
      <c r="BS131" t="s">
        <v>2716</v>
      </c>
      <c r="BT131" t="s">
        <v>2170</v>
      </c>
      <c r="BU131" t="s">
        <v>937</v>
      </c>
      <c r="BV131" t="s">
        <v>336</v>
      </c>
      <c r="BW131">
        <v>55422</v>
      </c>
      <c r="BX131" t="s">
        <v>2170</v>
      </c>
      <c r="BY131" t="s">
        <v>370</v>
      </c>
    </row>
    <row r="132" spans="1:77" customFormat="1" x14ac:dyDescent="0.2">
      <c r="A132" s="504">
        <v>200</v>
      </c>
      <c r="B132">
        <v>1275585564</v>
      </c>
      <c r="C132" t="s">
        <v>963</v>
      </c>
      <c r="D132" t="s">
        <v>964</v>
      </c>
      <c r="E132" t="s">
        <v>3245</v>
      </c>
      <c r="F132" t="s">
        <v>2090</v>
      </c>
      <c r="H132" t="s">
        <v>964</v>
      </c>
      <c r="I132" t="s">
        <v>336</v>
      </c>
      <c r="J132">
        <v>55303</v>
      </c>
      <c r="K132" t="s">
        <v>2090</v>
      </c>
      <c r="L132">
        <v>7637124000</v>
      </c>
      <c r="M132">
        <v>7637124013</v>
      </c>
      <c r="N132" t="s">
        <v>2175</v>
      </c>
      <c r="O132" t="s">
        <v>1485</v>
      </c>
      <c r="P132" t="s">
        <v>1069</v>
      </c>
      <c r="Q132" t="s">
        <v>2176</v>
      </c>
      <c r="R132" t="s">
        <v>965</v>
      </c>
      <c r="S132" t="s">
        <v>3246</v>
      </c>
      <c r="T132" t="s">
        <v>3247</v>
      </c>
      <c r="U132" t="s">
        <v>2824</v>
      </c>
      <c r="V132">
        <v>6514314844</v>
      </c>
      <c r="W132" t="s">
        <v>2090</v>
      </c>
      <c r="X132">
        <v>6514317505</v>
      </c>
      <c r="Y132" t="s">
        <v>3248</v>
      </c>
      <c r="Z132" t="s">
        <v>2825</v>
      </c>
      <c r="AA132" t="s">
        <v>2170</v>
      </c>
      <c r="AB132" t="s">
        <v>2177</v>
      </c>
      <c r="AC132" t="s">
        <v>336</v>
      </c>
      <c r="AD132">
        <v>55164</v>
      </c>
      <c r="AE132" t="s">
        <v>2170</v>
      </c>
      <c r="AF132" t="s">
        <v>1048</v>
      </c>
      <c r="AG132" t="s">
        <v>2096</v>
      </c>
      <c r="AH132" t="s">
        <v>969</v>
      </c>
      <c r="AI132" t="s">
        <v>953</v>
      </c>
      <c r="AJ132">
        <v>0</v>
      </c>
      <c r="AK132" t="s">
        <v>103</v>
      </c>
      <c r="AL132" t="s">
        <v>2170</v>
      </c>
      <c r="AM132" t="s">
        <v>2170</v>
      </c>
      <c r="AN132" t="s">
        <v>2170</v>
      </c>
      <c r="AO132" t="s">
        <v>2170</v>
      </c>
      <c r="AP132" t="s">
        <v>2170</v>
      </c>
      <c r="AQ132" t="s">
        <v>2170</v>
      </c>
      <c r="AR132" t="s">
        <v>2170</v>
      </c>
      <c r="AS132" t="s">
        <v>2170</v>
      </c>
      <c r="AT132" t="s">
        <v>2170</v>
      </c>
      <c r="AU132" t="s">
        <v>2170</v>
      </c>
      <c r="AV132" t="s">
        <v>2170</v>
      </c>
      <c r="AW132" t="s">
        <v>2170</v>
      </c>
      <c r="AX132" t="s">
        <v>2170</v>
      </c>
      <c r="AY132" t="s">
        <v>2170</v>
      </c>
      <c r="AZ132" t="s">
        <v>2170</v>
      </c>
      <c r="BA132" t="s">
        <v>2170</v>
      </c>
      <c r="BB132" t="s">
        <v>2170</v>
      </c>
      <c r="BC132" t="s">
        <v>2170</v>
      </c>
      <c r="BD132" t="s">
        <v>2170</v>
      </c>
      <c r="BE132" t="s">
        <v>2170</v>
      </c>
      <c r="BF132" t="s">
        <v>2170</v>
      </c>
      <c r="BG132" t="s">
        <v>2170</v>
      </c>
      <c r="BH132" t="s">
        <v>2170</v>
      </c>
      <c r="BI132" t="s">
        <v>2170</v>
      </c>
      <c r="BJ132" t="s">
        <v>2170</v>
      </c>
      <c r="BK132" t="s">
        <v>2170</v>
      </c>
      <c r="BL132" t="s">
        <v>2170</v>
      </c>
      <c r="BM132" t="s">
        <v>2170</v>
      </c>
      <c r="BN132" t="s">
        <v>2170</v>
      </c>
      <c r="BO132" t="s">
        <v>2170</v>
      </c>
      <c r="BP132" t="s">
        <v>2170</v>
      </c>
      <c r="BQ132" t="s">
        <v>2170</v>
      </c>
      <c r="BR132" t="s">
        <v>2170</v>
      </c>
      <c r="BS132" t="s">
        <v>2170</v>
      </c>
      <c r="BT132" t="s">
        <v>2170</v>
      </c>
      <c r="BU132" t="s">
        <v>2170</v>
      </c>
      <c r="BV132" t="s">
        <v>2170</v>
      </c>
      <c r="BW132" t="s">
        <v>2170</v>
      </c>
      <c r="BX132" t="s">
        <v>2170</v>
      </c>
      <c r="BY132" t="s">
        <v>364</v>
      </c>
    </row>
    <row r="133" spans="1:77" customFormat="1" x14ac:dyDescent="0.2">
      <c r="A133" s="504">
        <v>209</v>
      </c>
      <c r="B133">
        <v>1285760363</v>
      </c>
      <c r="C133" t="s">
        <v>2073</v>
      </c>
      <c r="D133" t="s">
        <v>846</v>
      </c>
      <c r="E133" t="s">
        <v>3249</v>
      </c>
      <c r="F133" t="s">
        <v>2090</v>
      </c>
      <c r="H133" t="s">
        <v>847</v>
      </c>
      <c r="I133" t="s">
        <v>336</v>
      </c>
      <c r="J133">
        <v>56201</v>
      </c>
      <c r="K133" t="s">
        <v>2090</v>
      </c>
      <c r="L133">
        <v>3202315421</v>
      </c>
      <c r="M133">
        <v>3202315901</v>
      </c>
      <c r="N133" t="s">
        <v>2175</v>
      </c>
      <c r="O133" t="s">
        <v>1485</v>
      </c>
      <c r="P133" t="s">
        <v>1069</v>
      </c>
      <c r="Q133" t="s">
        <v>2176</v>
      </c>
      <c r="R133" t="s">
        <v>965</v>
      </c>
      <c r="S133" t="s">
        <v>3246</v>
      </c>
      <c r="T133" t="s">
        <v>3247</v>
      </c>
      <c r="U133" t="s">
        <v>2824</v>
      </c>
      <c r="V133">
        <v>6514314844</v>
      </c>
      <c r="W133" t="s">
        <v>2090</v>
      </c>
      <c r="X133">
        <v>6514317505</v>
      </c>
      <c r="Y133" t="s">
        <v>3248</v>
      </c>
      <c r="Z133" t="s">
        <v>2825</v>
      </c>
      <c r="AA133" t="s">
        <v>2170</v>
      </c>
      <c r="AB133" t="s">
        <v>2177</v>
      </c>
      <c r="AC133" t="s">
        <v>336</v>
      </c>
      <c r="AD133">
        <v>55164</v>
      </c>
      <c r="AE133" t="s">
        <v>2170</v>
      </c>
      <c r="AF133" t="s">
        <v>1048</v>
      </c>
      <c r="AG133" t="s">
        <v>2096</v>
      </c>
      <c r="AH133" t="s">
        <v>969</v>
      </c>
      <c r="AI133" t="s">
        <v>342</v>
      </c>
      <c r="AJ133">
        <v>0</v>
      </c>
      <c r="AK133" t="s">
        <v>103</v>
      </c>
      <c r="AL133" t="s">
        <v>2170</v>
      </c>
      <c r="AM133" t="s">
        <v>2170</v>
      </c>
      <c r="AN133" t="s">
        <v>2170</v>
      </c>
      <c r="AO133" t="s">
        <v>2170</v>
      </c>
      <c r="AP133" t="s">
        <v>2170</v>
      </c>
      <c r="AQ133" t="s">
        <v>2170</v>
      </c>
      <c r="AR133" t="s">
        <v>2170</v>
      </c>
      <c r="AS133" t="s">
        <v>2170</v>
      </c>
      <c r="AT133" t="s">
        <v>2170</v>
      </c>
      <c r="AU133" t="s">
        <v>2170</v>
      </c>
      <c r="AV133" t="s">
        <v>2170</v>
      </c>
      <c r="AW133" t="s">
        <v>2170</v>
      </c>
      <c r="AX133" t="s">
        <v>2170</v>
      </c>
      <c r="AY133" t="s">
        <v>2170</v>
      </c>
      <c r="AZ133" t="s">
        <v>2170</v>
      </c>
      <c r="BA133" t="s">
        <v>2170</v>
      </c>
      <c r="BB133" t="s">
        <v>2170</v>
      </c>
      <c r="BC133" t="s">
        <v>2170</v>
      </c>
      <c r="BD133" t="s">
        <v>2170</v>
      </c>
      <c r="BE133" t="s">
        <v>2170</v>
      </c>
      <c r="BF133" t="s">
        <v>2170</v>
      </c>
      <c r="BG133" t="s">
        <v>2170</v>
      </c>
      <c r="BH133" t="s">
        <v>2170</v>
      </c>
      <c r="BI133" t="s">
        <v>2170</v>
      </c>
      <c r="BJ133" t="s">
        <v>2170</v>
      </c>
      <c r="BK133" t="s">
        <v>2170</v>
      </c>
      <c r="BL133" t="s">
        <v>2170</v>
      </c>
      <c r="BM133" t="s">
        <v>2170</v>
      </c>
      <c r="BN133" t="s">
        <v>2170</v>
      </c>
      <c r="BO133" t="s">
        <v>2170</v>
      </c>
      <c r="BP133" t="s">
        <v>2170</v>
      </c>
      <c r="BQ133" t="s">
        <v>2170</v>
      </c>
      <c r="BR133" t="s">
        <v>2170</v>
      </c>
      <c r="BS133" t="s">
        <v>2170</v>
      </c>
      <c r="BT133" t="s">
        <v>2170</v>
      </c>
      <c r="BU133" t="s">
        <v>2170</v>
      </c>
      <c r="BV133" t="s">
        <v>2170</v>
      </c>
      <c r="BW133" t="s">
        <v>2170</v>
      </c>
      <c r="BX133" t="s">
        <v>2170</v>
      </c>
      <c r="BY133" t="s">
        <v>364</v>
      </c>
    </row>
    <row r="134" spans="1:77" customFormat="1" x14ac:dyDescent="0.2">
      <c r="A134" s="504">
        <v>210</v>
      </c>
      <c r="B134" t="s">
        <v>2170</v>
      </c>
      <c r="C134" t="s">
        <v>2170</v>
      </c>
      <c r="D134" t="s">
        <v>2170</v>
      </c>
      <c r="E134" t="s">
        <v>2170</v>
      </c>
      <c r="F134" t="s">
        <v>2170</v>
      </c>
      <c r="H134" t="s">
        <v>2170</v>
      </c>
      <c r="I134" t="s">
        <v>2170</v>
      </c>
      <c r="J134" t="s">
        <v>2170</v>
      </c>
      <c r="K134" t="s">
        <v>2170</v>
      </c>
      <c r="L134" t="s">
        <v>2170</v>
      </c>
      <c r="M134" t="s">
        <v>2170</v>
      </c>
      <c r="N134" t="s">
        <v>2170</v>
      </c>
      <c r="O134" t="s">
        <v>2170</v>
      </c>
      <c r="P134" t="s">
        <v>2170</v>
      </c>
      <c r="Q134" t="s">
        <v>2170</v>
      </c>
      <c r="R134" t="s">
        <v>2170</v>
      </c>
      <c r="S134" t="s">
        <v>2170</v>
      </c>
      <c r="T134" t="s">
        <v>2170</v>
      </c>
      <c r="U134" t="s">
        <v>2170</v>
      </c>
      <c r="V134" t="s">
        <v>2170</v>
      </c>
      <c r="W134" t="s">
        <v>2170</v>
      </c>
      <c r="X134" t="s">
        <v>2170</v>
      </c>
      <c r="Y134" t="s">
        <v>2170</v>
      </c>
      <c r="Z134" t="s">
        <v>2170</v>
      </c>
      <c r="AA134" t="s">
        <v>2170</v>
      </c>
      <c r="AB134" t="s">
        <v>2170</v>
      </c>
      <c r="AC134" t="s">
        <v>2170</v>
      </c>
      <c r="AD134" t="s">
        <v>2170</v>
      </c>
      <c r="AE134" t="s">
        <v>2170</v>
      </c>
      <c r="AF134" t="s">
        <v>2170</v>
      </c>
      <c r="AG134" t="s">
        <v>2170</v>
      </c>
      <c r="AH134" t="s">
        <v>2170</v>
      </c>
      <c r="AI134" t="s">
        <v>2170</v>
      </c>
      <c r="AJ134" t="s">
        <v>2170</v>
      </c>
      <c r="AK134" t="s">
        <v>2170</v>
      </c>
      <c r="AL134" t="s">
        <v>2170</v>
      </c>
      <c r="AM134" t="s">
        <v>2170</v>
      </c>
      <c r="AN134" t="s">
        <v>2170</v>
      </c>
      <c r="AO134" t="s">
        <v>2170</v>
      </c>
      <c r="AP134" t="s">
        <v>2170</v>
      </c>
      <c r="AQ134" t="s">
        <v>2170</v>
      </c>
      <c r="AR134" t="s">
        <v>2170</v>
      </c>
      <c r="AS134" t="s">
        <v>2170</v>
      </c>
      <c r="AT134" t="s">
        <v>2170</v>
      </c>
      <c r="AU134" t="s">
        <v>2170</v>
      </c>
      <c r="AV134" t="s">
        <v>2170</v>
      </c>
      <c r="AW134" t="s">
        <v>2170</v>
      </c>
      <c r="AX134" t="s">
        <v>2170</v>
      </c>
      <c r="AY134" t="s">
        <v>2170</v>
      </c>
      <c r="AZ134" t="s">
        <v>2170</v>
      </c>
      <c r="BA134" t="s">
        <v>2170</v>
      </c>
      <c r="BB134" t="s">
        <v>2170</v>
      </c>
      <c r="BC134" t="s">
        <v>2170</v>
      </c>
      <c r="BD134" t="s">
        <v>2170</v>
      </c>
      <c r="BE134" t="s">
        <v>2170</v>
      </c>
      <c r="BF134" t="s">
        <v>2170</v>
      </c>
      <c r="BG134" t="s">
        <v>2170</v>
      </c>
      <c r="BH134" t="s">
        <v>2170</v>
      </c>
      <c r="BI134" t="s">
        <v>2170</v>
      </c>
      <c r="BJ134" t="s">
        <v>2170</v>
      </c>
      <c r="BK134" t="s">
        <v>2170</v>
      </c>
      <c r="BL134" t="s">
        <v>2170</v>
      </c>
      <c r="BM134" t="s">
        <v>2170</v>
      </c>
      <c r="BN134" t="s">
        <v>2170</v>
      </c>
      <c r="BO134" t="s">
        <v>2170</v>
      </c>
      <c r="BP134" t="s">
        <v>2170</v>
      </c>
      <c r="BQ134" t="s">
        <v>2170</v>
      </c>
      <c r="BR134" t="s">
        <v>2170</v>
      </c>
      <c r="BS134" t="s">
        <v>2170</v>
      </c>
      <c r="BT134" t="s">
        <v>2170</v>
      </c>
      <c r="BU134" t="s">
        <v>2170</v>
      </c>
      <c r="BV134" t="s">
        <v>2170</v>
      </c>
      <c r="BW134" t="s">
        <v>2170</v>
      </c>
      <c r="BX134" t="s">
        <v>2170</v>
      </c>
      <c r="BY134" t="s">
        <v>2170</v>
      </c>
    </row>
    <row r="135" spans="1:77" customFormat="1" x14ac:dyDescent="0.2">
      <c r="A135" s="504">
        <v>248</v>
      </c>
      <c r="B135">
        <v>1386676799</v>
      </c>
      <c r="C135" t="s">
        <v>1258</v>
      </c>
      <c r="D135" t="s">
        <v>959</v>
      </c>
      <c r="E135" t="s">
        <v>3250</v>
      </c>
      <c r="F135" t="s">
        <v>2090</v>
      </c>
      <c r="H135" t="s">
        <v>960</v>
      </c>
      <c r="I135" t="s">
        <v>336</v>
      </c>
      <c r="J135">
        <v>56308</v>
      </c>
      <c r="K135">
        <v>2472</v>
      </c>
      <c r="L135">
        <v>3203356201</v>
      </c>
      <c r="M135">
        <v>3207591002</v>
      </c>
      <c r="N135" t="s">
        <v>2175</v>
      </c>
      <c r="O135" t="s">
        <v>1485</v>
      </c>
      <c r="P135" t="s">
        <v>1069</v>
      </c>
      <c r="Q135" t="s">
        <v>2176</v>
      </c>
      <c r="R135" t="s">
        <v>965</v>
      </c>
      <c r="S135" t="s">
        <v>3246</v>
      </c>
      <c r="T135" t="s">
        <v>3247</v>
      </c>
      <c r="U135" t="s">
        <v>2824</v>
      </c>
      <c r="V135">
        <v>6514314844</v>
      </c>
      <c r="W135" t="s">
        <v>2090</v>
      </c>
      <c r="X135">
        <v>6514317505</v>
      </c>
      <c r="Y135" t="s">
        <v>3248</v>
      </c>
      <c r="Z135" t="s">
        <v>2825</v>
      </c>
      <c r="AA135" t="s">
        <v>2170</v>
      </c>
      <c r="AB135" t="s">
        <v>2177</v>
      </c>
      <c r="AC135" t="s">
        <v>336</v>
      </c>
      <c r="AD135">
        <v>55164</v>
      </c>
      <c r="AE135" t="s">
        <v>2170</v>
      </c>
      <c r="AF135" t="s">
        <v>1048</v>
      </c>
      <c r="AG135" t="s">
        <v>2096</v>
      </c>
      <c r="AH135" t="s">
        <v>969</v>
      </c>
      <c r="AI135" t="s">
        <v>342</v>
      </c>
      <c r="AJ135">
        <v>0</v>
      </c>
      <c r="AK135" t="s">
        <v>103</v>
      </c>
      <c r="AL135" t="s">
        <v>2170</v>
      </c>
      <c r="AM135" t="s">
        <v>2170</v>
      </c>
      <c r="AN135" t="s">
        <v>2170</v>
      </c>
      <c r="AO135" t="s">
        <v>2170</v>
      </c>
      <c r="AP135" t="s">
        <v>2170</v>
      </c>
      <c r="AQ135" t="s">
        <v>2170</v>
      </c>
      <c r="AR135" t="s">
        <v>2170</v>
      </c>
      <c r="AS135" t="s">
        <v>2170</v>
      </c>
      <c r="AT135" t="s">
        <v>2170</v>
      </c>
      <c r="AU135" t="s">
        <v>2170</v>
      </c>
      <c r="AV135" t="s">
        <v>2170</v>
      </c>
      <c r="AW135" t="s">
        <v>2170</v>
      </c>
      <c r="AX135" t="s">
        <v>2170</v>
      </c>
      <c r="AY135" t="s">
        <v>2170</v>
      </c>
      <c r="AZ135" t="s">
        <v>2170</v>
      </c>
      <c r="BA135" t="s">
        <v>2170</v>
      </c>
      <c r="BB135" t="s">
        <v>2170</v>
      </c>
      <c r="BC135" t="s">
        <v>2170</v>
      </c>
      <c r="BD135" t="s">
        <v>2170</v>
      </c>
      <c r="BE135" t="s">
        <v>2170</v>
      </c>
      <c r="BF135" t="s">
        <v>2170</v>
      </c>
      <c r="BG135" t="s">
        <v>2170</v>
      </c>
      <c r="BH135" t="s">
        <v>2170</v>
      </c>
      <c r="BI135" t="s">
        <v>2170</v>
      </c>
      <c r="BJ135" t="s">
        <v>2170</v>
      </c>
      <c r="BK135" t="s">
        <v>2170</v>
      </c>
      <c r="BL135" t="s">
        <v>2170</v>
      </c>
      <c r="BM135" t="s">
        <v>2170</v>
      </c>
      <c r="BN135" t="s">
        <v>2170</v>
      </c>
      <c r="BO135" t="s">
        <v>2170</v>
      </c>
      <c r="BP135" t="s">
        <v>2170</v>
      </c>
      <c r="BQ135" t="s">
        <v>2170</v>
      </c>
      <c r="BR135" t="s">
        <v>2170</v>
      </c>
      <c r="BS135" t="s">
        <v>2170</v>
      </c>
      <c r="BT135" t="s">
        <v>2170</v>
      </c>
      <c r="BU135" t="s">
        <v>2170</v>
      </c>
      <c r="BV135" t="s">
        <v>2170</v>
      </c>
      <c r="BW135" t="s">
        <v>2170</v>
      </c>
      <c r="BX135" t="s">
        <v>2170</v>
      </c>
      <c r="BY135" t="s">
        <v>364</v>
      </c>
    </row>
    <row r="136" spans="1:77" customFormat="1" x14ac:dyDescent="0.2">
      <c r="A136" s="504">
        <v>249</v>
      </c>
      <c r="B136">
        <v>1225130487</v>
      </c>
      <c r="C136" t="s">
        <v>1259</v>
      </c>
      <c r="D136" t="s">
        <v>1260</v>
      </c>
      <c r="E136" t="s">
        <v>3251</v>
      </c>
      <c r="F136" t="s">
        <v>2090</v>
      </c>
      <c r="H136" t="s">
        <v>1087</v>
      </c>
      <c r="I136" t="s">
        <v>336</v>
      </c>
      <c r="J136">
        <v>55302</v>
      </c>
      <c r="K136">
        <v>3141</v>
      </c>
      <c r="L136">
        <v>6512593850</v>
      </c>
      <c r="M136">
        <v>3202747018</v>
      </c>
      <c r="N136" t="s">
        <v>2175</v>
      </c>
      <c r="O136" t="s">
        <v>1485</v>
      </c>
      <c r="P136" t="s">
        <v>1069</v>
      </c>
      <c r="Q136" t="s">
        <v>2176</v>
      </c>
      <c r="R136" t="s">
        <v>965</v>
      </c>
      <c r="S136" t="s">
        <v>3246</v>
      </c>
      <c r="T136" t="s">
        <v>3247</v>
      </c>
      <c r="U136" t="s">
        <v>2824</v>
      </c>
      <c r="V136">
        <v>6514314844</v>
      </c>
      <c r="W136" t="s">
        <v>2090</v>
      </c>
      <c r="X136">
        <v>6514317505</v>
      </c>
      <c r="Y136" t="s">
        <v>3248</v>
      </c>
      <c r="Z136" t="s">
        <v>2825</v>
      </c>
      <c r="AA136" t="s">
        <v>2170</v>
      </c>
      <c r="AB136" t="s">
        <v>2177</v>
      </c>
      <c r="AC136" t="s">
        <v>336</v>
      </c>
      <c r="AD136">
        <v>55164</v>
      </c>
      <c r="AE136" t="s">
        <v>2170</v>
      </c>
      <c r="AF136" t="s">
        <v>1048</v>
      </c>
      <c r="AG136" t="s">
        <v>2096</v>
      </c>
      <c r="AH136" t="s">
        <v>969</v>
      </c>
      <c r="AI136" t="s">
        <v>342</v>
      </c>
      <c r="AJ136">
        <v>0</v>
      </c>
      <c r="AK136" t="s">
        <v>103</v>
      </c>
      <c r="AL136" t="s">
        <v>2170</v>
      </c>
      <c r="AM136" t="s">
        <v>2170</v>
      </c>
      <c r="AN136" t="s">
        <v>2170</v>
      </c>
      <c r="AO136" t="s">
        <v>2170</v>
      </c>
      <c r="AP136" t="s">
        <v>2170</v>
      </c>
      <c r="AQ136" t="s">
        <v>2170</v>
      </c>
      <c r="AR136" t="s">
        <v>2170</v>
      </c>
      <c r="AS136" t="s">
        <v>2170</v>
      </c>
      <c r="AT136" t="s">
        <v>2170</v>
      </c>
      <c r="AU136" t="s">
        <v>2170</v>
      </c>
      <c r="AV136" t="s">
        <v>2170</v>
      </c>
      <c r="AW136" t="s">
        <v>2170</v>
      </c>
      <c r="AX136" t="s">
        <v>2170</v>
      </c>
      <c r="AY136" t="s">
        <v>2170</v>
      </c>
      <c r="AZ136" t="s">
        <v>2170</v>
      </c>
      <c r="BA136" t="s">
        <v>2170</v>
      </c>
      <c r="BB136" t="s">
        <v>2170</v>
      </c>
      <c r="BC136" t="s">
        <v>2170</v>
      </c>
      <c r="BD136" t="s">
        <v>2170</v>
      </c>
      <c r="BE136" t="s">
        <v>2170</v>
      </c>
      <c r="BF136" t="s">
        <v>2170</v>
      </c>
      <c r="BG136" t="s">
        <v>2170</v>
      </c>
      <c r="BH136" t="s">
        <v>2170</v>
      </c>
      <c r="BI136" t="s">
        <v>2170</v>
      </c>
      <c r="BJ136" t="s">
        <v>2170</v>
      </c>
      <c r="BK136" t="s">
        <v>2170</v>
      </c>
      <c r="BL136" t="s">
        <v>2170</v>
      </c>
      <c r="BM136" t="s">
        <v>2170</v>
      </c>
      <c r="BN136" t="s">
        <v>2170</v>
      </c>
      <c r="BO136" t="s">
        <v>2170</v>
      </c>
      <c r="BP136" t="s">
        <v>2170</v>
      </c>
      <c r="BQ136" t="s">
        <v>2170</v>
      </c>
      <c r="BR136" t="s">
        <v>2170</v>
      </c>
      <c r="BS136" t="s">
        <v>2170</v>
      </c>
      <c r="BT136" t="s">
        <v>2170</v>
      </c>
      <c r="BU136" t="s">
        <v>2170</v>
      </c>
      <c r="BV136" t="s">
        <v>2170</v>
      </c>
      <c r="BW136" t="s">
        <v>2170</v>
      </c>
      <c r="BX136" t="s">
        <v>2170</v>
      </c>
      <c r="BY136" t="s">
        <v>364</v>
      </c>
    </row>
    <row r="137" spans="1:77" customFormat="1" x14ac:dyDescent="0.2">
      <c r="A137" s="504">
        <v>250</v>
      </c>
      <c r="B137">
        <v>1962583039</v>
      </c>
      <c r="C137" t="s">
        <v>1304</v>
      </c>
      <c r="D137" t="s">
        <v>563</v>
      </c>
      <c r="E137" t="s">
        <v>3252</v>
      </c>
      <c r="F137" t="s">
        <v>2090</v>
      </c>
      <c r="H137" t="s">
        <v>1278</v>
      </c>
      <c r="I137" t="s">
        <v>336</v>
      </c>
      <c r="J137">
        <v>56538</v>
      </c>
      <c r="K137" t="s">
        <v>2090</v>
      </c>
      <c r="L137">
        <v>2183325001</v>
      </c>
      <c r="M137">
        <v>2187391329</v>
      </c>
      <c r="N137" t="s">
        <v>2175</v>
      </c>
      <c r="O137" t="s">
        <v>1485</v>
      </c>
      <c r="P137" t="s">
        <v>1069</v>
      </c>
      <c r="Q137" t="s">
        <v>2176</v>
      </c>
      <c r="R137" t="s">
        <v>965</v>
      </c>
      <c r="S137" t="s">
        <v>3246</v>
      </c>
      <c r="T137" t="s">
        <v>3247</v>
      </c>
      <c r="U137" t="s">
        <v>2824</v>
      </c>
      <c r="V137">
        <v>6514314844</v>
      </c>
      <c r="W137" t="s">
        <v>2090</v>
      </c>
      <c r="X137">
        <v>6514317505</v>
      </c>
      <c r="Y137" t="s">
        <v>3248</v>
      </c>
      <c r="Z137" t="s">
        <v>2825</v>
      </c>
      <c r="AA137" t="s">
        <v>2170</v>
      </c>
      <c r="AB137" t="s">
        <v>2177</v>
      </c>
      <c r="AC137" t="s">
        <v>336</v>
      </c>
      <c r="AD137">
        <v>55164</v>
      </c>
      <c r="AE137" t="s">
        <v>2170</v>
      </c>
      <c r="AF137" t="s">
        <v>1048</v>
      </c>
      <c r="AG137" t="s">
        <v>2096</v>
      </c>
      <c r="AH137" t="s">
        <v>969</v>
      </c>
      <c r="AI137" t="s">
        <v>342</v>
      </c>
      <c r="AJ137">
        <v>0</v>
      </c>
      <c r="AK137" t="s">
        <v>103</v>
      </c>
      <c r="AL137" t="s">
        <v>2170</v>
      </c>
      <c r="AM137" t="s">
        <v>2170</v>
      </c>
      <c r="AN137" t="s">
        <v>2170</v>
      </c>
      <c r="AO137" t="s">
        <v>2170</v>
      </c>
      <c r="AP137" t="s">
        <v>2170</v>
      </c>
      <c r="AQ137" t="s">
        <v>2170</v>
      </c>
      <c r="AR137" t="s">
        <v>2170</v>
      </c>
      <c r="AS137" t="s">
        <v>2170</v>
      </c>
      <c r="AT137" t="s">
        <v>2170</v>
      </c>
      <c r="AU137" t="s">
        <v>2170</v>
      </c>
      <c r="AV137" t="s">
        <v>2170</v>
      </c>
      <c r="AW137" t="s">
        <v>2170</v>
      </c>
      <c r="AX137" t="s">
        <v>2170</v>
      </c>
      <c r="AY137" t="s">
        <v>2170</v>
      </c>
      <c r="AZ137" t="s">
        <v>2170</v>
      </c>
      <c r="BA137" t="s">
        <v>2170</v>
      </c>
      <c r="BB137" t="s">
        <v>2170</v>
      </c>
      <c r="BC137" t="s">
        <v>2170</v>
      </c>
      <c r="BD137" t="s">
        <v>2170</v>
      </c>
      <c r="BE137" t="s">
        <v>2170</v>
      </c>
      <c r="BF137" t="s">
        <v>2170</v>
      </c>
      <c r="BG137" t="s">
        <v>2170</v>
      </c>
      <c r="BH137" t="s">
        <v>2170</v>
      </c>
      <c r="BI137" t="s">
        <v>2170</v>
      </c>
      <c r="BJ137" t="s">
        <v>2170</v>
      </c>
      <c r="BK137" t="s">
        <v>2170</v>
      </c>
      <c r="BL137" t="s">
        <v>2170</v>
      </c>
      <c r="BM137" t="s">
        <v>2170</v>
      </c>
      <c r="BN137" t="s">
        <v>2170</v>
      </c>
      <c r="BO137" t="s">
        <v>2170</v>
      </c>
      <c r="BP137" t="s">
        <v>2170</v>
      </c>
      <c r="BQ137" t="s">
        <v>2170</v>
      </c>
      <c r="BR137" t="s">
        <v>2170</v>
      </c>
      <c r="BS137" t="s">
        <v>2170</v>
      </c>
      <c r="BT137" t="s">
        <v>2170</v>
      </c>
      <c r="BU137" t="s">
        <v>2170</v>
      </c>
      <c r="BV137" t="s">
        <v>2170</v>
      </c>
      <c r="BW137" t="s">
        <v>2170</v>
      </c>
      <c r="BX137" t="s">
        <v>2170</v>
      </c>
      <c r="BY137" t="s">
        <v>364</v>
      </c>
    </row>
    <row r="138" spans="1:77" customFormat="1" x14ac:dyDescent="0.2">
      <c r="A138" s="504">
        <v>251</v>
      </c>
      <c r="B138">
        <v>1669418851</v>
      </c>
      <c r="C138" t="s">
        <v>1319</v>
      </c>
      <c r="D138" t="s">
        <v>939</v>
      </c>
      <c r="E138" t="s">
        <v>3253</v>
      </c>
      <c r="F138" t="s">
        <v>2090</v>
      </c>
      <c r="H138" t="s">
        <v>940</v>
      </c>
      <c r="I138" t="s">
        <v>336</v>
      </c>
      <c r="J138">
        <v>55904</v>
      </c>
      <c r="K138">
        <v>5530</v>
      </c>
      <c r="L138">
        <v>5072062561</v>
      </c>
      <c r="M138">
        <v>5075292748</v>
      </c>
      <c r="N138" t="s">
        <v>2175</v>
      </c>
      <c r="O138" t="s">
        <v>1485</v>
      </c>
      <c r="P138" t="s">
        <v>1069</v>
      </c>
      <c r="Q138" t="s">
        <v>2176</v>
      </c>
      <c r="R138" t="s">
        <v>965</v>
      </c>
      <c r="S138" t="s">
        <v>3246</v>
      </c>
      <c r="T138" t="s">
        <v>3247</v>
      </c>
      <c r="U138" t="s">
        <v>2824</v>
      </c>
      <c r="V138">
        <v>6514314844</v>
      </c>
      <c r="W138" t="s">
        <v>2090</v>
      </c>
      <c r="X138">
        <v>6514317505</v>
      </c>
      <c r="Y138" t="s">
        <v>3248</v>
      </c>
      <c r="Z138" t="s">
        <v>2825</v>
      </c>
      <c r="AA138" t="s">
        <v>2170</v>
      </c>
      <c r="AB138" t="s">
        <v>2177</v>
      </c>
      <c r="AC138" t="s">
        <v>336</v>
      </c>
      <c r="AD138">
        <v>55164</v>
      </c>
      <c r="AE138" t="s">
        <v>2170</v>
      </c>
      <c r="AF138" t="s">
        <v>1048</v>
      </c>
      <c r="AG138" t="s">
        <v>2096</v>
      </c>
      <c r="AH138" t="s">
        <v>969</v>
      </c>
      <c r="AI138" t="s">
        <v>342</v>
      </c>
      <c r="AJ138">
        <v>0</v>
      </c>
      <c r="AK138" t="s">
        <v>103</v>
      </c>
      <c r="AL138" t="s">
        <v>2170</v>
      </c>
      <c r="AM138" t="s">
        <v>2170</v>
      </c>
      <c r="AN138" t="s">
        <v>2170</v>
      </c>
      <c r="AO138" t="s">
        <v>2170</v>
      </c>
      <c r="AP138" t="s">
        <v>2170</v>
      </c>
      <c r="AQ138" t="s">
        <v>2170</v>
      </c>
      <c r="AR138" t="s">
        <v>2170</v>
      </c>
      <c r="AS138" t="s">
        <v>2170</v>
      </c>
      <c r="AT138" t="s">
        <v>2170</v>
      </c>
      <c r="AU138" t="s">
        <v>2170</v>
      </c>
      <c r="AV138" t="s">
        <v>2170</v>
      </c>
      <c r="AW138" t="s">
        <v>2170</v>
      </c>
      <c r="AX138" t="s">
        <v>2170</v>
      </c>
      <c r="AY138" t="s">
        <v>2170</v>
      </c>
      <c r="AZ138" t="s">
        <v>2170</v>
      </c>
      <c r="BA138" t="s">
        <v>2170</v>
      </c>
      <c r="BB138" t="s">
        <v>2170</v>
      </c>
      <c r="BC138" t="s">
        <v>2170</v>
      </c>
      <c r="BD138" t="s">
        <v>2170</v>
      </c>
      <c r="BE138" t="s">
        <v>2170</v>
      </c>
      <c r="BF138" t="s">
        <v>2170</v>
      </c>
      <c r="BG138" t="s">
        <v>2170</v>
      </c>
      <c r="BH138" t="s">
        <v>2170</v>
      </c>
      <c r="BI138" t="s">
        <v>2170</v>
      </c>
      <c r="BJ138" t="s">
        <v>2170</v>
      </c>
      <c r="BK138" t="s">
        <v>2170</v>
      </c>
      <c r="BL138" t="s">
        <v>2170</v>
      </c>
      <c r="BM138" t="s">
        <v>2170</v>
      </c>
      <c r="BN138" t="s">
        <v>2170</v>
      </c>
      <c r="BO138" t="s">
        <v>2170</v>
      </c>
      <c r="BP138" t="s">
        <v>2170</v>
      </c>
      <c r="BQ138" t="s">
        <v>2170</v>
      </c>
      <c r="BR138" t="s">
        <v>2170</v>
      </c>
      <c r="BS138" t="s">
        <v>2170</v>
      </c>
      <c r="BT138" t="s">
        <v>2170</v>
      </c>
      <c r="BU138" t="s">
        <v>2170</v>
      </c>
      <c r="BV138" t="s">
        <v>2170</v>
      </c>
      <c r="BW138" t="s">
        <v>2170</v>
      </c>
      <c r="BX138" t="s">
        <v>2170</v>
      </c>
      <c r="BY138" t="s">
        <v>364</v>
      </c>
    </row>
    <row r="139" spans="1:77" customFormat="1" x14ac:dyDescent="0.2">
      <c r="A139" s="504">
        <v>254</v>
      </c>
      <c r="B139">
        <v>1487715033</v>
      </c>
      <c r="C139" t="s">
        <v>1264</v>
      </c>
      <c r="D139" t="s">
        <v>1265</v>
      </c>
      <c r="E139" t="s">
        <v>3254</v>
      </c>
      <c r="F139" t="s">
        <v>2090</v>
      </c>
      <c r="H139" t="s">
        <v>1075</v>
      </c>
      <c r="I139" t="s">
        <v>336</v>
      </c>
      <c r="J139">
        <v>56425</v>
      </c>
      <c r="K139" t="s">
        <v>2090</v>
      </c>
      <c r="L139">
        <v>2183163104</v>
      </c>
      <c r="M139">
        <v>2188299141</v>
      </c>
      <c r="N139" t="s">
        <v>2175</v>
      </c>
      <c r="O139" t="s">
        <v>1485</v>
      </c>
      <c r="P139" t="s">
        <v>1069</v>
      </c>
      <c r="Q139" t="s">
        <v>2176</v>
      </c>
      <c r="R139" t="s">
        <v>965</v>
      </c>
      <c r="S139" t="s">
        <v>3246</v>
      </c>
      <c r="T139" t="s">
        <v>3247</v>
      </c>
      <c r="U139" t="s">
        <v>2824</v>
      </c>
      <c r="V139">
        <v>6514314844</v>
      </c>
      <c r="W139" t="s">
        <v>2090</v>
      </c>
      <c r="X139">
        <v>6514317505</v>
      </c>
      <c r="Y139" t="s">
        <v>3248</v>
      </c>
      <c r="Z139" t="s">
        <v>2825</v>
      </c>
      <c r="AA139" t="s">
        <v>2170</v>
      </c>
      <c r="AB139" t="s">
        <v>2177</v>
      </c>
      <c r="AC139" t="s">
        <v>336</v>
      </c>
      <c r="AD139">
        <v>55164</v>
      </c>
      <c r="AE139" t="s">
        <v>2170</v>
      </c>
      <c r="AF139" t="s">
        <v>1048</v>
      </c>
      <c r="AG139" t="s">
        <v>2096</v>
      </c>
      <c r="AH139" t="s">
        <v>969</v>
      </c>
      <c r="AI139" t="s">
        <v>342</v>
      </c>
      <c r="AJ139">
        <v>0</v>
      </c>
      <c r="AK139" t="s">
        <v>103</v>
      </c>
      <c r="AL139" t="s">
        <v>2170</v>
      </c>
      <c r="AM139" t="s">
        <v>2170</v>
      </c>
      <c r="AN139" t="s">
        <v>2170</v>
      </c>
      <c r="AO139" t="s">
        <v>2170</v>
      </c>
      <c r="AP139" t="s">
        <v>2170</v>
      </c>
      <c r="AQ139" t="s">
        <v>2170</v>
      </c>
      <c r="AR139" t="s">
        <v>2170</v>
      </c>
      <c r="AS139" t="s">
        <v>2170</v>
      </c>
      <c r="AT139" t="s">
        <v>2170</v>
      </c>
      <c r="AU139" t="s">
        <v>2170</v>
      </c>
      <c r="AV139" t="s">
        <v>2170</v>
      </c>
      <c r="AW139" t="s">
        <v>2170</v>
      </c>
      <c r="AX139" t="s">
        <v>2170</v>
      </c>
      <c r="AY139" t="s">
        <v>2170</v>
      </c>
      <c r="AZ139" t="s">
        <v>2170</v>
      </c>
      <c r="BA139" t="s">
        <v>2170</v>
      </c>
      <c r="BB139" t="s">
        <v>2170</v>
      </c>
      <c r="BC139" t="s">
        <v>2170</v>
      </c>
      <c r="BD139" t="s">
        <v>2170</v>
      </c>
      <c r="BE139" t="s">
        <v>2170</v>
      </c>
      <c r="BF139" t="s">
        <v>2170</v>
      </c>
      <c r="BG139" t="s">
        <v>2170</v>
      </c>
      <c r="BH139" t="s">
        <v>2170</v>
      </c>
      <c r="BI139" t="s">
        <v>2170</v>
      </c>
      <c r="BJ139" t="s">
        <v>2170</v>
      </c>
      <c r="BK139" t="s">
        <v>2170</v>
      </c>
      <c r="BL139" t="s">
        <v>2170</v>
      </c>
      <c r="BM139" t="s">
        <v>2170</v>
      </c>
      <c r="BN139" t="s">
        <v>2170</v>
      </c>
      <c r="BO139" t="s">
        <v>2170</v>
      </c>
      <c r="BP139" t="s">
        <v>2170</v>
      </c>
      <c r="BQ139" t="s">
        <v>2170</v>
      </c>
      <c r="BR139" t="s">
        <v>2170</v>
      </c>
      <c r="BS139" t="s">
        <v>2170</v>
      </c>
      <c r="BT139" t="s">
        <v>2170</v>
      </c>
      <c r="BU139" t="s">
        <v>2170</v>
      </c>
      <c r="BV139" t="s">
        <v>2170</v>
      </c>
      <c r="BW139" t="s">
        <v>2170</v>
      </c>
      <c r="BX139" t="s">
        <v>2170</v>
      </c>
      <c r="BY139" t="s">
        <v>364</v>
      </c>
    </row>
    <row r="140" spans="1:77" customFormat="1" x14ac:dyDescent="0.2">
      <c r="A140" s="504">
        <v>256</v>
      </c>
      <c r="B140">
        <v>1043331358</v>
      </c>
      <c r="C140" t="s">
        <v>1164</v>
      </c>
      <c r="D140" t="s">
        <v>1052</v>
      </c>
      <c r="E140" t="s">
        <v>3255</v>
      </c>
      <c r="F140" t="s">
        <v>2090</v>
      </c>
      <c r="H140" t="s">
        <v>1053</v>
      </c>
      <c r="I140" t="s">
        <v>336</v>
      </c>
      <c r="J140">
        <v>56601</v>
      </c>
      <c r="K140" t="s">
        <v>2090</v>
      </c>
      <c r="L140">
        <v>2183082400</v>
      </c>
      <c r="M140">
        <v>2183086800</v>
      </c>
      <c r="N140" t="s">
        <v>2175</v>
      </c>
      <c r="O140" t="s">
        <v>1485</v>
      </c>
      <c r="P140" t="s">
        <v>1069</v>
      </c>
      <c r="Q140" t="s">
        <v>2176</v>
      </c>
      <c r="R140" t="s">
        <v>965</v>
      </c>
      <c r="S140" t="s">
        <v>3246</v>
      </c>
      <c r="T140" t="s">
        <v>3247</v>
      </c>
      <c r="U140" t="s">
        <v>2824</v>
      </c>
      <c r="V140">
        <v>6514314844</v>
      </c>
      <c r="W140" t="s">
        <v>2090</v>
      </c>
      <c r="X140">
        <v>6514317505</v>
      </c>
      <c r="Y140" t="s">
        <v>3248</v>
      </c>
      <c r="Z140" t="s">
        <v>2825</v>
      </c>
      <c r="AA140" t="s">
        <v>2170</v>
      </c>
      <c r="AB140" t="s">
        <v>2177</v>
      </c>
      <c r="AC140" t="s">
        <v>336</v>
      </c>
      <c r="AD140">
        <v>55164</v>
      </c>
      <c r="AE140" t="s">
        <v>2170</v>
      </c>
      <c r="AF140" t="s">
        <v>1048</v>
      </c>
      <c r="AG140">
        <v>0</v>
      </c>
      <c r="AH140" t="s">
        <v>969</v>
      </c>
      <c r="AI140" t="s">
        <v>342</v>
      </c>
      <c r="AJ140">
        <v>0</v>
      </c>
      <c r="AK140" t="s">
        <v>103</v>
      </c>
      <c r="AL140" t="s">
        <v>2170</v>
      </c>
      <c r="AM140" t="s">
        <v>2170</v>
      </c>
      <c r="AN140" t="s">
        <v>2170</v>
      </c>
      <c r="AO140" t="s">
        <v>2170</v>
      </c>
      <c r="AP140" t="s">
        <v>2170</v>
      </c>
      <c r="AQ140" t="s">
        <v>2170</v>
      </c>
      <c r="AR140" t="s">
        <v>2170</v>
      </c>
      <c r="AS140" t="s">
        <v>2170</v>
      </c>
      <c r="AT140" t="s">
        <v>2170</v>
      </c>
      <c r="AU140" t="s">
        <v>2170</v>
      </c>
      <c r="AV140" t="s">
        <v>2170</v>
      </c>
      <c r="AW140" t="s">
        <v>2170</v>
      </c>
      <c r="AX140" t="s">
        <v>2170</v>
      </c>
      <c r="AY140" t="s">
        <v>2170</v>
      </c>
      <c r="AZ140" t="s">
        <v>2170</v>
      </c>
      <c r="BA140" t="s">
        <v>2170</v>
      </c>
      <c r="BB140" t="s">
        <v>2170</v>
      </c>
      <c r="BC140" t="s">
        <v>2170</v>
      </c>
      <c r="BD140" t="s">
        <v>2170</v>
      </c>
      <c r="BE140" t="s">
        <v>2170</v>
      </c>
      <c r="BF140" t="s">
        <v>2170</v>
      </c>
      <c r="BG140" t="s">
        <v>2170</v>
      </c>
      <c r="BH140" t="s">
        <v>2170</v>
      </c>
      <c r="BI140" t="s">
        <v>2170</v>
      </c>
      <c r="BJ140" t="s">
        <v>2170</v>
      </c>
      <c r="BK140" t="s">
        <v>2170</v>
      </c>
      <c r="BL140" t="s">
        <v>2170</v>
      </c>
      <c r="BM140" t="s">
        <v>2170</v>
      </c>
      <c r="BN140" t="s">
        <v>2170</v>
      </c>
      <c r="BO140" t="s">
        <v>2170</v>
      </c>
      <c r="BP140" t="s">
        <v>2170</v>
      </c>
      <c r="BQ140" t="s">
        <v>2170</v>
      </c>
      <c r="BR140" t="s">
        <v>2170</v>
      </c>
      <c r="BS140" t="s">
        <v>2170</v>
      </c>
      <c r="BT140" t="s">
        <v>2170</v>
      </c>
      <c r="BU140" t="s">
        <v>2170</v>
      </c>
      <c r="BV140" t="s">
        <v>2170</v>
      </c>
      <c r="BW140" t="s">
        <v>2170</v>
      </c>
      <c r="BX140" t="s">
        <v>2170</v>
      </c>
      <c r="BY140" t="s">
        <v>364</v>
      </c>
    </row>
    <row r="141" spans="1:77" customFormat="1" x14ac:dyDescent="0.2">
      <c r="A141" s="504">
        <v>259</v>
      </c>
      <c r="B141">
        <v>1215182928</v>
      </c>
      <c r="C141" t="s">
        <v>1701</v>
      </c>
      <c r="D141" t="s">
        <v>2080</v>
      </c>
      <c r="E141" t="s">
        <v>2826</v>
      </c>
      <c r="F141" t="s">
        <v>2090</v>
      </c>
      <c r="H141" t="s">
        <v>129</v>
      </c>
      <c r="I141" t="s">
        <v>336</v>
      </c>
      <c r="J141">
        <v>55443</v>
      </c>
      <c r="K141" t="s">
        <v>2090</v>
      </c>
      <c r="L141">
        <v>7637628800</v>
      </c>
      <c r="M141">
        <v>7633153539</v>
      </c>
      <c r="N141" t="s">
        <v>973</v>
      </c>
      <c r="O141" t="s">
        <v>3256</v>
      </c>
      <c r="P141" t="s">
        <v>346</v>
      </c>
      <c r="Q141" t="s">
        <v>3257</v>
      </c>
      <c r="R141" t="s">
        <v>2106</v>
      </c>
      <c r="S141" t="s">
        <v>186</v>
      </c>
      <c r="T141" t="s">
        <v>2107</v>
      </c>
      <c r="U141" t="s">
        <v>341</v>
      </c>
      <c r="V141">
        <v>7637626809</v>
      </c>
      <c r="W141" t="s">
        <v>2090</v>
      </c>
      <c r="X141">
        <v>7633154669</v>
      </c>
      <c r="Y141" t="s">
        <v>2108</v>
      </c>
      <c r="Z141" t="s">
        <v>2109</v>
      </c>
      <c r="AA141" t="s">
        <v>2170</v>
      </c>
      <c r="AB141" t="s">
        <v>2080</v>
      </c>
      <c r="AC141" t="s">
        <v>336</v>
      </c>
      <c r="AD141">
        <v>55443</v>
      </c>
      <c r="AE141" t="s">
        <v>2170</v>
      </c>
      <c r="AF141" t="s">
        <v>129</v>
      </c>
      <c r="AG141" t="s">
        <v>2110</v>
      </c>
      <c r="AH141" t="s">
        <v>351</v>
      </c>
      <c r="AI141" t="s">
        <v>2170</v>
      </c>
      <c r="AJ141">
        <v>0</v>
      </c>
      <c r="AK141" t="s">
        <v>103</v>
      </c>
      <c r="AL141" t="s">
        <v>2170</v>
      </c>
      <c r="AM141" t="s">
        <v>2170</v>
      </c>
      <c r="AN141" t="s">
        <v>2170</v>
      </c>
      <c r="AO141" t="s">
        <v>2170</v>
      </c>
      <c r="AP141" t="s">
        <v>2170</v>
      </c>
      <c r="AQ141" t="s">
        <v>2170</v>
      </c>
      <c r="AR141" t="s">
        <v>2170</v>
      </c>
      <c r="AS141" t="s">
        <v>2170</v>
      </c>
      <c r="AT141" t="s">
        <v>2170</v>
      </c>
      <c r="AU141" t="s">
        <v>2170</v>
      </c>
      <c r="AV141" t="s">
        <v>2170</v>
      </c>
      <c r="AW141" t="s">
        <v>2170</v>
      </c>
      <c r="AX141" t="s">
        <v>2170</v>
      </c>
      <c r="AY141" t="s">
        <v>2170</v>
      </c>
      <c r="AZ141" t="s">
        <v>2170</v>
      </c>
      <c r="BA141" t="s">
        <v>2170</v>
      </c>
      <c r="BB141" t="s">
        <v>2170</v>
      </c>
      <c r="BC141" t="s">
        <v>2170</v>
      </c>
      <c r="BD141" t="s">
        <v>2170</v>
      </c>
      <c r="BE141" t="s">
        <v>2170</v>
      </c>
      <c r="BF141" t="s">
        <v>2170</v>
      </c>
      <c r="BG141" t="s">
        <v>2170</v>
      </c>
      <c r="BH141" t="s">
        <v>2170</v>
      </c>
      <c r="BI141" t="s">
        <v>2170</v>
      </c>
      <c r="BJ141" t="s">
        <v>2170</v>
      </c>
      <c r="BK141" t="s">
        <v>2170</v>
      </c>
      <c r="BL141" t="s">
        <v>186</v>
      </c>
      <c r="BM141" t="s">
        <v>2107</v>
      </c>
      <c r="BN141" t="s">
        <v>341</v>
      </c>
      <c r="BO141">
        <v>7637626809</v>
      </c>
      <c r="BP141" t="s">
        <v>2090</v>
      </c>
      <c r="BQ141">
        <v>7633154669</v>
      </c>
      <c r="BR141" t="s">
        <v>2108</v>
      </c>
      <c r="BS141" t="s">
        <v>2109</v>
      </c>
      <c r="BT141" t="s">
        <v>2170</v>
      </c>
      <c r="BU141" t="s">
        <v>2080</v>
      </c>
      <c r="BV141" t="s">
        <v>336</v>
      </c>
      <c r="BW141">
        <v>55443</v>
      </c>
      <c r="BX141" t="s">
        <v>2170</v>
      </c>
      <c r="BY141" t="s">
        <v>1581</v>
      </c>
    </row>
    <row r="142" spans="1:77" customFormat="1" x14ac:dyDescent="0.2">
      <c r="A142" s="504">
        <v>260</v>
      </c>
      <c r="B142">
        <v>1790842466</v>
      </c>
      <c r="C142" t="s">
        <v>2827</v>
      </c>
      <c r="D142" t="s">
        <v>1460</v>
      </c>
      <c r="E142" t="s">
        <v>2828</v>
      </c>
      <c r="F142" t="s">
        <v>2090</v>
      </c>
      <c r="H142" t="s">
        <v>1461</v>
      </c>
      <c r="I142" t="s">
        <v>336</v>
      </c>
      <c r="J142">
        <v>56701</v>
      </c>
      <c r="K142" t="s">
        <v>2090</v>
      </c>
      <c r="L142">
        <v>2186834349</v>
      </c>
      <c r="M142">
        <v>0</v>
      </c>
      <c r="N142" t="s">
        <v>904</v>
      </c>
      <c r="O142" t="s">
        <v>450</v>
      </c>
      <c r="P142" t="s">
        <v>346</v>
      </c>
      <c r="Q142" t="s">
        <v>2063</v>
      </c>
      <c r="R142" t="s">
        <v>2732</v>
      </c>
      <c r="S142" t="s">
        <v>1311</v>
      </c>
      <c r="T142" t="s">
        <v>1998</v>
      </c>
      <c r="U142" t="s">
        <v>2920</v>
      </c>
      <c r="V142">
        <v>6123764528</v>
      </c>
      <c r="W142" t="s">
        <v>2090</v>
      </c>
      <c r="X142" t="s">
        <v>2090</v>
      </c>
      <c r="Y142" t="s">
        <v>2829</v>
      </c>
      <c r="Z142" t="s">
        <v>2170</v>
      </c>
      <c r="AA142" t="s">
        <v>2170</v>
      </c>
      <c r="AB142" t="s">
        <v>119</v>
      </c>
      <c r="AC142" t="s">
        <v>336</v>
      </c>
      <c r="AD142">
        <v>55402</v>
      </c>
      <c r="AE142" t="s">
        <v>2170</v>
      </c>
      <c r="AF142" t="s">
        <v>120</v>
      </c>
      <c r="AG142">
        <v>0</v>
      </c>
      <c r="AH142" t="s">
        <v>1274</v>
      </c>
      <c r="AI142" t="s">
        <v>953</v>
      </c>
      <c r="AJ142">
        <v>0</v>
      </c>
      <c r="AK142" t="s">
        <v>103</v>
      </c>
      <c r="AL142" t="s">
        <v>2104</v>
      </c>
      <c r="AM142" t="s">
        <v>2925</v>
      </c>
      <c r="AN142" t="s">
        <v>2922</v>
      </c>
      <c r="AO142">
        <v>7012341213</v>
      </c>
      <c r="AP142" t="s">
        <v>2090</v>
      </c>
      <c r="AQ142" t="s">
        <v>2090</v>
      </c>
      <c r="AR142" t="s">
        <v>2923</v>
      </c>
      <c r="AS142" t="s">
        <v>2170</v>
      </c>
      <c r="AT142" t="s">
        <v>2170</v>
      </c>
      <c r="AU142" t="s">
        <v>2170</v>
      </c>
      <c r="AV142" t="s">
        <v>1995</v>
      </c>
      <c r="AW142" t="s">
        <v>2170</v>
      </c>
      <c r="AX142" t="s">
        <v>2170</v>
      </c>
      <c r="AY142" t="s">
        <v>2170</v>
      </c>
      <c r="AZ142" t="s">
        <v>2170</v>
      </c>
      <c r="BA142" t="s">
        <v>2170</v>
      </c>
      <c r="BB142" t="s">
        <v>2170</v>
      </c>
      <c r="BC142" t="s">
        <v>2170</v>
      </c>
      <c r="BD142" t="s">
        <v>2170</v>
      </c>
      <c r="BE142" t="s">
        <v>2170</v>
      </c>
      <c r="BF142" t="s">
        <v>2170</v>
      </c>
      <c r="BG142" t="s">
        <v>2170</v>
      </c>
      <c r="BH142" t="s">
        <v>2170</v>
      </c>
      <c r="BI142" t="s">
        <v>2170</v>
      </c>
      <c r="BJ142" t="s">
        <v>2170</v>
      </c>
      <c r="BK142" t="s">
        <v>2170</v>
      </c>
      <c r="BL142" t="s">
        <v>2170</v>
      </c>
      <c r="BM142" t="s">
        <v>2170</v>
      </c>
      <c r="BN142" t="s">
        <v>2170</v>
      </c>
      <c r="BO142" t="s">
        <v>2170</v>
      </c>
      <c r="BP142" t="s">
        <v>2170</v>
      </c>
      <c r="BQ142" t="s">
        <v>2170</v>
      </c>
      <c r="BR142" t="s">
        <v>2170</v>
      </c>
      <c r="BS142" t="s">
        <v>2170</v>
      </c>
      <c r="BT142" t="s">
        <v>2170</v>
      </c>
      <c r="BU142" t="s">
        <v>2170</v>
      </c>
      <c r="BV142" t="s">
        <v>2170</v>
      </c>
      <c r="BW142" t="s">
        <v>2170</v>
      </c>
      <c r="BX142" t="s">
        <v>2170</v>
      </c>
      <c r="BY142" t="s">
        <v>370</v>
      </c>
    </row>
    <row r="143" spans="1:77" customFormat="1" x14ac:dyDescent="0.2">
      <c r="A143" s="504">
        <v>177</v>
      </c>
      <c r="B143">
        <v>1396712618</v>
      </c>
      <c r="C143" t="s">
        <v>1691</v>
      </c>
      <c r="D143" t="s">
        <v>863</v>
      </c>
      <c r="E143" t="s">
        <v>3235</v>
      </c>
      <c r="F143" t="s">
        <v>2090</v>
      </c>
      <c r="H143" t="s">
        <v>864</v>
      </c>
      <c r="I143" t="s">
        <v>336</v>
      </c>
      <c r="J143">
        <v>56187</v>
      </c>
      <c r="K143">
        <v>2202</v>
      </c>
      <c r="L143">
        <v>5073722941</v>
      </c>
      <c r="M143">
        <v>5073723240</v>
      </c>
      <c r="N143" t="s">
        <v>1166</v>
      </c>
      <c r="O143" t="s">
        <v>2807</v>
      </c>
      <c r="P143" t="s">
        <v>1838</v>
      </c>
      <c r="Q143" t="s">
        <v>2808</v>
      </c>
      <c r="R143" t="s">
        <v>2809</v>
      </c>
      <c r="S143" t="s">
        <v>1311</v>
      </c>
      <c r="T143" t="s">
        <v>1998</v>
      </c>
      <c r="U143" t="s">
        <v>2920</v>
      </c>
      <c r="V143">
        <v>6123764528</v>
      </c>
      <c r="W143" t="s">
        <v>2090</v>
      </c>
      <c r="X143">
        <v>6123764850</v>
      </c>
      <c r="Y143" t="s">
        <v>1999</v>
      </c>
      <c r="Z143" t="s">
        <v>2187</v>
      </c>
      <c r="AA143" t="s">
        <v>2170</v>
      </c>
      <c r="AB143" t="s">
        <v>119</v>
      </c>
      <c r="AC143" t="s">
        <v>336</v>
      </c>
      <c r="AD143">
        <v>55402</v>
      </c>
      <c r="AE143" t="s">
        <v>2170</v>
      </c>
      <c r="AF143" t="s">
        <v>120</v>
      </c>
      <c r="AG143" t="s">
        <v>1331</v>
      </c>
      <c r="AH143" t="s">
        <v>1274</v>
      </c>
      <c r="AI143" t="s">
        <v>953</v>
      </c>
      <c r="AJ143">
        <v>0</v>
      </c>
      <c r="AK143" t="s">
        <v>2810</v>
      </c>
      <c r="AL143" t="s">
        <v>2811</v>
      </c>
      <c r="AM143" t="s">
        <v>2666</v>
      </c>
      <c r="AN143" t="s">
        <v>2812</v>
      </c>
      <c r="AO143">
        <v>0</v>
      </c>
      <c r="AP143" t="s">
        <v>2090</v>
      </c>
      <c r="AQ143" t="s">
        <v>2090</v>
      </c>
      <c r="AR143" t="s">
        <v>2813</v>
      </c>
      <c r="AS143" t="s">
        <v>2170</v>
      </c>
      <c r="AT143" t="s">
        <v>2170</v>
      </c>
      <c r="AU143" t="s">
        <v>2170</v>
      </c>
      <c r="AV143" t="s">
        <v>1995</v>
      </c>
      <c r="AW143" t="s">
        <v>2170</v>
      </c>
      <c r="AX143" t="s">
        <v>2170</v>
      </c>
      <c r="AY143" t="s">
        <v>2104</v>
      </c>
      <c r="AZ143" t="s">
        <v>2925</v>
      </c>
      <c r="BA143" t="s">
        <v>2922</v>
      </c>
      <c r="BB143">
        <v>7012341213</v>
      </c>
      <c r="BC143" t="s">
        <v>2090</v>
      </c>
      <c r="BD143" t="s">
        <v>2090</v>
      </c>
      <c r="BE143" t="s">
        <v>2923</v>
      </c>
      <c r="BF143" t="s">
        <v>2170</v>
      </c>
      <c r="BG143" t="s">
        <v>2170</v>
      </c>
      <c r="BH143" t="s">
        <v>2170</v>
      </c>
      <c r="BI143" t="s">
        <v>2170</v>
      </c>
      <c r="BJ143" t="s">
        <v>2170</v>
      </c>
      <c r="BK143" t="s">
        <v>2170</v>
      </c>
      <c r="BL143" t="s">
        <v>2811</v>
      </c>
      <c r="BM143" t="s">
        <v>2666</v>
      </c>
      <c r="BN143" t="s">
        <v>2812</v>
      </c>
      <c r="BO143">
        <v>0</v>
      </c>
      <c r="BP143" t="s">
        <v>2090</v>
      </c>
      <c r="BQ143" t="s">
        <v>2090</v>
      </c>
      <c r="BR143" t="s">
        <v>2813</v>
      </c>
      <c r="BS143" t="s">
        <v>2170</v>
      </c>
      <c r="BT143" t="s">
        <v>2170</v>
      </c>
      <c r="BU143" t="s">
        <v>2170</v>
      </c>
      <c r="BV143" t="s">
        <v>1995</v>
      </c>
      <c r="BW143" t="s">
        <v>2170</v>
      </c>
      <c r="BX143" t="s">
        <v>2170</v>
      </c>
      <c r="BY143" t="s">
        <v>370</v>
      </c>
    </row>
    <row r="144" spans="1:77" customFormat="1" x14ac:dyDescent="0.2">
      <c r="A144" s="504">
        <v>186</v>
      </c>
      <c r="B144">
        <v>1083692941</v>
      </c>
      <c r="C144" t="s">
        <v>2820</v>
      </c>
      <c r="D144" t="s">
        <v>865</v>
      </c>
      <c r="E144" t="s">
        <v>2821</v>
      </c>
      <c r="F144" t="s">
        <v>2090</v>
      </c>
      <c r="H144" t="s">
        <v>866</v>
      </c>
      <c r="I144" t="s">
        <v>336</v>
      </c>
      <c r="J144">
        <v>55092</v>
      </c>
      <c r="K144">
        <v>8013</v>
      </c>
      <c r="L144">
        <v>6519827000</v>
      </c>
      <c r="M144">
        <v>6519827110</v>
      </c>
      <c r="N144" t="s">
        <v>2624</v>
      </c>
      <c r="O144" t="s">
        <v>2620</v>
      </c>
      <c r="P144" t="s">
        <v>2621</v>
      </c>
      <c r="Q144" t="s">
        <v>2885</v>
      </c>
      <c r="R144" t="s">
        <v>2822</v>
      </c>
      <c r="S144" t="s">
        <v>2970</v>
      </c>
      <c r="T144" t="s">
        <v>2971</v>
      </c>
      <c r="U144" t="s">
        <v>2972</v>
      </c>
      <c r="V144">
        <v>6126725963</v>
      </c>
      <c r="W144" t="s">
        <v>2090</v>
      </c>
      <c r="X144">
        <v>6126726986</v>
      </c>
      <c r="Y144" t="s">
        <v>2973</v>
      </c>
      <c r="Z144" t="s">
        <v>2888</v>
      </c>
      <c r="AA144" t="s">
        <v>2170</v>
      </c>
      <c r="AB144" t="s">
        <v>2177</v>
      </c>
      <c r="AC144" t="s">
        <v>336</v>
      </c>
      <c r="AD144">
        <v>55104</v>
      </c>
      <c r="AE144" t="s">
        <v>2170</v>
      </c>
      <c r="AF144" t="s">
        <v>866</v>
      </c>
      <c r="AG144" t="s">
        <v>130</v>
      </c>
      <c r="AH144" t="s">
        <v>2773</v>
      </c>
      <c r="AI144" t="s">
        <v>953</v>
      </c>
      <c r="AJ144" s="437">
        <v>0</v>
      </c>
      <c r="AK144" t="s">
        <v>3243</v>
      </c>
      <c r="AL144" t="s">
        <v>2974</v>
      </c>
      <c r="AM144" t="s">
        <v>2975</v>
      </c>
      <c r="AN144" t="s">
        <v>2591</v>
      </c>
      <c r="AO144">
        <v>6126724660</v>
      </c>
      <c r="AP144" t="s">
        <v>2090</v>
      </c>
      <c r="AQ144">
        <v>6126726986</v>
      </c>
      <c r="AR144" t="s">
        <v>2976</v>
      </c>
      <c r="AS144" t="s">
        <v>2888</v>
      </c>
      <c r="AT144" t="s">
        <v>2170</v>
      </c>
      <c r="AU144" t="s">
        <v>2177</v>
      </c>
      <c r="AV144" t="s">
        <v>336</v>
      </c>
      <c r="AW144">
        <v>55104</v>
      </c>
      <c r="AX144" t="s">
        <v>2170</v>
      </c>
      <c r="AY144" t="s">
        <v>1620</v>
      </c>
      <c r="AZ144" t="s">
        <v>2890</v>
      </c>
      <c r="BA144" t="s">
        <v>2007</v>
      </c>
      <c r="BB144">
        <v>6126727067</v>
      </c>
      <c r="BC144" t="s">
        <v>2090</v>
      </c>
      <c r="BD144">
        <v>6126726986</v>
      </c>
      <c r="BE144" t="s">
        <v>1313</v>
      </c>
      <c r="BF144" t="s">
        <v>2889</v>
      </c>
      <c r="BG144" t="s">
        <v>2170</v>
      </c>
      <c r="BH144" t="s">
        <v>2307</v>
      </c>
      <c r="BI144" t="s">
        <v>1995</v>
      </c>
      <c r="BJ144">
        <v>55104</v>
      </c>
      <c r="BK144" t="s">
        <v>2170</v>
      </c>
      <c r="BL144" t="s">
        <v>2891</v>
      </c>
      <c r="BM144" t="s">
        <v>2892</v>
      </c>
      <c r="BN144" t="s">
        <v>2203</v>
      </c>
      <c r="BO144">
        <v>6126724923</v>
      </c>
      <c r="BP144" t="s">
        <v>2090</v>
      </c>
      <c r="BQ144" t="s">
        <v>2090</v>
      </c>
      <c r="BR144" t="s">
        <v>2893</v>
      </c>
      <c r="BS144" t="s">
        <v>2894</v>
      </c>
      <c r="BT144" t="s">
        <v>2170</v>
      </c>
      <c r="BU144" t="s">
        <v>2177</v>
      </c>
      <c r="BV144" t="s">
        <v>336</v>
      </c>
      <c r="BW144">
        <v>55104</v>
      </c>
      <c r="BX144" t="s">
        <v>2170</v>
      </c>
      <c r="BY144" t="s">
        <v>370</v>
      </c>
    </row>
    <row r="145" spans="1:76" customFormat="1" x14ac:dyDescent="0.2">
      <c r="A145" s="445"/>
    </row>
    <row r="146" spans="1:76" customFormat="1" x14ac:dyDescent="0.2">
      <c r="A146" s="445"/>
    </row>
    <row r="147" spans="1:76" x14ac:dyDescent="0.2">
      <c r="A147" s="445"/>
      <c r="B147"/>
      <c r="C147"/>
      <c r="D147"/>
      <c r="E147"/>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c r="BR147"/>
      <c r="BS147"/>
      <c r="BT147"/>
      <c r="BU147"/>
      <c r="BV147"/>
      <c r="BW147"/>
      <c r="BX147"/>
    </row>
    <row r="148" spans="1:76" x14ac:dyDescent="0.2">
      <c r="A148" s="445"/>
      <c r="B148"/>
      <c r="C148" s="444"/>
      <c r="D148"/>
      <c r="E148" s="444"/>
      <c r="F148" s="444"/>
      <c r="G148"/>
      <c r="H148" s="444"/>
      <c r="I148" s="444"/>
      <c r="J148" s="444"/>
      <c r="K148" s="444"/>
      <c r="L148" s="444"/>
      <c r="M148" s="444"/>
      <c r="N148" s="444"/>
      <c r="O148" s="444"/>
      <c r="P148" s="444"/>
      <c r="Q148" s="444"/>
      <c r="R148" s="444"/>
      <c r="S148" s="444"/>
      <c r="T148" s="444"/>
      <c r="U148" s="444"/>
      <c r="V148" s="444"/>
      <c r="W148" s="444"/>
      <c r="X148" s="444"/>
      <c r="Y148" s="444"/>
      <c r="Z148" s="444"/>
      <c r="AA148" s="444"/>
      <c r="AB148" s="444"/>
      <c r="AC148" s="444"/>
      <c r="AD148" s="444"/>
      <c r="AE148" s="444"/>
      <c r="AF148" s="444"/>
      <c r="AG148" s="444"/>
      <c r="AH148" s="444"/>
      <c r="AI148" s="444"/>
      <c r="AJ148" s="444"/>
      <c r="AK148" s="444"/>
      <c r="AL148" s="444"/>
      <c r="AM148" s="444"/>
      <c r="AN148" s="444"/>
      <c r="AO148" s="444"/>
      <c r="AP148" s="444"/>
      <c r="AQ148" s="444"/>
      <c r="AR148" s="444"/>
      <c r="AS148" s="444"/>
      <c r="AT148" s="444"/>
      <c r="AU148" s="444"/>
      <c r="AV148" s="444"/>
      <c r="AW148" s="444"/>
      <c r="AX148" s="444"/>
      <c r="AY148" s="444"/>
      <c r="AZ148" s="444"/>
      <c r="BA148" s="444"/>
      <c r="BB148" s="444"/>
      <c r="BC148"/>
      <c r="BD148" s="444"/>
      <c r="BE148" s="444"/>
      <c r="BF148" s="444"/>
      <c r="BG148" s="444"/>
      <c r="BH148" s="444"/>
      <c r="BI148" s="444"/>
      <c r="BJ148" s="444"/>
      <c r="BK148" s="444"/>
      <c r="BL148" s="444"/>
      <c r="BM148" s="444"/>
      <c r="BN148" s="444"/>
      <c r="BO148" s="444"/>
      <c r="BP148" s="444"/>
      <c r="BQ148" s="444"/>
      <c r="BR148" s="444"/>
      <c r="BS148" s="444"/>
      <c r="BT148" s="444"/>
      <c r="BU148" s="444"/>
      <c r="BV148" s="444"/>
      <c r="BW148" s="444"/>
      <c r="BX148" s="444"/>
    </row>
    <row r="149" spans="1:76" x14ac:dyDescent="0.2">
      <c r="A149" s="284"/>
      <c r="C149" s="275"/>
      <c r="E149" s="275"/>
      <c r="F149" s="275"/>
      <c r="H149" s="276"/>
      <c r="I149" s="276"/>
      <c r="J149" s="276"/>
      <c r="K149" s="276"/>
      <c r="L149" s="276"/>
      <c r="M149" s="276"/>
      <c r="N149" s="276"/>
      <c r="O149" s="276"/>
      <c r="P149" s="276"/>
      <c r="Q149" s="276"/>
      <c r="R149" s="276"/>
      <c r="S149" s="275"/>
      <c r="T149" s="275"/>
      <c r="U149" s="275"/>
      <c r="V149" s="277"/>
      <c r="W149" s="275"/>
      <c r="X149" s="415"/>
      <c r="Y149" s="275"/>
      <c r="Z149" s="275"/>
      <c r="AA149" s="275"/>
      <c r="AB149" s="275"/>
      <c r="AC149" s="275"/>
      <c r="AD149" s="275"/>
      <c r="AE149" s="275"/>
      <c r="AF149" s="275"/>
      <c r="AG149" s="275"/>
      <c r="AH149" s="275"/>
      <c r="AI149" s="275"/>
      <c r="AJ149" s="275"/>
      <c r="AK149" s="275"/>
      <c r="AL149" s="277"/>
      <c r="AM149" s="277"/>
      <c r="AN149" s="277"/>
      <c r="AO149" s="277"/>
      <c r="AP149" s="277"/>
      <c r="AQ149" s="277"/>
      <c r="AR149" s="277"/>
      <c r="AS149" s="277"/>
      <c r="AT149" s="277"/>
      <c r="AU149" s="277"/>
      <c r="AV149" s="277"/>
      <c r="AW149" s="277"/>
      <c r="AX149" s="277"/>
      <c r="AY149" s="275"/>
      <c r="AZ149" s="275"/>
      <c r="BA149" s="275"/>
      <c r="BB149" s="275"/>
      <c r="BC149" s="283"/>
      <c r="BD149" s="275"/>
      <c r="BE149" s="275"/>
      <c r="BF149" s="275"/>
      <c r="BG149" s="275"/>
      <c r="BH149" s="275"/>
      <c r="BI149" s="275"/>
      <c r="BJ149" s="275"/>
      <c r="BK149" s="275"/>
      <c r="BL149" s="275"/>
      <c r="BM149" s="275"/>
      <c r="BN149" s="275"/>
      <c r="BO149" s="275"/>
      <c r="BP149" s="275"/>
      <c r="BQ149" s="275"/>
      <c r="BR149" s="275"/>
      <c r="BS149" s="275"/>
      <c r="BT149" s="275"/>
      <c r="BU149" s="275"/>
      <c r="BV149" s="275"/>
      <c r="BW149" s="275"/>
      <c r="BX149" s="275"/>
    </row>
    <row r="150" spans="1:76" x14ac:dyDescent="0.2">
      <c r="A150" s="284"/>
      <c r="C150" s="275"/>
      <c r="E150" s="275"/>
      <c r="F150" s="275"/>
      <c r="H150" s="276"/>
      <c r="I150" s="276"/>
      <c r="J150" s="276"/>
      <c r="K150" s="276"/>
      <c r="L150" s="276"/>
      <c r="M150" s="276"/>
      <c r="N150" s="276"/>
      <c r="O150" s="276"/>
      <c r="P150" s="276"/>
      <c r="Q150" s="276"/>
      <c r="R150" s="276"/>
      <c r="S150" s="275"/>
      <c r="T150" s="275"/>
      <c r="U150" s="275"/>
      <c r="V150" s="277"/>
      <c r="W150" s="275"/>
      <c r="X150" s="415"/>
      <c r="Y150" s="275"/>
      <c r="Z150" s="275"/>
      <c r="AA150" s="275"/>
      <c r="AB150" s="275"/>
      <c r="AC150" s="275"/>
      <c r="AD150" s="275"/>
      <c r="AE150" s="275"/>
      <c r="AF150" s="275"/>
      <c r="AG150" s="275"/>
      <c r="AH150" s="275"/>
      <c r="AI150" s="275"/>
      <c r="AJ150" s="275"/>
      <c r="AK150" s="275"/>
      <c r="AL150" s="277"/>
      <c r="AM150" s="277"/>
      <c r="AN150" s="277"/>
      <c r="AO150" s="277"/>
      <c r="AP150" s="277"/>
      <c r="AQ150" s="277"/>
      <c r="AR150" s="277"/>
      <c r="AS150" s="277"/>
      <c r="AT150" s="277"/>
      <c r="AU150" s="277"/>
      <c r="AV150" s="277"/>
      <c r="AW150" s="277"/>
      <c r="AX150" s="277"/>
      <c r="AY150" s="275"/>
      <c r="AZ150" s="275"/>
      <c r="BA150" s="275"/>
      <c r="BB150" s="275"/>
      <c r="BC150" s="283"/>
      <c r="BD150" s="275"/>
      <c r="BE150" s="275"/>
      <c r="BF150" s="275"/>
      <c r="BG150" s="275"/>
      <c r="BH150" s="275"/>
      <c r="BI150" s="275"/>
      <c r="BJ150" s="275"/>
      <c r="BK150" s="275"/>
      <c r="BL150" s="275"/>
      <c r="BM150" s="275"/>
      <c r="BN150" s="275"/>
      <c r="BO150" s="275"/>
      <c r="BP150" s="275"/>
      <c r="BQ150" s="275"/>
      <c r="BR150" s="275"/>
      <c r="BS150" s="275"/>
      <c r="BT150" s="275"/>
      <c r="BU150" s="275"/>
      <c r="BV150" s="275"/>
      <c r="BW150" s="275"/>
      <c r="BX150" s="275"/>
    </row>
  </sheetData>
  <sheetProtection algorithmName="SHA-512" hashValue="wP9IxnmEvSzpxPZXNj1EAHFKE0z6wzNpurRiklSxNnyOveIyKbh5SMdUwGu4yzf1kwbpBy/hnOD5ptvPRFjMeA==" saltValue="443nv154DUc1x0mJodFfpA==" spinCount="100000" sheet="1" objects="1" scenarios="1"/>
  <phoneticPr fontId="0" type="noConversion"/>
  <hyperlinks>
    <hyperlink ref="A29" location="'2016 HAR'!A1" display="'2016 HAR'!A1" xr:uid="{00000000-0004-0000-0B00-000000000000}"/>
    <hyperlink ref="A103" location="'2016 HAR'!A1" display="'2016 HAR'!A1" xr:uid="{00000000-0004-0000-0B00-000001000000}"/>
    <hyperlink ref="A3" location="'2018 HAR'!A1" display="'2018 HAR'!A1" xr:uid="{00000000-0004-0000-0B00-000002000000}"/>
    <hyperlink ref="A4:A5" location="'2016 HAR'!A1" display="'2016 HAR'!A1" xr:uid="{00000000-0004-0000-0B00-000003000000}"/>
    <hyperlink ref="A6:A148" location="'2016 HAR'!A1" display="'2016 HAR'!A1" xr:uid="{00000000-0004-0000-0B00-000004000000}"/>
    <hyperlink ref="A4" location="'2018 HAR'!A1" display="'2018 HAR'!A1" xr:uid="{00000000-0004-0000-0B00-000005000000}"/>
    <hyperlink ref="A5:A9" location="'2018 HAR'!A1" display="'2018 HAR'!A1" xr:uid="{00000000-0004-0000-0B00-000006000000}"/>
    <hyperlink ref="A10:A148" location="'2018 HAR'!A1" display="'2018 HAR'!A1" xr:uid="{00000000-0004-0000-0B00-000007000000}"/>
    <hyperlink ref="Y18" r:id="rId1" display="jthielke@scbh.org" xr:uid="{00000000-0004-0000-0B00-000008000000}"/>
    <hyperlink ref="AR50" r:id="rId2" display="Jill.Nelson@rsmus.com" xr:uid="{00000000-0004-0000-0B00-000009000000}"/>
    <hyperlink ref="A3:A12" location="'2019 HAR'!A1" display="'2019 HAR'!A1" xr:uid="{96B931E1-28DD-4B9F-B225-70BA0BDC08EB}"/>
    <hyperlink ref="A12:A144" location="'2019 HAR'!A1" display="'2019 HAR'!A1" xr:uid="{36411B8A-1F6E-40B7-B8B3-EC22E4654088}"/>
    <hyperlink ref="A3:A144" location="'2020 HAR'!A1" display="'2020 HAR'!A1" xr:uid="{81E9D60B-2D21-42D6-9ECD-813F0EC9F306}"/>
  </hyperlinks>
  <pageMargins left="0.75" right="0.75" top="1" bottom="1.1499999999999999" header="0.5" footer="0.5"/>
  <pageSetup scale="93" fitToHeight="0" orientation="portrait" r:id="rId3"/>
  <headerFooter alignWithMargins="0">
    <oddFooter>&amp;LMDH
www.health.state.mn.us/data/economics/hccis/index.html
Phone: 651-201-3572 
Fax: 651-201-5179&amp;CPage &amp;P
2021 Hospital Annual Report
Health Care Cost  Information System (HCCIS)&amp;RMHA
Jsanislo@mnhospitals.org
Phone: 651-659-1440
Fax: 651-659-1477</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dimension ref="A1:AO151"/>
  <sheetViews>
    <sheetView zoomScaleNormal="100" workbookViewId="0">
      <selection activeCell="BJ20" sqref="BJ20"/>
    </sheetView>
  </sheetViews>
  <sheetFormatPr defaultRowHeight="12.75" x14ac:dyDescent="0.2"/>
  <cols>
    <col min="1" max="1" width="9.140625" customWidth="1"/>
    <col min="2" max="2" width="18.85546875" hidden="1" customWidth="1"/>
    <col min="3" max="3" width="18.7109375" hidden="1" customWidth="1"/>
    <col min="4" max="4" width="19.42578125" hidden="1" customWidth="1"/>
    <col min="5" max="5" width="20.140625" hidden="1" customWidth="1"/>
    <col min="6" max="6" width="19.5703125" hidden="1" customWidth="1"/>
    <col min="7" max="7" width="17.5703125" hidden="1" customWidth="1"/>
    <col min="8" max="8" width="15.42578125" hidden="1" customWidth="1"/>
    <col min="9" max="9" width="16.7109375" hidden="1" customWidth="1"/>
    <col min="10" max="10" width="16.85546875" hidden="1" customWidth="1"/>
    <col min="11" max="11" width="14.140625" hidden="1" customWidth="1"/>
    <col min="12" max="12" width="12.140625" hidden="1" customWidth="1"/>
    <col min="13" max="13" width="15.140625" hidden="1" customWidth="1"/>
    <col min="14" max="14" width="13.28515625" hidden="1" customWidth="1"/>
    <col min="15" max="15" width="22.140625" hidden="1" customWidth="1"/>
    <col min="16" max="16" width="20.140625" hidden="1" customWidth="1"/>
    <col min="17" max="17" width="14.140625" hidden="1" customWidth="1"/>
    <col min="18" max="18" width="12.140625" hidden="1" customWidth="1"/>
    <col min="19" max="19" width="14.140625" hidden="1" customWidth="1"/>
    <col min="20" max="20" width="12.140625" hidden="1" customWidth="1"/>
    <col min="21" max="21" width="21.140625" hidden="1" customWidth="1"/>
    <col min="22" max="22" width="19.28515625" hidden="1" customWidth="1"/>
    <col min="23" max="23" width="19.85546875" hidden="1" customWidth="1"/>
    <col min="24" max="24" width="18" hidden="1" customWidth="1"/>
    <col min="25" max="25" width="22" hidden="1" customWidth="1"/>
    <col min="26" max="26" width="20" hidden="1" customWidth="1"/>
    <col min="27" max="27" width="25.5703125" hidden="1" customWidth="1"/>
    <col min="28" max="28" width="23.5703125" hidden="1" customWidth="1"/>
    <col min="29" max="29" width="24.28515625" hidden="1" customWidth="1"/>
    <col min="30" max="30" width="22.42578125" hidden="1" customWidth="1"/>
    <col min="31" max="31" width="22.85546875" hidden="1" customWidth="1"/>
    <col min="32" max="32" width="20.85546875" hidden="1" customWidth="1"/>
    <col min="33" max="33" width="19.28515625" hidden="1" customWidth="1"/>
    <col min="34" max="34" width="17.42578125" hidden="1" customWidth="1"/>
    <col min="35" max="35" width="16.140625" hidden="1" customWidth="1"/>
    <col min="36" max="36" width="14.28515625" hidden="1" customWidth="1"/>
    <col min="37" max="37" width="15.5703125" hidden="1" customWidth="1"/>
    <col min="38" max="38" width="13.7109375" hidden="1" customWidth="1"/>
    <col min="39" max="39" width="18.140625" hidden="1" customWidth="1"/>
    <col min="40" max="40" width="35.7109375" hidden="1" customWidth="1"/>
    <col min="41" max="41" width="33.85546875" hidden="1" customWidth="1"/>
    <col min="42" max="54" width="9.140625" customWidth="1"/>
  </cols>
  <sheetData>
    <row r="1" spans="1:41" x14ac:dyDescent="0.2">
      <c r="A1">
        <v>1</v>
      </c>
      <c r="B1" s="460">
        <v>2</v>
      </c>
      <c r="C1" s="460">
        <v>3</v>
      </c>
      <c r="D1" s="460">
        <v>4</v>
      </c>
      <c r="E1" s="460">
        <v>5</v>
      </c>
      <c r="F1" s="460">
        <v>6</v>
      </c>
      <c r="G1" s="460">
        <v>7</v>
      </c>
      <c r="H1" s="460">
        <v>8</v>
      </c>
      <c r="I1" s="460">
        <v>9</v>
      </c>
      <c r="J1" s="460">
        <v>10</v>
      </c>
      <c r="K1" s="460">
        <v>11</v>
      </c>
      <c r="L1" s="460">
        <v>12</v>
      </c>
      <c r="M1" s="460">
        <v>13</v>
      </c>
      <c r="N1" s="460">
        <v>14</v>
      </c>
      <c r="O1" s="460">
        <v>15</v>
      </c>
      <c r="P1" s="460">
        <v>16</v>
      </c>
      <c r="Q1" s="460">
        <v>17</v>
      </c>
      <c r="R1" s="460">
        <v>18</v>
      </c>
      <c r="S1" s="460">
        <v>19</v>
      </c>
      <c r="T1" s="460">
        <v>20</v>
      </c>
      <c r="U1" s="460">
        <v>21</v>
      </c>
      <c r="V1" s="460">
        <v>22</v>
      </c>
      <c r="W1" s="460">
        <v>23</v>
      </c>
      <c r="X1" s="460">
        <v>24</v>
      </c>
      <c r="Y1" s="460">
        <v>25</v>
      </c>
      <c r="Z1" s="460">
        <v>26</v>
      </c>
      <c r="AA1" s="460">
        <v>27</v>
      </c>
      <c r="AB1" s="460">
        <v>28</v>
      </c>
      <c r="AC1" s="460">
        <v>29</v>
      </c>
      <c r="AD1" s="460">
        <v>30</v>
      </c>
      <c r="AE1" s="460">
        <v>31</v>
      </c>
      <c r="AF1" s="460">
        <v>32</v>
      </c>
      <c r="AG1" s="460">
        <v>33</v>
      </c>
      <c r="AH1" s="460">
        <v>34</v>
      </c>
      <c r="AI1" s="460">
        <v>35</v>
      </c>
      <c r="AJ1" s="460">
        <v>36</v>
      </c>
      <c r="AK1" s="460">
        <v>37</v>
      </c>
      <c r="AL1" s="460">
        <v>38</v>
      </c>
      <c r="AM1" s="460">
        <v>39</v>
      </c>
      <c r="AN1" s="460">
        <v>40</v>
      </c>
      <c r="AO1" s="460">
        <v>41</v>
      </c>
    </row>
    <row r="2" spans="1:41" s="438" customFormat="1" x14ac:dyDescent="0.2">
      <c r="A2" s="420" t="s">
        <v>829</v>
      </c>
      <c r="B2" s="420" t="s">
        <v>830</v>
      </c>
      <c r="C2" s="420" t="s">
        <v>831</v>
      </c>
      <c r="D2" s="420" t="s">
        <v>832</v>
      </c>
      <c r="E2" s="420" t="s">
        <v>833</v>
      </c>
      <c r="F2" s="420" t="s">
        <v>834</v>
      </c>
      <c r="G2" s="420" t="s">
        <v>835</v>
      </c>
      <c r="H2" s="420" t="s">
        <v>836</v>
      </c>
      <c r="I2" s="420" t="s">
        <v>837</v>
      </c>
      <c r="J2" s="420" t="s">
        <v>838</v>
      </c>
      <c r="K2" s="420" t="s">
        <v>1915</v>
      </c>
      <c r="L2" s="420" t="s">
        <v>1916</v>
      </c>
      <c r="M2" s="420" t="s">
        <v>1917</v>
      </c>
      <c r="N2" s="420" t="s">
        <v>1918</v>
      </c>
      <c r="O2" s="420" t="s">
        <v>1919</v>
      </c>
      <c r="P2" s="420" t="s">
        <v>1920</v>
      </c>
      <c r="Q2" s="420" t="s">
        <v>1921</v>
      </c>
      <c r="R2" s="420" t="s">
        <v>1922</v>
      </c>
      <c r="S2" s="420" t="s">
        <v>1923</v>
      </c>
      <c r="T2" s="420" t="s">
        <v>1924</v>
      </c>
      <c r="U2" s="420" t="s">
        <v>1925</v>
      </c>
      <c r="V2" s="420" t="s">
        <v>1926</v>
      </c>
      <c r="W2" s="420" t="s">
        <v>1927</v>
      </c>
      <c r="X2" s="420" t="s">
        <v>1928</v>
      </c>
      <c r="Y2" s="420" t="s">
        <v>1929</v>
      </c>
      <c r="Z2" s="420" t="s">
        <v>1930</v>
      </c>
      <c r="AA2" s="420" t="s">
        <v>1931</v>
      </c>
      <c r="AB2" s="420" t="s">
        <v>1932</v>
      </c>
      <c r="AC2" s="420" t="s">
        <v>1933</v>
      </c>
      <c r="AD2" s="420" t="s">
        <v>1934</v>
      </c>
      <c r="AE2" s="420" t="s">
        <v>2077</v>
      </c>
      <c r="AF2" s="420" t="s">
        <v>2078</v>
      </c>
      <c r="AG2" s="420" t="s">
        <v>1935</v>
      </c>
      <c r="AH2" s="420" t="s">
        <v>1936</v>
      </c>
      <c r="AI2" s="420" t="s">
        <v>1937</v>
      </c>
      <c r="AJ2" s="420" t="s">
        <v>1938</v>
      </c>
      <c r="AK2" s="420" t="s">
        <v>1939</v>
      </c>
      <c r="AL2" s="420" t="s">
        <v>1940</v>
      </c>
      <c r="AM2" s="420" t="s">
        <v>1941</v>
      </c>
      <c r="AN2" s="505" t="s">
        <v>2859</v>
      </c>
      <c r="AO2" s="505" t="s">
        <v>2860</v>
      </c>
    </row>
    <row r="3" spans="1:41" x14ac:dyDescent="0.2">
      <c r="A3">
        <v>1</v>
      </c>
      <c r="B3">
        <v>442018</v>
      </c>
      <c r="C3">
        <v>838515</v>
      </c>
      <c r="D3">
        <v>242226</v>
      </c>
      <c r="E3">
        <v>6684402</v>
      </c>
      <c r="F3">
        <v>8207161</v>
      </c>
      <c r="G3">
        <v>4788</v>
      </c>
      <c r="H3">
        <v>666</v>
      </c>
      <c r="I3">
        <v>59</v>
      </c>
      <c r="J3">
        <v>5513</v>
      </c>
      <c r="K3">
        <v>815739</v>
      </c>
      <c r="L3">
        <v>11.27</v>
      </c>
      <c r="M3">
        <v>7426</v>
      </c>
      <c r="N3">
        <v>0.16</v>
      </c>
      <c r="O3" t="s">
        <v>2090</v>
      </c>
      <c r="P3" t="s">
        <v>2090</v>
      </c>
      <c r="Q3">
        <v>34500</v>
      </c>
      <c r="R3">
        <v>0.28000000000000003</v>
      </c>
      <c r="S3" t="s">
        <v>2090</v>
      </c>
      <c r="T3" t="s">
        <v>2090</v>
      </c>
      <c r="U3" t="s">
        <v>2090</v>
      </c>
      <c r="V3" t="s">
        <v>2090</v>
      </c>
      <c r="W3" t="s">
        <v>2090</v>
      </c>
      <c r="X3" t="s">
        <v>2090</v>
      </c>
      <c r="Y3">
        <v>22740</v>
      </c>
      <c r="Z3">
        <v>0.18</v>
      </c>
      <c r="AA3" t="s">
        <v>2090</v>
      </c>
      <c r="AB3" t="s">
        <v>2090</v>
      </c>
      <c r="AC3" t="s">
        <v>2090</v>
      </c>
      <c r="AD3" t="s">
        <v>2090</v>
      </c>
      <c r="AE3">
        <v>162176</v>
      </c>
      <c r="AF3">
        <v>2.16</v>
      </c>
      <c r="AG3">
        <v>213183</v>
      </c>
      <c r="AH3">
        <v>3.12</v>
      </c>
      <c r="AI3">
        <v>819257</v>
      </c>
      <c r="AJ3">
        <v>14.6</v>
      </c>
      <c r="AK3">
        <v>2075021</v>
      </c>
      <c r="AL3">
        <v>31.77</v>
      </c>
      <c r="AM3">
        <v>20</v>
      </c>
      <c r="AN3" t="s">
        <v>2090</v>
      </c>
      <c r="AO3" t="s">
        <v>2090</v>
      </c>
    </row>
    <row r="4" spans="1:41" x14ac:dyDescent="0.2">
      <c r="A4">
        <v>2</v>
      </c>
      <c r="B4">
        <v>354906435</v>
      </c>
      <c r="C4">
        <v>93185093</v>
      </c>
      <c r="D4">
        <v>305016093</v>
      </c>
      <c r="E4">
        <v>398602579</v>
      </c>
      <c r="F4">
        <v>1151710200</v>
      </c>
      <c r="G4">
        <v>174456</v>
      </c>
      <c r="H4">
        <v>49905</v>
      </c>
      <c r="I4">
        <v>18267</v>
      </c>
      <c r="J4">
        <v>242628</v>
      </c>
      <c r="K4">
        <v>197983757</v>
      </c>
      <c r="L4">
        <v>1850.83</v>
      </c>
      <c r="M4">
        <v>3070059</v>
      </c>
      <c r="N4">
        <v>55.45</v>
      </c>
      <c r="O4" t="s">
        <v>2090</v>
      </c>
      <c r="P4" t="s">
        <v>2090</v>
      </c>
      <c r="Q4">
        <v>5600310</v>
      </c>
      <c r="R4">
        <v>40.35</v>
      </c>
      <c r="S4">
        <v>12516947</v>
      </c>
      <c r="T4">
        <v>247.85</v>
      </c>
      <c r="U4">
        <v>10356154</v>
      </c>
      <c r="V4">
        <v>68.86</v>
      </c>
      <c r="W4">
        <v>73141131</v>
      </c>
      <c r="X4">
        <v>186.42</v>
      </c>
      <c r="Y4">
        <v>1637018</v>
      </c>
      <c r="Z4">
        <v>11.25</v>
      </c>
      <c r="AA4">
        <v>4659038</v>
      </c>
      <c r="AB4">
        <v>56.5</v>
      </c>
      <c r="AC4">
        <v>16152435</v>
      </c>
      <c r="AD4">
        <v>176.21</v>
      </c>
      <c r="AE4">
        <v>18211088</v>
      </c>
      <c r="AF4">
        <v>230.08</v>
      </c>
      <c r="AG4">
        <v>3681341</v>
      </c>
      <c r="AH4">
        <v>70.77</v>
      </c>
      <c r="AI4">
        <v>43137987</v>
      </c>
      <c r="AJ4">
        <v>792.81</v>
      </c>
      <c r="AK4">
        <v>435155096</v>
      </c>
      <c r="AL4">
        <v>4541.22</v>
      </c>
      <c r="AM4">
        <v>972</v>
      </c>
      <c r="AN4">
        <v>45007831</v>
      </c>
      <c r="AO4">
        <v>753.84</v>
      </c>
    </row>
    <row r="5" spans="1:41" x14ac:dyDescent="0.2">
      <c r="A5">
        <v>3</v>
      </c>
      <c r="B5">
        <v>4555777</v>
      </c>
      <c r="C5">
        <v>1675177</v>
      </c>
      <c r="D5">
        <v>938370</v>
      </c>
      <c r="E5">
        <v>925911</v>
      </c>
      <c r="F5">
        <v>8095235</v>
      </c>
      <c r="G5">
        <v>8412</v>
      </c>
      <c r="H5">
        <v>1138</v>
      </c>
      <c r="I5">
        <v>154</v>
      </c>
      <c r="J5">
        <v>9704</v>
      </c>
      <c r="K5">
        <v>767585</v>
      </c>
      <c r="L5">
        <v>10.16</v>
      </c>
      <c r="M5">
        <v>86163</v>
      </c>
      <c r="N5">
        <v>1.65</v>
      </c>
      <c r="O5">
        <v>22974</v>
      </c>
      <c r="P5">
        <v>0.1</v>
      </c>
      <c r="Q5">
        <v>20658</v>
      </c>
      <c r="R5">
        <v>0.15</v>
      </c>
      <c r="S5" t="s">
        <v>2090</v>
      </c>
      <c r="T5" t="s">
        <v>2090</v>
      </c>
      <c r="U5">
        <v>86744</v>
      </c>
      <c r="V5">
        <v>0.61</v>
      </c>
      <c r="W5">
        <v>201360</v>
      </c>
      <c r="X5">
        <v>0.54</v>
      </c>
      <c r="Y5">
        <v>209413</v>
      </c>
      <c r="Z5">
        <v>1.41</v>
      </c>
      <c r="AA5">
        <v>94023</v>
      </c>
      <c r="AB5">
        <v>1.3</v>
      </c>
      <c r="AC5">
        <v>100883</v>
      </c>
      <c r="AD5">
        <v>1.31</v>
      </c>
      <c r="AE5">
        <v>143594</v>
      </c>
      <c r="AF5">
        <v>1.76</v>
      </c>
      <c r="AG5">
        <v>192375</v>
      </c>
      <c r="AH5">
        <v>2.82</v>
      </c>
      <c r="AI5">
        <v>714217</v>
      </c>
      <c r="AJ5">
        <v>13.72</v>
      </c>
      <c r="AK5">
        <v>2712581</v>
      </c>
      <c r="AL5">
        <v>36.81</v>
      </c>
      <c r="AM5">
        <v>14</v>
      </c>
      <c r="AN5">
        <v>72592</v>
      </c>
      <c r="AO5">
        <v>1.28</v>
      </c>
    </row>
    <row r="6" spans="1:41" x14ac:dyDescent="0.2">
      <c r="A6">
        <v>4</v>
      </c>
      <c r="B6">
        <v>21224367</v>
      </c>
      <c r="C6">
        <v>7925973</v>
      </c>
      <c r="D6">
        <v>18168068</v>
      </c>
      <c r="E6">
        <v>62536696</v>
      </c>
      <c r="F6">
        <v>109855104</v>
      </c>
      <c r="G6">
        <v>87404</v>
      </c>
      <c r="H6">
        <v>5081</v>
      </c>
      <c r="I6">
        <v>1864</v>
      </c>
      <c r="J6">
        <v>94349</v>
      </c>
      <c r="K6">
        <v>6026699</v>
      </c>
      <c r="L6">
        <v>67.69</v>
      </c>
      <c r="M6">
        <v>1319983</v>
      </c>
      <c r="N6">
        <v>30.41</v>
      </c>
      <c r="O6" t="s">
        <v>2090</v>
      </c>
      <c r="P6" t="s">
        <v>2090</v>
      </c>
      <c r="Q6">
        <v>1721850</v>
      </c>
      <c r="R6">
        <v>13.55</v>
      </c>
      <c r="S6">
        <v>268889</v>
      </c>
      <c r="T6">
        <v>7.31</v>
      </c>
      <c r="U6">
        <v>734786</v>
      </c>
      <c r="V6">
        <v>5.3</v>
      </c>
      <c r="W6">
        <v>4571621</v>
      </c>
      <c r="X6">
        <v>14.19</v>
      </c>
      <c r="Y6">
        <v>379670</v>
      </c>
      <c r="Z6">
        <v>3.11</v>
      </c>
      <c r="AA6">
        <v>194982</v>
      </c>
      <c r="AB6">
        <v>2.17</v>
      </c>
      <c r="AC6">
        <v>548815</v>
      </c>
      <c r="AD6">
        <v>6</v>
      </c>
      <c r="AE6">
        <v>779825</v>
      </c>
      <c r="AF6">
        <v>11.36</v>
      </c>
      <c r="AG6">
        <v>504075</v>
      </c>
      <c r="AH6">
        <v>8.91</v>
      </c>
      <c r="AI6">
        <v>9011173</v>
      </c>
      <c r="AJ6">
        <v>153.30000000000001</v>
      </c>
      <c r="AK6">
        <v>27597854</v>
      </c>
      <c r="AL6">
        <v>350.36</v>
      </c>
      <c r="AM6">
        <v>25</v>
      </c>
      <c r="AN6">
        <v>1535486</v>
      </c>
      <c r="AO6">
        <v>27.06</v>
      </c>
    </row>
    <row r="7" spans="1:41" x14ac:dyDescent="0.2">
      <c r="A7">
        <v>6</v>
      </c>
      <c r="B7">
        <v>3616495</v>
      </c>
      <c r="C7">
        <v>504540</v>
      </c>
      <c r="D7">
        <v>1822529</v>
      </c>
      <c r="E7">
        <v>3750149</v>
      </c>
      <c r="F7">
        <v>9693713</v>
      </c>
      <c r="G7">
        <v>4967</v>
      </c>
      <c r="H7">
        <v>754</v>
      </c>
      <c r="I7">
        <v>251</v>
      </c>
      <c r="J7">
        <v>5972</v>
      </c>
      <c r="K7">
        <v>898668</v>
      </c>
      <c r="L7">
        <v>12.24</v>
      </c>
      <c r="M7">
        <v>114006</v>
      </c>
      <c r="N7">
        <v>2.54</v>
      </c>
      <c r="O7" t="s">
        <v>2090</v>
      </c>
      <c r="P7" t="s">
        <v>2090</v>
      </c>
      <c r="Q7" t="s">
        <v>2090</v>
      </c>
      <c r="R7" t="s">
        <v>2090</v>
      </c>
      <c r="S7">
        <v>39921</v>
      </c>
      <c r="T7">
        <v>1.1100000000000001</v>
      </c>
      <c r="U7">
        <v>113493</v>
      </c>
      <c r="V7">
        <v>0.92</v>
      </c>
      <c r="W7" t="s">
        <v>2090</v>
      </c>
      <c r="X7" t="s">
        <v>2090</v>
      </c>
      <c r="Y7" t="s">
        <v>2090</v>
      </c>
      <c r="Z7" t="s">
        <v>2090</v>
      </c>
      <c r="AA7" t="s">
        <v>2090</v>
      </c>
      <c r="AB7" t="s">
        <v>2090</v>
      </c>
      <c r="AC7" t="s">
        <v>2090</v>
      </c>
      <c r="AD7" t="s">
        <v>2090</v>
      </c>
      <c r="AE7">
        <v>185494</v>
      </c>
      <c r="AF7">
        <v>2.2200000000000002</v>
      </c>
      <c r="AG7">
        <v>194826</v>
      </c>
      <c r="AH7">
        <v>3.19</v>
      </c>
      <c r="AI7">
        <v>1680740</v>
      </c>
      <c r="AJ7">
        <v>37.18</v>
      </c>
      <c r="AK7">
        <v>3227148</v>
      </c>
      <c r="AL7">
        <v>59.4</v>
      </c>
      <c r="AM7">
        <v>15</v>
      </c>
      <c r="AN7" t="s">
        <v>2090</v>
      </c>
      <c r="AO7" t="s">
        <v>2090</v>
      </c>
    </row>
    <row r="8" spans="1:41" x14ac:dyDescent="0.2">
      <c r="A8">
        <v>7</v>
      </c>
      <c r="B8">
        <v>4488846</v>
      </c>
      <c r="C8">
        <v>2975680</v>
      </c>
      <c r="D8">
        <v>1329180</v>
      </c>
      <c r="E8">
        <v>8596025</v>
      </c>
      <c r="F8">
        <v>17389731</v>
      </c>
      <c r="G8">
        <v>19472</v>
      </c>
      <c r="H8">
        <v>1636</v>
      </c>
      <c r="I8">
        <v>354</v>
      </c>
      <c r="J8">
        <v>21462</v>
      </c>
      <c r="K8">
        <v>1567664</v>
      </c>
      <c r="L8">
        <v>16.38</v>
      </c>
      <c r="M8">
        <v>44730</v>
      </c>
      <c r="N8">
        <v>0.84</v>
      </c>
      <c r="O8">
        <v>81091</v>
      </c>
      <c r="P8">
        <v>0.27</v>
      </c>
      <c r="Q8">
        <v>255900</v>
      </c>
      <c r="R8">
        <v>1.94</v>
      </c>
      <c r="S8">
        <v>591665</v>
      </c>
      <c r="T8">
        <v>13.72</v>
      </c>
      <c r="U8">
        <v>71824</v>
      </c>
      <c r="V8">
        <v>0.52</v>
      </c>
      <c r="W8" t="s">
        <v>2090</v>
      </c>
      <c r="X8" t="s">
        <v>2090</v>
      </c>
      <c r="Y8">
        <v>206225</v>
      </c>
      <c r="Z8">
        <v>0.95</v>
      </c>
      <c r="AA8">
        <v>34180</v>
      </c>
      <c r="AB8">
        <v>0.4</v>
      </c>
      <c r="AC8">
        <v>137894</v>
      </c>
      <c r="AD8">
        <v>1.49</v>
      </c>
      <c r="AE8">
        <v>347433</v>
      </c>
      <c r="AF8">
        <v>3.8</v>
      </c>
      <c r="AG8">
        <v>364137</v>
      </c>
      <c r="AH8">
        <v>5.36</v>
      </c>
      <c r="AI8">
        <v>1363205</v>
      </c>
      <c r="AJ8">
        <v>20.93</v>
      </c>
      <c r="AK8">
        <v>5308232</v>
      </c>
      <c r="AL8">
        <v>72.16</v>
      </c>
      <c r="AM8">
        <v>20</v>
      </c>
      <c r="AN8">
        <v>242284</v>
      </c>
      <c r="AO8">
        <v>5.56</v>
      </c>
    </row>
    <row r="9" spans="1:41" x14ac:dyDescent="0.2">
      <c r="A9">
        <v>10</v>
      </c>
      <c r="B9">
        <v>1990976</v>
      </c>
      <c r="C9" t="s">
        <v>2090</v>
      </c>
      <c r="D9" t="s">
        <v>2090</v>
      </c>
      <c r="E9">
        <v>3696527</v>
      </c>
      <c r="F9">
        <v>5687503</v>
      </c>
      <c r="G9">
        <v>833</v>
      </c>
      <c r="H9" t="s">
        <v>2090</v>
      </c>
      <c r="I9" t="s">
        <v>2090</v>
      </c>
      <c r="J9">
        <v>833</v>
      </c>
      <c r="K9">
        <v>5601120</v>
      </c>
      <c r="L9">
        <v>38.130000000000003</v>
      </c>
      <c r="M9">
        <v>22316</v>
      </c>
      <c r="N9">
        <v>0.24</v>
      </c>
      <c r="O9">
        <v>653817</v>
      </c>
      <c r="P9">
        <v>2.46</v>
      </c>
      <c r="Q9">
        <v>80643</v>
      </c>
      <c r="R9">
        <v>0.54</v>
      </c>
      <c r="S9">
        <v>1126405</v>
      </c>
      <c r="T9">
        <v>17.59</v>
      </c>
      <c r="U9">
        <v>790114</v>
      </c>
      <c r="V9">
        <v>4.0599999999999996</v>
      </c>
      <c r="W9">
        <v>2024534</v>
      </c>
      <c r="X9">
        <v>4.3099999999999996</v>
      </c>
      <c r="Y9" t="s">
        <v>2090</v>
      </c>
      <c r="Z9" t="s">
        <v>2090</v>
      </c>
      <c r="AA9">
        <v>143896</v>
      </c>
      <c r="AB9">
        <v>1.28</v>
      </c>
      <c r="AC9">
        <v>205234</v>
      </c>
      <c r="AD9">
        <v>1.65</v>
      </c>
      <c r="AE9">
        <v>431809</v>
      </c>
      <c r="AF9">
        <v>3.73</v>
      </c>
      <c r="AG9">
        <v>268259</v>
      </c>
      <c r="AH9">
        <v>3.11</v>
      </c>
      <c r="AI9">
        <v>4612341</v>
      </c>
      <c r="AJ9">
        <v>46.07</v>
      </c>
      <c r="AK9">
        <v>18243285</v>
      </c>
      <c r="AL9">
        <v>143.16</v>
      </c>
      <c r="AM9">
        <v>254</v>
      </c>
      <c r="AN9">
        <v>2282797</v>
      </c>
      <c r="AO9">
        <v>19.989999999999998</v>
      </c>
    </row>
    <row r="10" spans="1:41" x14ac:dyDescent="0.2">
      <c r="A10">
        <v>11</v>
      </c>
      <c r="B10">
        <v>40078279</v>
      </c>
      <c r="C10">
        <v>17539936</v>
      </c>
      <c r="D10">
        <v>28521470</v>
      </c>
      <c r="E10">
        <v>61614030</v>
      </c>
      <c r="F10">
        <v>147753715</v>
      </c>
      <c r="G10">
        <v>19180</v>
      </c>
      <c r="H10">
        <v>14006</v>
      </c>
      <c r="I10">
        <v>4426</v>
      </c>
      <c r="J10">
        <v>37612</v>
      </c>
      <c r="K10">
        <v>12690291</v>
      </c>
      <c r="L10">
        <v>111.61</v>
      </c>
      <c r="M10">
        <v>1291</v>
      </c>
      <c r="N10">
        <v>0.02</v>
      </c>
      <c r="O10">
        <v>1554334</v>
      </c>
      <c r="P10">
        <v>7.3</v>
      </c>
      <c r="Q10">
        <v>143777</v>
      </c>
      <c r="R10">
        <v>1</v>
      </c>
      <c r="S10">
        <v>364336</v>
      </c>
      <c r="T10">
        <v>8.2799999999999994</v>
      </c>
      <c r="U10">
        <v>1316066</v>
      </c>
      <c r="V10">
        <v>9.0399999999999991</v>
      </c>
      <c r="W10">
        <v>1971144</v>
      </c>
      <c r="X10">
        <v>3.32</v>
      </c>
      <c r="Y10" t="s">
        <v>2090</v>
      </c>
      <c r="Z10" t="s">
        <v>2090</v>
      </c>
      <c r="AA10">
        <v>350585</v>
      </c>
      <c r="AB10">
        <v>4.1500000000000004</v>
      </c>
      <c r="AC10">
        <v>1196962</v>
      </c>
      <c r="AD10">
        <v>12.7</v>
      </c>
      <c r="AE10">
        <v>2076288</v>
      </c>
      <c r="AF10">
        <v>21.5</v>
      </c>
      <c r="AG10">
        <v>1048693</v>
      </c>
      <c r="AH10">
        <v>16.89</v>
      </c>
      <c r="AI10">
        <v>5478049</v>
      </c>
      <c r="AJ10">
        <v>85.12</v>
      </c>
      <c r="AK10">
        <v>30539463</v>
      </c>
      <c r="AL10">
        <v>317.2</v>
      </c>
      <c r="AM10">
        <v>65</v>
      </c>
      <c r="AN10">
        <v>2347647</v>
      </c>
      <c r="AO10">
        <v>36.270000000000003</v>
      </c>
    </row>
    <row r="11" spans="1:41" x14ac:dyDescent="0.2">
      <c r="A11">
        <v>13</v>
      </c>
      <c r="B11">
        <v>40960552</v>
      </c>
      <c r="C11">
        <v>17514469</v>
      </c>
      <c r="D11">
        <v>19069113</v>
      </c>
      <c r="E11">
        <v>59091761</v>
      </c>
      <c r="F11">
        <v>136635895</v>
      </c>
      <c r="G11">
        <v>26199</v>
      </c>
      <c r="H11">
        <v>15437</v>
      </c>
      <c r="I11">
        <v>2693</v>
      </c>
      <c r="J11">
        <v>44329</v>
      </c>
      <c r="K11">
        <v>14410717</v>
      </c>
      <c r="L11">
        <v>123.54</v>
      </c>
      <c r="M11">
        <v>62466</v>
      </c>
      <c r="N11">
        <v>1.03</v>
      </c>
      <c r="O11">
        <v>1603284</v>
      </c>
      <c r="P11">
        <v>6.9</v>
      </c>
      <c r="Q11" t="s">
        <v>2090</v>
      </c>
      <c r="R11" t="s">
        <v>2090</v>
      </c>
      <c r="S11" t="s">
        <v>2090</v>
      </c>
      <c r="T11" t="s">
        <v>2090</v>
      </c>
      <c r="U11">
        <v>1037411</v>
      </c>
      <c r="V11">
        <v>6.52</v>
      </c>
      <c r="W11">
        <v>2822993</v>
      </c>
      <c r="X11">
        <v>6.08</v>
      </c>
      <c r="Y11" t="s">
        <v>2090</v>
      </c>
      <c r="Z11" t="s">
        <v>2090</v>
      </c>
      <c r="AA11">
        <v>245967</v>
      </c>
      <c r="AB11">
        <v>3.15</v>
      </c>
      <c r="AC11">
        <v>1023962</v>
      </c>
      <c r="AD11">
        <v>12.4</v>
      </c>
      <c r="AE11">
        <v>2038402</v>
      </c>
      <c r="AF11">
        <v>24.35</v>
      </c>
      <c r="AG11">
        <v>641041</v>
      </c>
      <c r="AH11">
        <v>9.6300000000000008</v>
      </c>
      <c r="AI11">
        <v>6294646</v>
      </c>
      <c r="AJ11">
        <v>91.45</v>
      </c>
      <c r="AK11">
        <v>34157574</v>
      </c>
      <c r="AL11">
        <v>351.91</v>
      </c>
      <c r="AM11">
        <v>86</v>
      </c>
      <c r="AN11">
        <v>3976685</v>
      </c>
      <c r="AO11">
        <v>66.86</v>
      </c>
    </row>
    <row r="12" spans="1:41" x14ac:dyDescent="0.2">
      <c r="A12">
        <v>14</v>
      </c>
      <c r="B12">
        <v>7766705</v>
      </c>
      <c r="C12">
        <v>1989927</v>
      </c>
      <c r="D12">
        <v>1333374</v>
      </c>
      <c r="E12">
        <v>4874557</v>
      </c>
      <c r="F12">
        <v>15964563</v>
      </c>
      <c r="G12">
        <v>12484</v>
      </c>
      <c r="H12">
        <v>1143</v>
      </c>
      <c r="I12">
        <v>150</v>
      </c>
      <c r="J12">
        <v>13777</v>
      </c>
      <c r="K12">
        <v>1607203</v>
      </c>
      <c r="L12">
        <v>21.32</v>
      </c>
      <c r="M12">
        <v>16423</v>
      </c>
      <c r="N12">
        <v>0.32</v>
      </c>
      <c r="O12">
        <v>119209</v>
      </c>
      <c r="P12">
        <v>0.61</v>
      </c>
      <c r="Q12">
        <v>13251</v>
      </c>
      <c r="R12">
        <v>0.11</v>
      </c>
      <c r="S12">
        <v>110088</v>
      </c>
      <c r="T12">
        <v>3.4</v>
      </c>
      <c r="U12">
        <v>191204</v>
      </c>
      <c r="V12">
        <v>1.35</v>
      </c>
      <c r="W12">
        <v>81660</v>
      </c>
      <c r="X12">
        <v>0.18</v>
      </c>
      <c r="Y12">
        <v>7728</v>
      </c>
      <c r="Z12">
        <v>0.06</v>
      </c>
      <c r="AA12">
        <v>137783</v>
      </c>
      <c r="AB12">
        <v>1.44</v>
      </c>
      <c r="AC12">
        <v>191218</v>
      </c>
      <c r="AD12">
        <v>2.4300000000000002</v>
      </c>
      <c r="AE12">
        <v>264950</v>
      </c>
      <c r="AF12">
        <v>3.46</v>
      </c>
      <c r="AG12">
        <v>318277</v>
      </c>
      <c r="AH12">
        <v>5</v>
      </c>
      <c r="AI12">
        <v>983344</v>
      </c>
      <c r="AJ12">
        <v>25.83</v>
      </c>
      <c r="AK12">
        <v>4380117</v>
      </c>
      <c r="AL12">
        <v>72.34</v>
      </c>
      <c r="AM12">
        <v>25</v>
      </c>
      <c r="AN12">
        <v>337779</v>
      </c>
      <c r="AO12">
        <v>6.83</v>
      </c>
    </row>
    <row r="13" spans="1:41" x14ac:dyDescent="0.2">
      <c r="A13">
        <v>15</v>
      </c>
      <c r="B13">
        <v>4492302</v>
      </c>
      <c r="C13">
        <v>3660220</v>
      </c>
      <c r="D13">
        <v>4945875</v>
      </c>
      <c r="E13">
        <v>30857024</v>
      </c>
      <c r="F13">
        <v>43955421</v>
      </c>
      <c r="G13">
        <v>19748</v>
      </c>
      <c r="H13">
        <v>3440</v>
      </c>
      <c r="I13">
        <v>712</v>
      </c>
      <c r="J13">
        <v>23900</v>
      </c>
      <c r="K13">
        <v>3819822</v>
      </c>
      <c r="L13">
        <v>41.72</v>
      </c>
      <c r="M13">
        <v>314376</v>
      </c>
      <c r="N13">
        <v>6.02</v>
      </c>
      <c r="O13">
        <v>133823</v>
      </c>
      <c r="P13">
        <v>0.63</v>
      </c>
      <c r="Q13">
        <v>393647</v>
      </c>
      <c r="R13">
        <v>2.91</v>
      </c>
      <c r="S13">
        <v>204174</v>
      </c>
      <c r="T13">
        <v>4.99</v>
      </c>
      <c r="U13">
        <v>268754</v>
      </c>
      <c r="V13">
        <v>1.77</v>
      </c>
      <c r="W13">
        <v>3029496</v>
      </c>
      <c r="X13">
        <v>7.85</v>
      </c>
      <c r="Y13">
        <v>459864</v>
      </c>
      <c r="Z13">
        <v>3.29</v>
      </c>
      <c r="AA13">
        <v>120232</v>
      </c>
      <c r="AB13">
        <v>1.43</v>
      </c>
      <c r="AC13">
        <v>354561</v>
      </c>
      <c r="AD13">
        <v>3.92</v>
      </c>
      <c r="AE13">
        <v>401795</v>
      </c>
      <c r="AF13">
        <v>4.3499999999999996</v>
      </c>
      <c r="AG13">
        <v>401787</v>
      </c>
      <c r="AH13">
        <v>6.66</v>
      </c>
      <c r="AI13">
        <v>1265684</v>
      </c>
      <c r="AJ13">
        <v>18.47</v>
      </c>
      <c r="AK13">
        <v>11857363</v>
      </c>
      <c r="AL13">
        <v>117.27</v>
      </c>
      <c r="AM13">
        <v>15</v>
      </c>
      <c r="AN13">
        <v>689348</v>
      </c>
      <c r="AO13">
        <v>13.26</v>
      </c>
    </row>
    <row r="14" spans="1:41" x14ac:dyDescent="0.2">
      <c r="A14">
        <v>17</v>
      </c>
      <c r="B14">
        <v>3462146</v>
      </c>
      <c r="C14">
        <v>3765651</v>
      </c>
      <c r="D14">
        <v>2721689</v>
      </c>
      <c r="E14">
        <v>54031098</v>
      </c>
      <c r="F14">
        <v>63980584</v>
      </c>
      <c r="G14">
        <v>28773</v>
      </c>
      <c r="H14">
        <v>3715</v>
      </c>
      <c r="I14">
        <v>786</v>
      </c>
      <c r="J14">
        <v>33274</v>
      </c>
      <c r="K14">
        <v>3411639</v>
      </c>
      <c r="L14">
        <v>39.92</v>
      </c>
      <c r="M14">
        <v>1088240</v>
      </c>
      <c r="N14">
        <v>20.21</v>
      </c>
      <c r="O14">
        <v>474974</v>
      </c>
      <c r="P14">
        <v>1.45</v>
      </c>
      <c r="Q14">
        <v>1645147</v>
      </c>
      <c r="R14">
        <v>12.22</v>
      </c>
      <c r="S14">
        <v>234045</v>
      </c>
      <c r="T14">
        <v>6.34</v>
      </c>
      <c r="U14">
        <v>583804</v>
      </c>
      <c r="V14">
        <v>3.71</v>
      </c>
      <c r="W14">
        <v>351994</v>
      </c>
      <c r="X14">
        <v>1</v>
      </c>
      <c r="Y14">
        <v>111057</v>
      </c>
      <c r="Z14">
        <v>0.61</v>
      </c>
      <c r="AA14">
        <v>155909</v>
      </c>
      <c r="AB14">
        <v>2.04</v>
      </c>
      <c r="AC14">
        <v>402403</v>
      </c>
      <c r="AD14">
        <v>3.63</v>
      </c>
      <c r="AE14">
        <v>762169</v>
      </c>
      <c r="AF14">
        <v>9.08</v>
      </c>
      <c r="AG14">
        <v>609675</v>
      </c>
      <c r="AH14">
        <v>10.29</v>
      </c>
      <c r="AI14">
        <v>5283406</v>
      </c>
      <c r="AJ14">
        <v>88.4</v>
      </c>
      <c r="AK14">
        <v>17154249</v>
      </c>
      <c r="AL14">
        <v>228.36</v>
      </c>
      <c r="AM14">
        <v>30</v>
      </c>
      <c r="AN14">
        <v>2039787</v>
      </c>
      <c r="AO14">
        <v>29.46</v>
      </c>
    </row>
    <row r="15" spans="1:41" x14ac:dyDescent="0.2">
      <c r="A15">
        <v>19</v>
      </c>
      <c r="B15">
        <v>1779384</v>
      </c>
      <c r="C15">
        <v>2954636</v>
      </c>
      <c r="D15">
        <v>512017</v>
      </c>
      <c r="E15">
        <v>7151517</v>
      </c>
      <c r="F15">
        <v>12397554</v>
      </c>
      <c r="G15">
        <v>10211</v>
      </c>
      <c r="H15">
        <v>2503</v>
      </c>
      <c r="I15">
        <v>94</v>
      </c>
      <c r="J15">
        <v>12808</v>
      </c>
      <c r="K15">
        <v>1072472</v>
      </c>
      <c r="L15">
        <v>13.6</v>
      </c>
      <c r="M15">
        <v>111363</v>
      </c>
      <c r="N15">
        <v>2.2999999999999998</v>
      </c>
      <c r="O15" t="s">
        <v>2090</v>
      </c>
      <c r="P15" t="s">
        <v>2090</v>
      </c>
      <c r="Q15">
        <v>395611</v>
      </c>
      <c r="R15">
        <v>2.94</v>
      </c>
      <c r="S15">
        <v>71554</v>
      </c>
      <c r="T15">
        <v>2.02</v>
      </c>
      <c r="U15">
        <v>233807</v>
      </c>
      <c r="V15">
        <v>1.68</v>
      </c>
      <c r="W15" t="s">
        <v>2090</v>
      </c>
      <c r="X15" t="s">
        <v>2090</v>
      </c>
      <c r="Y15">
        <v>130481</v>
      </c>
      <c r="Z15">
        <v>0.98</v>
      </c>
      <c r="AA15">
        <v>72043</v>
      </c>
      <c r="AB15">
        <v>1.08</v>
      </c>
      <c r="AC15">
        <v>198437</v>
      </c>
      <c r="AD15">
        <v>2.35</v>
      </c>
      <c r="AE15">
        <v>251496</v>
      </c>
      <c r="AF15">
        <v>3.03</v>
      </c>
      <c r="AG15">
        <v>255691</v>
      </c>
      <c r="AH15">
        <v>3.29</v>
      </c>
      <c r="AI15">
        <v>764302</v>
      </c>
      <c r="AJ15">
        <v>15.21</v>
      </c>
      <c r="AK15">
        <v>3818332</v>
      </c>
      <c r="AL15">
        <v>52.99</v>
      </c>
      <c r="AM15">
        <v>25</v>
      </c>
      <c r="AN15">
        <v>261075</v>
      </c>
      <c r="AO15">
        <v>4.51</v>
      </c>
    </row>
    <row r="16" spans="1:41" x14ac:dyDescent="0.2">
      <c r="A16">
        <v>21</v>
      </c>
      <c r="B16">
        <v>1687443</v>
      </c>
      <c r="C16">
        <v>3411694</v>
      </c>
      <c r="D16">
        <v>2827257</v>
      </c>
      <c r="E16">
        <v>28960450</v>
      </c>
      <c r="F16">
        <v>36886844</v>
      </c>
      <c r="G16">
        <v>22978</v>
      </c>
      <c r="H16">
        <v>3071</v>
      </c>
      <c r="I16">
        <v>541</v>
      </c>
      <c r="J16">
        <v>26590</v>
      </c>
      <c r="K16">
        <v>1880395</v>
      </c>
      <c r="L16">
        <v>26.51</v>
      </c>
      <c r="M16">
        <v>537036</v>
      </c>
      <c r="N16">
        <v>11.77</v>
      </c>
      <c r="O16">
        <v>453576</v>
      </c>
      <c r="P16">
        <v>1.93</v>
      </c>
      <c r="Q16">
        <v>179945</v>
      </c>
      <c r="R16">
        <v>1.63</v>
      </c>
      <c r="S16">
        <v>5934</v>
      </c>
      <c r="T16">
        <v>0.12</v>
      </c>
      <c r="U16">
        <v>134041</v>
      </c>
      <c r="V16">
        <v>1.01</v>
      </c>
      <c r="W16">
        <v>2642079</v>
      </c>
      <c r="X16">
        <v>7.69</v>
      </c>
      <c r="Y16" t="s">
        <v>2090</v>
      </c>
      <c r="Z16" t="s">
        <v>2090</v>
      </c>
      <c r="AA16">
        <v>109241</v>
      </c>
      <c r="AB16">
        <v>1.42</v>
      </c>
      <c r="AC16">
        <v>417640</v>
      </c>
      <c r="AD16">
        <v>4.9000000000000004</v>
      </c>
      <c r="AE16">
        <v>322624</v>
      </c>
      <c r="AF16">
        <v>4.74</v>
      </c>
      <c r="AG16">
        <v>280455</v>
      </c>
      <c r="AH16">
        <v>5.75</v>
      </c>
      <c r="AI16">
        <v>1795074</v>
      </c>
      <c r="AJ16">
        <v>39.090000000000003</v>
      </c>
      <c r="AK16">
        <v>10455806</v>
      </c>
      <c r="AL16">
        <v>132.6</v>
      </c>
      <c r="AM16">
        <v>28</v>
      </c>
      <c r="AN16">
        <v>1697766</v>
      </c>
      <c r="AO16">
        <v>26.04</v>
      </c>
    </row>
    <row r="17" spans="1:41" x14ac:dyDescent="0.2">
      <c r="A17">
        <v>22</v>
      </c>
      <c r="B17">
        <v>4753414</v>
      </c>
      <c r="C17">
        <v>3242435</v>
      </c>
      <c r="D17">
        <v>6250726</v>
      </c>
      <c r="E17">
        <v>13817808</v>
      </c>
      <c r="F17">
        <v>28064383</v>
      </c>
      <c r="G17">
        <v>9158</v>
      </c>
      <c r="H17">
        <v>6870</v>
      </c>
      <c r="I17">
        <v>635</v>
      </c>
      <c r="J17">
        <v>16663</v>
      </c>
      <c r="K17">
        <v>3266680</v>
      </c>
      <c r="L17">
        <v>41.95</v>
      </c>
      <c r="M17">
        <v>67097</v>
      </c>
      <c r="N17">
        <v>1.43</v>
      </c>
      <c r="O17" t="s">
        <v>2090</v>
      </c>
      <c r="P17" t="s">
        <v>2090</v>
      </c>
      <c r="Q17" t="s">
        <v>2090</v>
      </c>
      <c r="R17" t="s">
        <v>2090</v>
      </c>
      <c r="S17">
        <v>241826</v>
      </c>
      <c r="T17">
        <v>6.22</v>
      </c>
      <c r="U17">
        <v>257329</v>
      </c>
      <c r="V17">
        <v>1.87</v>
      </c>
      <c r="W17" t="s">
        <v>2090</v>
      </c>
      <c r="X17" t="s">
        <v>2090</v>
      </c>
      <c r="Y17" t="s">
        <v>2090</v>
      </c>
      <c r="Z17" t="s">
        <v>2090</v>
      </c>
      <c r="AA17">
        <v>198648</v>
      </c>
      <c r="AB17">
        <v>2.52</v>
      </c>
      <c r="AC17">
        <v>555852</v>
      </c>
      <c r="AD17">
        <v>6.43</v>
      </c>
      <c r="AE17">
        <v>569304</v>
      </c>
      <c r="AF17">
        <v>7.62</v>
      </c>
      <c r="AG17">
        <v>541698</v>
      </c>
      <c r="AH17">
        <v>8.2200000000000006</v>
      </c>
      <c r="AI17">
        <v>4328938</v>
      </c>
      <c r="AJ17">
        <v>64.08</v>
      </c>
      <c r="AK17">
        <v>10913509</v>
      </c>
      <c r="AL17">
        <v>155.55000000000001</v>
      </c>
      <c r="AM17">
        <v>25</v>
      </c>
      <c r="AN17">
        <v>886137</v>
      </c>
      <c r="AO17">
        <v>15.21</v>
      </c>
    </row>
    <row r="18" spans="1:41" x14ac:dyDescent="0.2">
      <c r="A18">
        <v>24</v>
      </c>
      <c r="B18">
        <v>32293896</v>
      </c>
      <c r="C18">
        <v>5058026</v>
      </c>
      <c r="D18">
        <v>14230028</v>
      </c>
      <c r="E18">
        <v>42465364</v>
      </c>
      <c r="F18">
        <v>94047314</v>
      </c>
      <c r="G18">
        <v>30492</v>
      </c>
      <c r="H18">
        <v>9757</v>
      </c>
      <c r="I18">
        <v>2351</v>
      </c>
      <c r="J18">
        <v>42600</v>
      </c>
      <c r="K18">
        <v>5332543</v>
      </c>
      <c r="L18">
        <v>53.2</v>
      </c>
      <c r="M18" t="s">
        <v>2090</v>
      </c>
      <c r="N18" t="s">
        <v>2090</v>
      </c>
      <c r="O18">
        <v>880156</v>
      </c>
      <c r="P18">
        <v>3.05</v>
      </c>
      <c r="Q18">
        <v>502843</v>
      </c>
      <c r="R18">
        <v>3.44</v>
      </c>
      <c r="S18">
        <v>244541</v>
      </c>
      <c r="T18">
        <v>6.43</v>
      </c>
      <c r="U18">
        <v>562182</v>
      </c>
      <c r="V18">
        <v>4</v>
      </c>
      <c r="W18">
        <v>8866785</v>
      </c>
      <c r="X18">
        <v>25.01</v>
      </c>
      <c r="Y18">
        <v>132283</v>
      </c>
      <c r="Z18">
        <v>1.1200000000000001</v>
      </c>
      <c r="AA18">
        <v>392997</v>
      </c>
      <c r="AB18">
        <v>5.28</v>
      </c>
      <c r="AC18">
        <v>1030195</v>
      </c>
      <c r="AD18">
        <v>13.7</v>
      </c>
      <c r="AE18">
        <v>1039028</v>
      </c>
      <c r="AF18">
        <v>15.45</v>
      </c>
      <c r="AG18">
        <v>837184</v>
      </c>
      <c r="AH18">
        <v>17.12</v>
      </c>
      <c r="AI18">
        <v>9155701</v>
      </c>
      <c r="AJ18">
        <v>167.68</v>
      </c>
      <c r="AK18">
        <v>32041450</v>
      </c>
      <c r="AL18">
        <v>359.68</v>
      </c>
      <c r="AM18">
        <v>36</v>
      </c>
      <c r="AN18">
        <v>3065012</v>
      </c>
      <c r="AO18">
        <v>44.2</v>
      </c>
    </row>
    <row r="19" spans="1:41" x14ac:dyDescent="0.2">
      <c r="A19">
        <v>25</v>
      </c>
      <c r="B19">
        <v>22392974</v>
      </c>
      <c r="C19">
        <v>6618718</v>
      </c>
      <c r="D19">
        <v>5991678</v>
      </c>
      <c r="E19">
        <v>11367226</v>
      </c>
      <c r="F19">
        <v>46370596</v>
      </c>
      <c r="G19">
        <v>33929</v>
      </c>
      <c r="H19">
        <v>4451</v>
      </c>
      <c r="I19">
        <v>605</v>
      </c>
      <c r="J19">
        <v>38985</v>
      </c>
      <c r="K19">
        <v>2973768</v>
      </c>
      <c r="L19">
        <v>33.619999999999997</v>
      </c>
      <c r="M19">
        <v>31138</v>
      </c>
      <c r="N19">
        <v>0.62</v>
      </c>
      <c r="O19">
        <v>1004926</v>
      </c>
      <c r="P19">
        <v>3.76</v>
      </c>
      <c r="Q19">
        <v>478605</v>
      </c>
      <c r="R19">
        <v>3.86</v>
      </c>
      <c r="S19">
        <v>53102</v>
      </c>
      <c r="T19">
        <v>1.37</v>
      </c>
      <c r="U19">
        <v>223992</v>
      </c>
      <c r="V19">
        <v>1.57</v>
      </c>
      <c r="W19">
        <v>2476994</v>
      </c>
      <c r="X19">
        <v>8.24</v>
      </c>
      <c r="Y19">
        <v>75715</v>
      </c>
      <c r="Z19">
        <v>0.76</v>
      </c>
      <c r="AA19">
        <v>53216</v>
      </c>
      <c r="AB19">
        <v>0.73</v>
      </c>
      <c r="AC19">
        <v>292589</v>
      </c>
      <c r="AD19">
        <v>3.37</v>
      </c>
      <c r="AE19">
        <v>441446</v>
      </c>
      <c r="AF19">
        <v>5.62</v>
      </c>
      <c r="AG19">
        <v>308488</v>
      </c>
      <c r="AH19">
        <v>4.33</v>
      </c>
      <c r="AI19">
        <v>2311367</v>
      </c>
      <c r="AJ19">
        <v>47.68</v>
      </c>
      <c r="AK19">
        <v>11876839</v>
      </c>
      <c r="AL19">
        <v>135.63</v>
      </c>
      <c r="AM19">
        <v>20</v>
      </c>
      <c r="AN19">
        <v>1151493</v>
      </c>
      <c r="AO19">
        <v>20.100000000000001</v>
      </c>
    </row>
    <row r="20" spans="1:41" x14ac:dyDescent="0.2">
      <c r="A20">
        <v>27</v>
      </c>
      <c r="B20">
        <v>98837669</v>
      </c>
      <c r="C20">
        <v>22227509</v>
      </c>
      <c r="D20">
        <v>22205156</v>
      </c>
      <c r="E20" t="s">
        <v>2090</v>
      </c>
      <c r="F20">
        <v>143270334</v>
      </c>
      <c r="G20">
        <v>205515</v>
      </c>
      <c r="H20">
        <v>11588</v>
      </c>
      <c r="I20">
        <v>2477</v>
      </c>
      <c r="J20">
        <v>219580</v>
      </c>
      <c r="K20">
        <v>7740321</v>
      </c>
      <c r="L20">
        <v>96.26</v>
      </c>
      <c r="M20">
        <v>1453095</v>
      </c>
      <c r="N20">
        <v>34.42</v>
      </c>
      <c r="O20">
        <v>928432</v>
      </c>
      <c r="P20">
        <v>4.33</v>
      </c>
      <c r="Q20">
        <v>1800430</v>
      </c>
      <c r="R20">
        <v>16.309999999999999</v>
      </c>
      <c r="S20">
        <v>854211</v>
      </c>
      <c r="T20">
        <v>26.7</v>
      </c>
      <c r="U20">
        <v>1214281</v>
      </c>
      <c r="V20">
        <v>9.8000000000000007</v>
      </c>
      <c r="W20">
        <v>13765354</v>
      </c>
      <c r="X20">
        <v>37.880000000000003</v>
      </c>
      <c r="Y20">
        <v>1995263</v>
      </c>
      <c r="Z20">
        <v>16.02</v>
      </c>
      <c r="AA20">
        <v>139450</v>
      </c>
      <c r="AB20">
        <v>2.2799999999999998</v>
      </c>
      <c r="AC20">
        <v>473529</v>
      </c>
      <c r="AD20">
        <v>6.28</v>
      </c>
      <c r="AE20">
        <v>1305147</v>
      </c>
      <c r="AF20">
        <v>21.36</v>
      </c>
      <c r="AG20">
        <v>756463</v>
      </c>
      <c r="AH20">
        <v>12.04</v>
      </c>
      <c r="AI20">
        <v>14189197</v>
      </c>
      <c r="AJ20">
        <v>288.5</v>
      </c>
      <c r="AK20">
        <v>49959353</v>
      </c>
      <c r="AL20">
        <v>643.46</v>
      </c>
      <c r="AM20">
        <v>49</v>
      </c>
      <c r="AN20">
        <v>3344180</v>
      </c>
      <c r="AO20">
        <v>71.28</v>
      </c>
    </row>
    <row r="21" spans="1:41" x14ac:dyDescent="0.2">
      <c r="A21">
        <v>28</v>
      </c>
      <c r="B21">
        <v>6085038</v>
      </c>
      <c r="C21">
        <v>6885609</v>
      </c>
      <c r="D21">
        <v>3558928</v>
      </c>
      <c r="E21">
        <v>41614850</v>
      </c>
      <c r="F21">
        <v>58144425</v>
      </c>
      <c r="G21">
        <v>16724</v>
      </c>
      <c r="H21">
        <v>4116</v>
      </c>
      <c r="I21">
        <v>465</v>
      </c>
      <c r="J21">
        <v>21305</v>
      </c>
      <c r="K21">
        <v>4401768</v>
      </c>
      <c r="L21">
        <v>50.29</v>
      </c>
      <c r="M21">
        <v>11175</v>
      </c>
      <c r="N21">
        <v>0.26</v>
      </c>
      <c r="O21" t="s">
        <v>2090</v>
      </c>
      <c r="P21" t="s">
        <v>2090</v>
      </c>
      <c r="Q21">
        <v>109694</v>
      </c>
      <c r="R21">
        <v>1</v>
      </c>
      <c r="S21">
        <v>302019</v>
      </c>
      <c r="T21">
        <v>8.2799999999999994</v>
      </c>
      <c r="U21">
        <v>289043</v>
      </c>
      <c r="V21">
        <v>2.12</v>
      </c>
      <c r="W21">
        <v>1712453</v>
      </c>
      <c r="X21">
        <v>7.54</v>
      </c>
      <c r="Y21">
        <v>1202381</v>
      </c>
      <c r="Z21">
        <v>7.91</v>
      </c>
      <c r="AA21">
        <v>96388</v>
      </c>
      <c r="AB21">
        <v>1.3</v>
      </c>
      <c r="AC21">
        <v>564466</v>
      </c>
      <c r="AD21">
        <v>7.03</v>
      </c>
      <c r="AE21">
        <v>375543</v>
      </c>
      <c r="AF21">
        <v>5.4</v>
      </c>
      <c r="AG21">
        <v>649987</v>
      </c>
      <c r="AH21">
        <v>9.66</v>
      </c>
      <c r="AI21">
        <v>8417494</v>
      </c>
      <c r="AJ21">
        <v>182.01</v>
      </c>
      <c r="AK21">
        <v>18453446</v>
      </c>
      <c r="AL21">
        <v>288.76</v>
      </c>
      <c r="AM21">
        <v>28</v>
      </c>
      <c r="AN21">
        <v>321035</v>
      </c>
      <c r="AO21">
        <v>5.96</v>
      </c>
    </row>
    <row r="22" spans="1:41" x14ac:dyDescent="0.2">
      <c r="A22">
        <v>29</v>
      </c>
      <c r="B22">
        <v>6299689</v>
      </c>
      <c r="C22">
        <v>6077566</v>
      </c>
      <c r="D22">
        <v>227007</v>
      </c>
      <c r="E22">
        <v>1172242</v>
      </c>
      <c r="F22">
        <v>13776504</v>
      </c>
      <c r="G22">
        <v>8980</v>
      </c>
      <c r="H22">
        <v>2027</v>
      </c>
      <c r="I22">
        <v>54</v>
      </c>
      <c r="J22">
        <v>11061</v>
      </c>
      <c r="K22">
        <v>1368865</v>
      </c>
      <c r="L22">
        <v>14.59</v>
      </c>
      <c r="M22">
        <v>0</v>
      </c>
      <c r="N22">
        <v>0</v>
      </c>
      <c r="O22" t="s">
        <v>2090</v>
      </c>
      <c r="P22" t="s">
        <v>2090</v>
      </c>
      <c r="Q22" t="s">
        <v>2090</v>
      </c>
      <c r="R22" t="s">
        <v>2090</v>
      </c>
      <c r="S22">
        <v>120950</v>
      </c>
      <c r="T22">
        <v>2.77</v>
      </c>
      <c r="U22">
        <v>190420</v>
      </c>
      <c r="V22">
        <v>1.1299999999999999</v>
      </c>
      <c r="W22" t="s">
        <v>2090</v>
      </c>
      <c r="X22" t="s">
        <v>2090</v>
      </c>
      <c r="Y22" t="s">
        <v>2090</v>
      </c>
      <c r="Z22" t="s">
        <v>2090</v>
      </c>
      <c r="AA22">
        <v>64187</v>
      </c>
      <c r="AB22">
        <v>0.97</v>
      </c>
      <c r="AC22">
        <v>163619</v>
      </c>
      <c r="AD22">
        <v>1.51</v>
      </c>
      <c r="AE22">
        <v>311753</v>
      </c>
      <c r="AF22">
        <v>3.8</v>
      </c>
      <c r="AG22">
        <v>449243</v>
      </c>
      <c r="AH22">
        <v>6.72</v>
      </c>
      <c r="AI22">
        <v>1568141</v>
      </c>
      <c r="AJ22">
        <v>25.1</v>
      </c>
      <c r="AK22">
        <v>4237178</v>
      </c>
      <c r="AL22">
        <v>56.59</v>
      </c>
      <c r="AM22">
        <v>14</v>
      </c>
      <c r="AN22" t="s">
        <v>2090</v>
      </c>
      <c r="AO22" t="s">
        <v>2090</v>
      </c>
    </row>
    <row r="23" spans="1:41" x14ac:dyDescent="0.2">
      <c r="A23">
        <v>30</v>
      </c>
      <c r="B23">
        <v>10020758</v>
      </c>
      <c r="C23">
        <v>2339037</v>
      </c>
      <c r="D23">
        <v>376841</v>
      </c>
      <c r="E23" t="s">
        <v>2090</v>
      </c>
      <c r="F23">
        <v>12736636</v>
      </c>
      <c r="G23">
        <v>7975</v>
      </c>
      <c r="H23">
        <v>1885</v>
      </c>
      <c r="I23">
        <v>75</v>
      </c>
      <c r="J23">
        <v>9935</v>
      </c>
      <c r="K23">
        <v>1311450</v>
      </c>
      <c r="L23">
        <v>13.59</v>
      </c>
      <c r="M23" t="s">
        <v>2090</v>
      </c>
      <c r="N23" t="s">
        <v>2090</v>
      </c>
      <c r="O23" t="s">
        <v>2090</v>
      </c>
      <c r="P23" t="s">
        <v>2090</v>
      </c>
      <c r="Q23" t="s">
        <v>2090</v>
      </c>
      <c r="R23" t="s">
        <v>2090</v>
      </c>
      <c r="S23" t="s">
        <v>2090</v>
      </c>
      <c r="T23" t="s">
        <v>2090</v>
      </c>
      <c r="U23" t="s">
        <v>2090</v>
      </c>
      <c r="V23" t="s">
        <v>2090</v>
      </c>
      <c r="W23" t="s">
        <v>2090</v>
      </c>
      <c r="X23" t="s">
        <v>2090</v>
      </c>
      <c r="Y23" t="s">
        <v>2090</v>
      </c>
      <c r="Z23" t="s">
        <v>2090</v>
      </c>
      <c r="AA23" t="s">
        <v>2090</v>
      </c>
      <c r="AB23" t="s">
        <v>2090</v>
      </c>
      <c r="AC23">
        <v>232280</v>
      </c>
      <c r="AD23">
        <v>2.0499999999999998</v>
      </c>
      <c r="AE23">
        <v>309299</v>
      </c>
      <c r="AF23">
        <v>3.34</v>
      </c>
      <c r="AG23">
        <v>556447</v>
      </c>
      <c r="AH23">
        <v>6.63</v>
      </c>
      <c r="AI23">
        <v>1235689</v>
      </c>
      <c r="AJ23">
        <v>21.18</v>
      </c>
      <c r="AK23">
        <v>3699428</v>
      </c>
      <c r="AL23">
        <v>48.05</v>
      </c>
      <c r="AM23">
        <v>16</v>
      </c>
      <c r="AN23">
        <v>54263</v>
      </c>
      <c r="AO23">
        <v>1.26</v>
      </c>
    </row>
    <row r="24" spans="1:41" x14ac:dyDescent="0.2">
      <c r="A24">
        <v>31</v>
      </c>
      <c r="B24">
        <v>136629474</v>
      </c>
      <c r="C24">
        <v>35238132</v>
      </c>
      <c r="D24">
        <v>86645757</v>
      </c>
      <c r="E24" t="s">
        <v>2090</v>
      </c>
      <c r="F24">
        <v>258513363</v>
      </c>
      <c r="G24">
        <v>184853</v>
      </c>
      <c r="H24">
        <v>9985</v>
      </c>
      <c r="I24">
        <v>7402</v>
      </c>
      <c r="J24">
        <v>202240</v>
      </c>
      <c r="K24">
        <v>8269681</v>
      </c>
      <c r="L24">
        <v>92.5</v>
      </c>
      <c r="M24">
        <v>490278</v>
      </c>
      <c r="N24">
        <v>11.25</v>
      </c>
      <c r="O24">
        <v>1098506</v>
      </c>
      <c r="P24">
        <v>5.0999999999999996</v>
      </c>
      <c r="Q24">
        <v>1061198</v>
      </c>
      <c r="R24">
        <v>8.5</v>
      </c>
      <c r="S24">
        <v>359742</v>
      </c>
      <c r="T24">
        <v>9.9</v>
      </c>
      <c r="U24">
        <v>1874243</v>
      </c>
      <c r="V24">
        <v>12.6</v>
      </c>
      <c r="W24">
        <v>3873312</v>
      </c>
      <c r="X24">
        <v>6.6</v>
      </c>
      <c r="Y24">
        <v>970154</v>
      </c>
      <c r="Z24">
        <v>7.5</v>
      </c>
      <c r="AA24">
        <v>322715</v>
      </c>
      <c r="AB24">
        <v>3.7</v>
      </c>
      <c r="AC24">
        <v>360028</v>
      </c>
      <c r="AD24">
        <v>4.5</v>
      </c>
      <c r="AE24">
        <v>1227460</v>
      </c>
      <c r="AF24">
        <v>16.25</v>
      </c>
      <c r="AG24">
        <v>592573</v>
      </c>
      <c r="AH24">
        <v>10.199999999999999</v>
      </c>
      <c r="AI24">
        <v>23140577</v>
      </c>
      <c r="AJ24">
        <v>383.2</v>
      </c>
      <c r="AK24">
        <v>45116950</v>
      </c>
      <c r="AL24">
        <v>596</v>
      </c>
      <c r="AM24">
        <v>42</v>
      </c>
      <c r="AN24">
        <v>1476483</v>
      </c>
      <c r="AO24">
        <v>24.2</v>
      </c>
    </row>
    <row r="25" spans="1:41" x14ac:dyDescent="0.2">
      <c r="A25">
        <v>34</v>
      </c>
      <c r="B25">
        <v>156658448</v>
      </c>
      <c r="C25">
        <v>57647168</v>
      </c>
      <c r="D25">
        <v>84557239</v>
      </c>
      <c r="E25" t="s">
        <v>2090</v>
      </c>
      <c r="F25">
        <v>298862855</v>
      </c>
      <c r="G25">
        <v>228226</v>
      </c>
      <c r="H25">
        <v>13969</v>
      </c>
      <c r="I25">
        <v>7831</v>
      </c>
      <c r="J25">
        <v>250026</v>
      </c>
      <c r="K25">
        <v>13234256</v>
      </c>
      <c r="L25">
        <v>150</v>
      </c>
      <c r="M25">
        <v>2363820</v>
      </c>
      <c r="N25">
        <v>51.04</v>
      </c>
      <c r="O25" t="s">
        <v>2090</v>
      </c>
      <c r="P25" t="s">
        <v>2090</v>
      </c>
      <c r="Q25">
        <v>82174</v>
      </c>
      <c r="R25">
        <v>0.56000000000000005</v>
      </c>
      <c r="S25">
        <v>453367</v>
      </c>
      <c r="T25">
        <v>11.76</v>
      </c>
      <c r="U25">
        <v>721136</v>
      </c>
      <c r="V25">
        <v>4.9000000000000004</v>
      </c>
      <c r="W25">
        <v>2923676</v>
      </c>
      <c r="X25">
        <v>4.8600000000000003</v>
      </c>
      <c r="Y25">
        <v>1541284</v>
      </c>
      <c r="Z25">
        <v>9.7200000000000006</v>
      </c>
      <c r="AA25">
        <v>251571</v>
      </c>
      <c r="AB25">
        <v>3.4</v>
      </c>
      <c r="AC25">
        <v>1082004</v>
      </c>
      <c r="AD25">
        <v>13.18</v>
      </c>
      <c r="AE25">
        <v>890862</v>
      </c>
      <c r="AF25">
        <v>13.76</v>
      </c>
      <c r="AG25">
        <v>1940616</v>
      </c>
      <c r="AH25">
        <v>36</v>
      </c>
      <c r="AI25">
        <v>18852239</v>
      </c>
      <c r="AJ25">
        <v>370.26</v>
      </c>
      <c r="AK25">
        <v>46652890</v>
      </c>
      <c r="AL25">
        <v>708.03</v>
      </c>
      <c r="AM25">
        <v>127</v>
      </c>
      <c r="AN25">
        <v>2315885</v>
      </c>
      <c r="AO25">
        <v>38.590000000000003</v>
      </c>
    </row>
    <row r="26" spans="1:41" x14ac:dyDescent="0.2">
      <c r="A26">
        <v>35</v>
      </c>
      <c r="B26">
        <v>1935826</v>
      </c>
      <c r="C26">
        <v>691225</v>
      </c>
      <c r="D26">
        <v>233918</v>
      </c>
      <c r="E26">
        <v>4142247</v>
      </c>
      <c r="F26">
        <v>7003216</v>
      </c>
      <c r="G26">
        <v>5292</v>
      </c>
      <c r="H26">
        <v>578</v>
      </c>
      <c r="I26">
        <v>41</v>
      </c>
      <c r="J26">
        <v>5911</v>
      </c>
      <c r="K26">
        <v>663876</v>
      </c>
      <c r="L26">
        <v>8.3000000000000007</v>
      </c>
      <c r="M26">
        <v>158570</v>
      </c>
      <c r="N26">
        <v>3.37</v>
      </c>
      <c r="O26" t="s">
        <v>2090</v>
      </c>
      <c r="P26" t="s">
        <v>2090</v>
      </c>
      <c r="Q26" t="s">
        <v>2090</v>
      </c>
      <c r="R26" t="s">
        <v>2090</v>
      </c>
      <c r="S26">
        <v>54527</v>
      </c>
      <c r="T26">
        <v>1.73</v>
      </c>
      <c r="U26">
        <v>115465</v>
      </c>
      <c r="V26">
        <v>0.83</v>
      </c>
      <c r="W26">
        <v>22976</v>
      </c>
      <c r="X26">
        <v>0.18</v>
      </c>
      <c r="Y26" t="s">
        <v>2090</v>
      </c>
      <c r="Z26" t="s">
        <v>2090</v>
      </c>
      <c r="AA26">
        <v>15975</v>
      </c>
      <c r="AB26">
        <v>0.2</v>
      </c>
      <c r="AC26">
        <v>61669</v>
      </c>
      <c r="AD26">
        <v>0.68</v>
      </c>
      <c r="AE26">
        <v>172282</v>
      </c>
      <c r="AF26">
        <v>2.39</v>
      </c>
      <c r="AG26">
        <v>104626</v>
      </c>
      <c r="AH26">
        <v>1.52</v>
      </c>
      <c r="AI26">
        <v>406507</v>
      </c>
      <c r="AJ26">
        <v>12.64</v>
      </c>
      <c r="AK26">
        <v>1896982</v>
      </c>
      <c r="AL26">
        <v>34.25</v>
      </c>
      <c r="AM26">
        <v>8</v>
      </c>
      <c r="AN26">
        <v>120509</v>
      </c>
      <c r="AO26">
        <v>2.41</v>
      </c>
    </row>
    <row r="27" spans="1:41" x14ac:dyDescent="0.2">
      <c r="A27">
        <v>37</v>
      </c>
      <c r="B27">
        <v>14492662</v>
      </c>
      <c r="C27">
        <v>3702293</v>
      </c>
      <c r="D27">
        <v>898018</v>
      </c>
      <c r="E27">
        <v>4368711</v>
      </c>
      <c r="F27">
        <v>23461684</v>
      </c>
      <c r="G27">
        <v>3384</v>
      </c>
      <c r="H27">
        <v>2840</v>
      </c>
      <c r="I27">
        <v>313</v>
      </c>
      <c r="J27">
        <v>6537</v>
      </c>
      <c r="K27">
        <v>1864046</v>
      </c>
      <c r="L27">
        <v>21.05</v>
      </c>
      <c r="M27" t="s">
        <v>2090</v>
      </c>
      <c r="N27" t="s">
        <v>2090</v>
      </c>
      <c r="O27" t="s">
        <v>2090</v>
      </c>
      <c r="P27" t="s">
        <v>2090</v>
      </c>
      <c r="Q27" t="s">
        <v>2090</v>
      </c>
      <c r="R27" t="s">
        <v>2090</v>
      </c>
      <c r="S27" t="s">
        <v>2090</v>
      </c>
      <c r="T27" t="s">
        <v>2090</v>
      </c>
      <c r="U27">
        <v>647801</v>
      </c>
      <c r="V27">
        <v>4.71</v>
      </c>
      <c r="W27">
        <v>532482</v>
      </c>
      <c r="X27">
        <v>1.75</v>
      </c>
      <c r="Y27" t="s">
        <v>2090</v>
      </c>
      <c r="Z27" t="s">
        <v>2090</v>
      </c>
      <c r="AA27">
        <v>96575</v>
      </c>
      <c r="AB27">
        <v>1</v>
      </c>
      <c r="AC27">
        <v>125769</v>
      </c>
      <c r="AD27">
        <v>1.17</v>
      </c>
      <c r="AE27">
        <v>466839</v>
      </c>
      <c r="AF27">
        <v>6.18</v>
      </c>
      <c r="AG27">
        <v>436689</v>
      </c>
      <c r="AH27">
        <v>6.22</v>
      </c>
      <c r="AI27">
        <v>1826042</v>
      </c>
      <c r="AJ27">
        <v>32.67</v>
      </c>
      <c r="AK27">
        <v>6671742</v>
      </c>
      <c r="AL27">
        <v>89.13</v>
      </c>
      <c r="AM27">
        <v>21</v>
      </c>
      <c r="AN27">
        <v>675499</v>
      </c>
      <c r="AO27">
        <v>14.38</v>
      </c>
    </row>
    <row r="28" spans="1:41" x14ac:dyDescent="0.2">
      <c r="A28">
        <v>39</v>
      </c>
      <c r="B28">
        <v>11063601</v>
      </c>
      <c r="C28">
        <v>9272245</v>
      </c>
      <c r="D28">
        <v>7052746</v>
      </c>
      <c r="E28">
        <v>105465074</v>
      </c>
      <c r="F28">
        <v>132853666</v>
      </c>
      <c r="G28">
        <v>70062</v>
      </c>
      <c r="H28">
        <v>9523</v>
      </c>
      <c r="I28">
        <v>691</v>
      </c>
      <c r="J28">
        <v>80276</v>
      </c>
      <c r="K28">
        <v>5464249</v>
      </c>
      <c r="L28">
        <v>59.31</v>
      </c>
      <c r="M28">
        <v>1229295</v>
      </c>
      <c r="N28">
        <v>22.56</v>
      </c>
      <c r="O28">
        <v>930662</v>
      </c>
      <c r="P28">
        <v>3.88</v>
      </c>
      <c r="Q28">
        <v>1118626</v>
      </c>
      <c r="R28">
        <v>8.1199999999999992</v>
      </c>
      <c r="S28">
        <v>95703</v>
      </c>
      <c r="T28">
        <v>2.5</v>
      </c>
      <c r="U28">
        <v>565395</v>
      </c>
      <c r="V28">
        <v>3.9</v>
      </c>
      <c r="W28">
        <v>8936469</v>
      </c>
      <c r="X28">
        <v>23.72</v>
      </c>
      <c r="Y28">
        <v>574075</v>
      </c>
      <c r="Z28">
        <v>4.0999999999999996</v>
      </c>
      <c r="AA28">
        <v>151158</v>
      </c>
      <c r="AB28">
        <v>1.84</v>
      </c>
      <c r="AC28">
        <v>410458</v>
      </c>
      <c r="AD28">
        <v>4</v>
      </c>
      <c r="AE28">
        <v>1097650</v>
      </c>
      <c r="AF28">
        <v>14.66</v>
      </c>
      <c r="AG28">
        <v>583518</v>
      </c>
      <c r="AH28">
        <v>9.41</v>
      </c>
      <c r="AI28">
        <v>5425969</v>
      </c>
      <c r="AJ28">
        <v>85.71</v>
      </c>
      <c r="AK28">
        <v>27653048</v>
      </c>
      <c r="AL28">
        <v>264.52999999999997</v>
      </c>
      <c r="AM28">
        <v>57</v>
      </c>
      <c r="AN28">
        <v>1069821</v>
      </c>
      <c r="AO28">
        <v>20.82</v>
      </c>
    </row>
    <row r="29" spans="1:41" x14ac:dyDescent="0.2">
      <c r="A29">
        <v>41</v>
      </c>
      <c r="B29">
        <v>37831984</v>
      </c>
      <c r="C29">
        <v>25448873</v>
      </c>
      <c r="D29">
        <v>27161987</v>
      </c>
      <c r="E29">
        <v>60768178</v>
      </c>
      <c r="F29">
        <v>151211022</v>
      </c>
      <c r="G29">
        <v>33411</v>
      </c>
      <c r="H29">
        <v>18867</v>
      </c>
      <c r="I29">
        <v>4098</v>
      </c>
      <c r="J29">
        <v>56376</v>
      </c>
      <c r="K29">
        <v>8940561</v>
      </c>
      <c r="L29">
        <v>79.88</v>
      </c>
      <c r="M29" t="s">
        <v>2090</v>
      </c>
      <c r="N29" t="s">
        <v>2090</v>
      </c>
      <c r="O29" t="s">
        <v>2090</v>
      </c>
      <c r="P29" t="s">
        <v>2090</v>
      </c>
      <c r="Q29">
        <v>322054</v>
      </c>
      <c r="R29">
        <v>2.25</v>
      </c>
      <c r="S29" t="s">
        <v>2090</v>
      </c>
      <c r="T29" t="s">
        <v>2090</v>
      </c>
      <c r="U29">
        <v>858571</v>
      </c>
      <c r="V29">
        <v>6.3</v>
      </c>
      <c r="W29">
        <v>5271648</v>
      </c>
      <c r="X29">
        <v>14.4</v>
      </c>
      <c r="Y29">
        <v>1607</v>
      </c>
      <c r="Z29">
        <v>0.01</v>
      </c>
      <c r="AA29">
        <v>192356</v>
      </c>
      <c r="AB29">
        <v>2.4700000000000002</v>
      </c>
      <c r="AC29">
        <v>962701</v>
      </c>
      <c r="AD29">
        <v>11.36</v>
      </c>
      <c r="AE29">
        <v>961368</v>
      </c>
      <c r="AF29">
        <v>11.23</v>
      </c>
      <c r="AG29">
        <v>782338</v>
      </c>
      <c r="AH29">
        <v>13.19</v>
      </c>
      <c r="AI29">
        <v>4667603</v>
      </c>
      <c r="AJ29">
        <v>71.73</v>
      </c>
      <c r="AK29">
        <v>25098420</v>
      </c>
      <c r="AL29">
        <v>248.94</v>
      </c>
      <c r="AM29">
        <v>54</v>
      </c>
      <c r="AN29">
        <v>2137613</v>
      </c>
      <c r="AO29">
        <v>36.119999999999997</v>
      </c>
    </row>
    <row r="30" spans="1:41" x14ac:dyDescent="0.2">
      <c r="A30">
        <v>42</v>
      </c>
      <c r="B30">
        <v>118559596</v>
      </c>
      <c r="C30">
        <v>81601851</v>
      </c>
      <c r="D30">
        <v>71404616</v>
      </c>
      <c r="E30">
        <v>86762787</v>
      </c>
      <c r="F30">
        <v>358328850</v>
      </c>
      <c r="G30">
        <v>57259</v>
      </c>
      <c r="H30">
        <v>59073</v>
      </c>
      <c r="I30">
        <v>6673</v>
      </c>
      <c r="J30">
        <v>123005</v>
      </c>
      <c r="K30">
        <v>48401097</v>
      </c>
      <c r="L30">
        <v>442.35</v>
      </c>
      <c r="M30">
        <v>1564094</v>
      </c>
      <c r="N30">
        <v>25.12</v>
      </c>
      <c r="O30" t="s">
        <v>2090</v>
      </c>
      <c r="P30" t="s">
        <v>2090</v>
      </c>
      <c r="Q30" t="s">
        <v>2090</v>
      </c>
      <c r="R30" t="s">
        <v>2090</v>
      </c>
      <c r="S30">
        <v>1552486</v>
      </c>
      <c r="T30">
        <v>35.86</v>
      </c>
      <c r="U30">
        <v>3229037</v>
      </c>
      <c r="V30">
        <v>21.83</v>
      </c>
      <c r="W30">
        <v>11337449</v>
      </c>
      <c r="X30">
        <v>29.9</v>
      </c>
      <c r="Y30">
        <v>1072667</v>
      </c>
      <c r="Z30">
        <v>8.26</v>
      </c>
      <c r="AA30">
        <v>567796</v>
      </c>
      <c r="AB30">
        <v>6.66</v>
      </c>
      <c r="AC30">
        <v>993646</v>
      </c>
      <c r="AD30">
        <v>11.13</v>
      </c>
      <c r="AE30">
        <v>4514802</v>
      </c>
      <c r="AF30">
        <v>50.67</v>
      </c>
      <c r="AG30">
        <v>2404279</v>
      </c>
      <c r="AH30">
        <v>36.409999999999997</v>
      </c>
      <c r="AI30">
        <v>16923997</v>
      </c>
      <c r="AJ30">
        <v>272.77</v>
      </c>
      <c r="AK30">
        <v>101828755</v>
      </c>
      <c r="AL30">
        <v>1086.42</v>
      </c>
      <c r="AM30">
        <v>150</v>
      </c>
      <c r="AN30">
        <v>9267405</v>
      </c>
      <c r="AO30">
        <v>145.46</v>
      </c>
    </row>
    <row r="31" spans="1:41" x14ac:dyDescent="0.2">
      <c r="A31">
        <v>44</v>
      </c>
      <c r="B31">
        <v>192075751</v>
      </c>
      <c r="C31">
        <v>62671008</v>
      </c>
      <c r="D31">
        <v>132920272</v>
      </c>
      <c r="E31">
        <v>139459852</v>
      </c>
      <c r="F31">
        <v>527126883</v>
      </c>
      <c r="G31">
        <v>74185</v>
      </c>
      <c r="H31">
        <v>40293</v>
      </c>
      <c r="I31">
        <v>11011</v>
      </c>
      <c r="J31">
        <v>125489</v>
      </c>
      <c r="K31">
        <v>84980853</v>
      </c>
      <c r="L31">
        <v>788.52</v>
      </c>
      <c r="M31">
        <v>117427</v>
      </c>
      <c r="N31">
        <v>2.4300000000000002</v>
      </c>
      <c r="O31">
        <v>7401945</v>
      </c>
      <c r="P31">
        <v>36.58</v>
      </c>
      <c r="Q31" t="s">
        <v>2090</v>
      </c>
      <c r="R31" t="s">
        <v>2090</v>
      </c>
      <c r="S31">
        <v>9934282</v>
      </c>
      <c r="T31">
        <v>206.78</v>
      </c>
      <c r="U31">
        <v>4837088</v>
      </c>
      <c r="V31">
        <v>34.04</v>
      </c>
      <c r="W31">
        <v>18860813</v>
      </c>
      <c r="X31">
        <v>47.64</v>
      </c>
      <c r="Y31">
        <v>2801839</v>
      </c>
      <c r="Z31">
        <v>20.53</v>
      </c>
      <c r="AA31">
        <v>1047931</v>
      </c>
      <c r="AB31">
        <v>13.13</v>
      </c>
      <c r="AC31">
        <v>1447535</v>
      </c>
      <c r="AD31">
        <v>16.559999999999999</v>
      </c>
      <c r="AE31">
        <v>6598146</v>
      </c>
      <c r="AF31">
        <v>75.239999999999995</v>
      </c>
      <c r="AG31">
        <v>2489649</v>
      </c>
      <c r="AH31">
        <v>40.78</v>
      </c>
      <c r="AI31">
        <v>29284233</v>
      </c>
      <c r="AJ31">
        <v>427.85</v>
      </c>
      <c r="AK31">
        <v>181631557</v>
      </c>
      <c r="AL31">
        <v>1890.26</v>
      </c>
      <c r="AM31">
        <v>390</v>
      </c>
      <c r="AN31">
        <v>11829816</v>
      </c>
      <c r="AO31">
        <v>180.18</v>
      </c>
    </row>
    <row r="32" spans="1:41" x14ac:dyDescent="0.2">
      <c r="A32">
        <v>45</v>
      </c>
      <c r="B32">
        <v>14430633</v>
      </c>
      <c r="C32">
        <v>6986234</v>
      </c>
      <c r="D32">
        <v>2271002</v>
      </c>
      <c r="E32">
        <v>18288632</v>
      </c>
      <c r="F32">
        <v>41976501</v>
      </c>
      <c r="G32">
        <v>25896</v>
      </c>
      <c r="H32">
        <v>5122</v>
      </c>
      <c r="I32">
        <v>447</v>
      </c>
      <c r="J32">
        <v>31465</v>
      </c>
      <c r="K32">
        <v>2762456</v>
      </c>
      <c r="L32">
        <v>33.04</v>
      </c>
      <c r="M32">
        <v>620715</v>
      </c>
      <c r="N32">
        <v>13.89</v>
      </c>
      <c r="O32" t="s">
        <v>2090</v>
      </c>
      <c r="P32" t="s">
        <v>2090</v>
      </c>
      <c r="Q32">
        <v>875522</v>
      </c>
      <c r="R32">
        <v>5.98</v>
      </c>
      <c r="S32">
        <v>336584</v>
      </c>
      <c r="T32">
        <v>8.8000000000000007</v>
      </c>
      <c r="U32">
        <v>286045</v>
      </c>
      <c r="V32">
        <v>2</v>
      </c>
      <c r="W32">
        <v>830467</v>
      </c>
      <c r="X32">
        <v>2.31</v>
      </c>
      <c r="Y32">
        <v>290105</v>
      </c>
      <c r="Z32">
        <v>2</v>
      </c>
      <c r="AA32">
        <v>215755</v>
      </c>
      <c r="AB32">
        <v>2.65</v>
      </c>
      <c r="AC32">
        <v>528510</v>
      </c>
      <c r="AD32">
        <v>6.64</v>
      </c>
      <c r="AE32">
        <v>522455</v>
      </c>
      <c r="AF32">
        <v>7.94</v>
      </c>
      <c r="AG32">
        <v>450349</v>
      </c>
      <c r="AH32">
        <v>7.1</v>
      </c>
      <c r="AI32">
        <v>3865590</v>
      </c>
      <c r="AJ32">
        <v>70.989999999999995</v>
      </c>
      <c r="AK32">
        <v>12093362</v>
      </c>
      <c r="AL32">
        <v>174.48</v>
      </c>
      <c r="AM32">
        <v>25</v>
      </c>
      <c r="AN32">
        <v>508809</v>
      </c>
      <c r="AO32">
        <v>11.14</v>
      </c>
    </row>
    <row r="33" spans="1:41" x14ac:dyDescent="0.2">
      <c r="A33">
        <v>46</v>
      </c>
      <c r="B33">
        <v>18389156</v>
      </c>
      <c r="C33">
        <v>3248511</v>
      </c>
      <c r="D33">
        <v>4913123</v>
      </c>
      <c r="E33">
        <v>4324417</v>
      </c>
      <c r="F33">
        <v>30875207</v>
      </c>
      <c r="G33">
        <v>47815</v>
      </c>
      <c r="H33">
        <v>2528</v>
      </c>
      <c r="I33">
        <v>1129</v>
      </c>
      <c r="J33">
        <v>51472</v>
      </c>
      <c r="K33">
        <v>1548018</v>
      </c>
      <c r="L33">
        <v>19.77</v>
      </c>
      <c r="M33">
        <v>358203</v>
      </c>
      <c r="N33">
        <v>7.78</v>
      </c>
      <c r="O33">
        <v>611157</v>
      </c>
      <c r="P33">
        <v>2.8</v>
      </c>
      <c r="Q33">
        <v>550639</v>
      </c>
      <c r="R33">
        <v>3.16</v>
      </c>
      <c r="S33">
        <v>44841</v>
      </c>
      <c r="T33">
        <v>1.19</v>
      </c>
      <c r="U33">
        <v>141812</v>
      </c>
      <c r="V33">
        <v>1.02</v>
      </c>
      <c r="W33">
        <v>1147961</v>
      </c>
      <c r="X33">
        <v>2.46</v>
      </c>
      <c r="Y33">
        <v>505854</v>
      </c>
      <c r="Z33">
        <v>2.37</v>
      </c>
      <c r="AA33">
        <v>55250</v>
      </c>
      <c r="AB33">
        <v>0.84</v>
      </c>
      <c r="AC33">
        <v>165314</v>
      </c>
      <c r="AD33">
        <v>1.91</v>
      </c>
      <c r="AE33">
        <v>107788</v>
      </c>
      <c r="AF33">
        <v>1.27</v>
      </c>
      <c r="AG33">
        <v>202979</v>
      </c>
      <c r="AH33">
        <v>4.18</v>
      </c>
      <c r="AI33">
        <v>2730848</v>
      </c>
      <c r="AJ33">
        <v>52.2</v>
      </c>
      <c r="AK33">
        <v>8909167</v>
      </c>
      <c r="AL33">
        <v>112.18</v>
      </c>
      <c r="AM33">
        <v>43</v>
      </c>
      <c r="AN33">
        <v>738503</v>
      </c>
      <c r="AO33">
        <v>11.23</v>
      </c>
    </row>
    <row r="34" spans="1:41" x14ac:dyDescent="0.2">
      <c r="A34">
        <v>49</v>
      </c>
      <c r="B34">
        <v>99479753</v>
      </c>
      <c r="C34" t="s">
        <v>2090</v>
      </c>
      <c r="D34">
        <v>42110684</v>
      </c>
      <c r="E34">
        <v>92991652</v>
      </c>
      <c r="F34">
        <v>234582089</v>
      </c>
      <c r="G34">
        <v>107079</v>
      </c>
      <c r="H34" t="s">
        <v>2090</v>
      </c>
      <c r="I34">
        <v>1681</v>
      </c>
      <c r="J34">
        <v>108760</v>
      </c>
      <c r="K34">
        <v>18816699</v>
      </c>
      <c r="L34">
        <v>179.04</v>
      </c>
      <c r="M34">
        <v>346101</v>
      </c>
      <c r="N34">
        <v>6.04</v>
      </c>
      <c r="O34" t="s">
        <v>2090</v>
      </c>
      <c r="P34" t="s">
        <v>2090</v>
      </c>
      <c r="Q34">
        <v>3698164</v>
      </c>
      <c r="R34">
        <v>27.68</v>
      </c>
      <c r="S34">
        <v>1396736</v>
      </c>
      <c r="T34">
        <v>29.71</v>
      </c>
      <c r="U34">
        <v>1653972</v>
      </c>
      <c r="V34">
        <v>10.94</v>
      </c>
      <c r="W34">
        <v>20847422</v>
      </c>
      <c r="X34">
        <v>42.94</v>
      </c>
      <c r="Y34">
        <v>590495</v>
      </c>
      <c r="Z34">
        <v>4.72</v>
      </c>
      <c r="AA34">
        <v>943144</v>
      </c>
      <c r="AB34">
        <v>11.64</v>
      </c>
      <c r="AC34">
        <v>2492947</v>
      </c>
      <c r="AD34">
        <v>28.26</v>
      </c>
      <c r="AE34">
        <v>1806628</v>
      </c>
      <c r="AF34">
        <v>20.9</v>
      </c>
      <c r="AG34" t="s">
        <v>2090</v>
      </c>
      <c r="AH34" t="s">
        <v>2090</v>
      </c>
      <c r="AI34">
        <v>42422529</v>
      </c>
      <c r="AJ34">
        <v>521.24</v>
      </c>
      <c r="AK34">
        <v>103100074</v>
      </c>
      <c r="AL34">
        <v>992.95</v>
      </c>
      <c r="AM34">
        <v>60</v>
      </c>
      <c r="AN34">
        <v>8085237</v>
      </c>
      <c r="AO34">
        <v>109.84</v>
      </c>
    </row>
    <row r="35" spans="1:41" x14ac:dyDescent="0.2">
      <c r="A35">
        <v>50</v>
      </c>
      <c r="B35">
        <v>26010625</v>
      </c>
      <c r="C35">
        <v>3559879</v>
      </c>
      <c r="D35">
        <v>3047584</v>
      </c>
      <c r="E35">
        <v>22163453</v>
      </c>
      <c r="F35">
        <v>54781541</v>
      </c>
      <c r="G35">
        <v>51809</v>
      </c>
      <c r="H35">
        <v>3980</v>
      </c>
      <c r="I35">
        <v>860</v>
      </c>
      <c r="J35">
        <v>56649</v>
      </c>
      <c r="K35">
        <v>2426119</v>
      </c>
      <c r="L35">
        <v>30.79</v>
      </c>
      <c r="M35">
        <v>167359</v>
      </c>
      <c r="N35">
        <v>3.7</v>
      </c>
      <c r="O35">
        <v>624121</v>
      </c>
      <c r="P35">
        <v>2.82</v>
      </c>
      <c r="Q35">
        <v>860621</v>
      </c>
      <c r="R35">
        <v>5.72</v>
      </c>
      <c r="S35">
        <v>285950</v>
      </c>
      <c r="T35">
        <v>8.4700000000000006</v>
      </c>
      <c r="U35">
        <v>217907</v>
      </c>
      <c r="V35">
        <v>1.01</v>
      </c>
      <c r="W35">
        <v>4464733</v>
      </c>
      <c r="X35">
        <v>15.54</v>
      </c>
      <c r="Y35">
        <v>531576</v>
      </c>
      <c r="Z35">
        <v>3.78</v>
      </c>
      <c r="AA35">
        <v>255996</v>
      </c>
      <c r="AB35">
        <v>3.26</v>
      </c>
      <c r="AC35">
        <v>1081082</v>
      </c>
      <c r="AD35">
        <v>13.25</v>
      </c>
      <c r="AE35">
        <v>1157533</v>
      </c>
      <c r="AF35">
        <v>16.32</v>
      </c>
      <c r="AG35">
        <v>487732</v>
      </c>
      <c r="AH35">
        <v>8.5</v>
      </c>
      <c r="AI35">
        <v>2474960</v>
      </c>
      <c r="AJ35">
        <v>64.319999999999993</v>
      </c>
      <c r="AK35">
        <v>17756828</v>
      </c>
      <c r="AL35">
        <v>222.91</v>
      </c>
      <c r="AM35">
        <v>34</v>
      </c>
      <c r="AN35">
        <v>2721139</v>
      </c>
      <c r="AO35">
        <v>45.43</v>
      </c>
    </row>
    <row r="36" spans="1:41" x14ac:dyDescent="0.2">
      <c r="A36">
        <v>51</v>
      </c>
      <c r="B36">
        <v>21821764</v>
      </c>
      <c r="C36">
        <v>3809194</v>
      </c>
      <c r="D36">
        <v>3440284</v>
      </c>
      <c r="E36">
        <v>38546503</v>
      </c>
      <c r="F36">
        <v>67617745</v>
      </c>
      <c r="G36">
        <v>21094</v>
      </c>
      <c r="H36">
        <v>4855</v>
      </c>
      <c r="I36">
        <v>962</v>
      </c>
      <c r="J36">
        <v>26911</v>
      </c>
      <c r="K36">
        <v>5488481</v>
      </c>
      <c r="L36">
        <v>57.4</v>
      </c>
      <c r="M36">
        <v>725001</v>
      </c>
      <c r="N36">
        <v>14</v>
      </c>
      <c r="O36">
        <v>862195</v>
      </c>
      <c r="P36">
        <v>3.4</v>
      </c>
      <c r="Q36">
        <v>337605</v>
      </c>
      <c r="R36">
        <v>2.5</v>
      </c>
      <c r="S36">
        <v>298164</v>
      </c>
      <c r="T36">
        <v>6.7</v>
      </c>
      <c r="U36">
        <v>506706</v>
      </c>
      <c r="V36">
        <v>3.2</v>
      </c>
      <c r="W36">
        <v>5775001</v>
      </c>
      <c r="X36">
        <v>18.100000000000001</v>
      </c>
      <c r="Y36">
        <v>471872</v>
      </c>
      <c r="Z36">
        <v>4</v>
      </c>
      <c r="AA36">
        <v>168106</v>
      </c>
      <c r="AB36">
        <v>1.9</v>
      </c>
      <c r="AC36">
        <v>597722</v>
      </c>
      <c r="AD36">
        <v>5.8</v>
      </c>
      <c r="AE36">
        <v>593250</v>
      </c>
      <c r="AF36">
        <v>6.9</v>
      </c>
      <c r="AG36">
        <v>777495</v>
      </c>
      <c r="AH36">
        <v>10.9</v>
      </c>
      <c r="AI36">
        <v>8289580</v>
      </c>
      <c r="AJ36">
        <v>156.4</v>
      </c>
      <c r="AK36">
        <v>25891376</v>
      </c>
      <c r="AL36">
        <v>304.8</v>
      </c>
      <c r="AM36">
        <v>49</v>
      </c>
      <c r="AN36">
        <v>1000198</v>
      </c>
      <c r="AO36">
        <v>13.6</v>
      </c>
    </row>
    <row r="37" spans="1:41" x14ac:dyDescent="0.2">
      <c r="A37">
        <v>53</v>
      </c>
      <c r="B37">
        <v>3360942</v>
      </c>
      <c r="C37">
        <v>2978288</v>
      </c>
      <c r="D37">
        <v>2253238</v>
      </c>
      <c r="E37">
        <v>15472188</v>
      </c>
      <c r="F37">
        <v>24064656</v>
      </c>
      <c r="G37">
        <v>4786</v>
      </c>
      <c r="H37">
        <v>2220</v>
      </c>
      <c r="I37">
        <v>218</v>
      </c>
      <c r="J37">
        <v>7224</v>
      </c>
      <c r="K37">
        <v>1041840</v>
      </c>
      <c r="L37">
        <v>13.57</v>
      </c>
      <c r="M37">
        <v>437596</v>
      </c>
      <c r="N37">
        <v>9.1300000000000008</v>
      </c>
      <c r="O37">
        <v>250534</v>
      </c>
      <c r="P37">
        <v>0.78</v>
      </c>
      <c r="Q37">
        <v>668288</v>
      </c>
      <c r="R37">
        <v>3.77</v>
      </c>
      <c r="S37">
        <v>120702</v>
      </c>
      <c r="T37">
        <v>3.12</v>
      </c>
      <c r="U37">
        <v>151466</v>
      </c>
      <c r="V37">
        <v>0.98</v>
      </c>
      <c r="W37">
        <v>1543236</v>
      </c>
      <c r="X37">
        <v>3.43</v>
      </c>
      <c r="Y37">
        <v>124528</v>
      </c>
      <c r="Z37">
        <v>0.95</v>
      </c>
      <c r="AA37" t="s">
        <v>2090</v>
      </c>
      <c r="AB37" t="s">
        <v>2090</v>
      </c>
      <c r="AC37" t="s">
        <v>2090</v>
      </c>
      <c r="AD37" t="s">
        <v>2090</v>
      </c>
      <c r="AE37">
        <v>281232</v>
      </c>
      <c r="AF37">
        <v>3.53</v>
      </c>
      <c r="AG37">
        <v>351196</v>
      </c>
      <c r="AH37">
        <v>6.35</v>
      </c>
      <c r="AI37">
        <v>3766500</v>
      </c>
      <c r="AJ37">
        <v>60.16</v>
      </c>
      <c r="AK37">
        <v>8890478</v>
      </c>
      <c r="AL37">
        <v>108.44</v>
      </c>
      <c r="AM37">
        <v>30</v>
      </c>
      <c r="AN37">
        <v>153360</v>
      </c>
      <c r="AO37">
        <v>2.67</v>
      </c>
    </row>
    <row r="38" spans="1:41" x14ac:dyDescent="0.2">
      <c r="A38">
        <v>54</v>
      </c>
      <c r="B38">
        <v>2090083</v>
      </c>
      <c r="C38">
        <v>1483667</v>
      </c>
      <c r="D38">
        <v>3774181</v>
      </c>
      <c r="E38">
        <v>15832315</v>
      </c>
      <c r="F38">
        <v>23180246</v>
      </c>
      <c r="G38">
        <v>25443</v>
      </c>
      <c r="H38">
        <v>1163</v>
      </c>
      <c r="I38">
        <v>822</v>
      </c>
      <c r="J38">
        <v>27428</v>
      </c>
      <c r="K38">
        <v>1613868</v>
      </c>
      <c r="L38">
        <v>21.2</v>
      </c>
      <c r="M38">
        <v>448307</v>
      </c>
      <c r="N38">
        <v>9.7200000000000006</v>
      </c>
      <c r="O38" t="s">
        <v>2090</v>
      </c>
      <c r="P38" t="s">
        <v>2090</v>
      </c>
      <c r="Q38" t="s">
        <v>2090</v>
      </c>
      <c r="R38" t="s">
        <v>2090</v>
      </c>
      <c r="S38">
        <v>76457</v>
      </c>
      <c r="T38">
        <v>2.13</v>
      </c>
      <c r="U38">
        <v>120240</v>
      </c>
      <c r="V38">
        <v>0.96</v>
      </c>
      <c r="W38" t="s">
        <v>2090</v>
      </c>
      <c r="X38" t="s">
        <v>2090</v>
      </c>
      <c r="Y38" t="s">
        <v>2090</v>
      </c>
      <c r="Z38" t="s">
        <v>2090</v>
      </c>
      <c r="AA38" t="s">
        <v>2090</v>
      </c>
      <c r="AB38" t="s">
        <v>2090</v>
      </c>
      <c r="AC38">
        <v>237851</v>
      </c>
      <c r="AD38">
        <v>2.44</v>
      </c>
      <c r="AE38">
        <v>262833</v>
      </c>
      <c r="AF38">
        <v>3.68</v>
      </c>
      <c r="AG38">
        <v>305639</v>
      </c>
      <c r="AH38">
        <v>5.41</v>
      </c>
      <c r="AI38">
        <v>1743997</v>
      </c>
      <c r="AJ38">
        <v>40.29</v>
      </c>
      <c r="AK38">
        <v>4809192</v>
      </c>
      <c r="AL38">
        <v>85.83</v>
      </c>
      <c r="AM38">
        <v>10</v>
      </c>
      <c r="AN38" t="s">
        <v>2090</v>
      </c>
      <c r="AO38" t="s">
        <v>2090</v>
      </c>
    </row>
    <row r="39" spans="1:41" x14ac:dyDescent="0.2">
      <c r="A39">
        <v>57</v>
      </c>
      <c r="B39">
        <v>16765324</v>
      </c>
      <c r="C39">
        <v>17563650</v>
      </c>
      <c r="D39">
        <v>20889062</v>
      </c>
      <c r="E39">
        <v>25824540</v>
      </c>
      <c r="F39">
        <v>81042576</v>
      </c>
      <c r="G39">
        <v>5200</v>
      </c>
      <c r="H39">
        <v>15402</v>
      </c>
      <c r="I39">
        <v>3405</v>
      </c>
      <c r="J39">
        <v>24007</v>
      </c>
      <c r="K39">
        <v>11750798</v>
      </c>
      <c r="L39">
        <v>108.59</v>
      </c>
      <c r="M39" t="s">
        <v>2090</v>
      </c>
      <c r="N39" t="s">
        <v>2090</v>
      </c>
      <c r="O39" t="s">
        <v>2090</v>
      </c>
      <c r="P39" t="s">
        <v>2090</v>
      </c>
      <c r="Q39" t="s">
        <v>2090</v>
      </c>
      <c r="R39" t="s">
        <v>2090</v>
      </c>
      <c r="S39">
        <v>246697</v>
      </c>
      <c r="T39">
        <v>7</v>
      </c>
      <c r="U39">
        <v>674111</v>
      </c>
      <c r="V39">
        <v>4.28</v>
      </c>
      <c r="W39">
        <v>149095</v>
      </c>
      <c r="X39">
        <v>0.14000000000000001</v>
      </c>
      <c r="Y39" t="s">
        <v>2090</v>
      </c>
      <c r="Z39" t="s">
        <v>2090</v>
      </c>
      <c r="AA39">
        <v>136862</v>
      </c>
      <c r="AB39">
        <v>1.67</v>
      </c>
      <c r="AC39">
        <v>728411</v>
      </c>
      <c r="AD39">
        <v>7.95</v>
      </c>
      <c r="AE39">
        <v>17</v>
      </c>
      <c r="AF39">
        <v>0</v>
      </c>
      <c r="AG39">
        <v>752210</v>
      </c>
      <c r="AH39">
        <v>10.33</v>
      </c>
      <c r="AI39">
        <v>4764878</v>
      </c>
      <c r="AJ39">
        <v>78.489999999999995</v>
      </c>
      <c r="AK39">
        <v>21134143</v>
      </c>
      <c r="AL39">
        <v>252.22</v>
      </c>
      <c r="AM39">
        <v>43</v>
      </c>
      <c r="AN39">
        <v>1931064</v>
      </c>
      <c r="AO39">
        <v>33.770000000000003</v>
      </c>
    </row>
    <row r="40" spans="1:41" x14ac:dyDescent="0.2">
      <c r="A40">
        <v>58</v>
      </c>
      <c r="B40">
        <v>4794414</v>
      </c>
      <c r="C40">
        <v>1086469</v>
      </c>
      <c r="D40">
        <v>292682</v>
      </c>
      <c r="E40">
        <v>2783774</v>
      </c>
      <c r="F40">
        <v>8957339</v>
      </c>
      <c r="G40">
        <v>10496</v>
      </c>
      <c r="H40">
        <v>418</v>
      </c>
      <c r="I40">
        <v>65</v>
      </c>
      <c r="J40">
        <v>10979</v>
      </c>
      <c r="K40">
        <v>950775</v>
      </c>
      <c r="L40">
        <v>11.6</v>
      </c>
      <c r="M40">
        <v>117462</v>
      </c>
      <c r="N40">
        <v>3.32</v>
      </c>
      <c r="O40">
        <v>20280</v>
      </c>
      <c r="P40">
        <v>0.03</v>
      </c>
      <c r="Q40">
        <v>231095</v>
      </c>
      <c r="R40">
        <v>1.0900000000000001</v>
      </c>
      <c r="S40">
        <v>37876</v>
      </c>
      <c r="T40">
        <v>1.31</v>
      </c>
      <c r="U40">
        <v>70002</v>
      </c>
      <c r="V40">
        <v>0.2</v>
      </c>
      <c r="W40">
        <v>660765</v>
      </c>
      <c r="X40">
        <v>1.29</v>
      </c>
      <c r="Y40" t="s">
        <v>2090</v>
      </c>
      <c r="Z40" t="s">
        <v>2090</v>
      </c>
      <c r="AA40" t="s">
        <v>2090</v>
      </c>
      <c r="AB40" t="s">
        <v>2090</v>
      </c>
      <c r="AC40" t="s">
        <v>2090</v>
      </c>
      <c r="AD40" t="s">
        <v>2090</v>
      </c>
      <c r="AE40">
        <v>166583</v>
      </c>
      <c r="AF40">
        <v>2.68</v>
      </c>
      <c r="AG40">
        <v>158462</v>
      </c>
      <c r="AH40">
        <v>2.84</v>
      </c>
      <c r="AI40">
        <v>991893</v>
      </c>
      <c r="AJ40">
        <v>24.08</v>
      </c>
      <c r="AK40">
        <v>3464148</v>
      </c>
      <c r="AL40">
        <v>50.07</v>
      </c>
      <c r="AM40">
        <v>24</v>
      </c>
      <c r="AN40">
        <v>58955</v>
      </c>
      <c r="AO40">
        <v>1.63</v>
      </c>
    </row>
    <row r="41" spans="1:41" x14ac:dyDescent="0.2">
      <c r="A41">
        <v>59</v>
      </c>
      <c r="B41">
        <v>314139670</v>
      </c>
      <c r="C41">
        <v>124767143</v>
      </c>
      <c r="D41">
        <v>112906300</v>
      </c>
      <c r="E41">
        <v>405261852</v>
      </c>
      <c r="F41">
        <v>957074965</v>
      </c>
      <c r="G41">
        <v>506064</v>
      </c>
      <c r="H41">
        <v>75580</v>
      </c>
      <c r="I41">
        <v>7971</v>
      </c>
      <c r="J41">
        <v>589615</v>
      </c>
      <c r="K41">
        <v>120998559</v>
      </c>
      <c r="L41">
        <v>1091.77</v>
      </c>
      <c r="M41">
        <v>707421</v>
      </c>
      <c r="N41">
        <v>11.84</v>
      </c>
      <c r="O41">
        <v>7853540</v>
      </c>
      <c r="P41">
        <v>37.229999999999997</v>
      </c>
      <c r="Q41">
        <v>13879652</v>
      </c>
      <c r="R41">
        <v>106.52</v>
      </c>
      <c r="S41">
        <v>16399860</v>
      </c>
      <c r="T41">
        <v>306.39</v>
      </c>
      <c r="U41">
        <v>14887945</v>
      </c>
      <c r="V41">
        <v>106.97</v>
      </c>
      <c r="W41">
        <v>136413263</v>
      </c>
      <c r="X41">
        <v>586.32000000000005</v>
      </c>
      <c r="Y41">
        <v>8949242</v>
      </c>
      <c r="Z41">
        <v>68.45</v>
      </c>
      <c r="AA41">
        <v>3405976</v>
      </c>
      <c r="AB41">
        <v>36.299999999999997</v>
      </c>
      <c r="AC41">
        <v>4145093</v>
      </c>
      <c r="AD41">
        <v>43.41</v>
      </c>
      <c r="AE41">
        <v>11818004</v>
      </c>
      <c r="AF41">
        <v>131.16</v>
      </c>
      <c r="AG41">
        <v>11800959</v>
      </c>
      <c r="AH41">
        <v>170.05</v>
      </c>
      <c r="AI41">
        <v>161671194</v>
      </c>
      <c r="AJ41">
        <v>2098.7800000000002</v>
      </c>
      <c r="AK41">
        <v>530373644</v>
      </c>
      <c r="AL41">
        <v>5076.32</v>
      </c>
      <c r="AM41">
        <v>894</v>
      </c>
      <c r="AN41">
        <v>17442936</v>
      </c>
      <c r="AO41">
        <v>281.13</v>
      </c>
    </row>
    <row r="42" spans="1:41" x14ac:dyDescent="0.2">
      <c r="A42">
        <v>61</v>
      </c>
      <c r="B42">
        <v>2882858</v>
      </c>
      <c r="C42">
        <v>574861</v>
      </c>
      <c r="D42">
        <v>513852</v>
      </c>
      <c r="E42">
        <v>702378</v>
      </c>
      <c r="F42">
        <v>4673949</v>
      </c>
      <c r="G42">
        <v>5517</v>
      </c>
      <c r="H42">
        <v>395</v>
      </c>
      <c r="I42">
        <v>76</v>
      </c>
      <c r="J42">
        <v>5988</v>
      </c>
      <c r="K42">
        <v>545368</v>
      </c>
      <c r="L42">
        <v>6.82</v>
      </c>
      <c r="M42">
        <v>178474</v>
      </c>
      <c r="N42">
        <v>2.92</v>
      </c>
      <c r="O42">
        <v>18556</v>
      </c>
      <c r="P42">
        <v>0.08</v>
      </c>
      <c r="Q42">
        <v>178538</v>
      </c>
      <c r="R42">
        <v>1.3</v>
      </c>
      <c r="S42">
        <v>10846</v>
      </c>
      <c r="T42">
        <v>0.04</v>
      </c>
      <c r="U42">
        <v>100385</v>
      </c>
      <c r="V42">
        <v>0.47</v>
      </c>
      <c r="W42">
        <v>1220</v>
      </c>
      <c r="X42">
        <v>0.01</v>
      </c>
      <c r="Y42">
        <v>1684</v>
      </c>
      <c r="Z42">
        <v>0.01</v>
      </c>
      <c r="AA42">
        <v>4323</v>
      </c>
      <c r="AB42">
        <v>0.06</v>
      </c>
      <c r="AC42">
        <v>19874</v>
      </c>
      <c r="AD42">
        <v>0.25</v>
      </c>
      <c r="AE42">
        <v>158579</v>
      </c>
      <c r="AF42">
        <v>1.93</v>
      </c>
      <c r="AG42">
        <v>78835</v>
      </c>
      <c r="AH42">
        <v>1.1499999999999999</v>
      </c>
      <c r="AI42">
        <v>743218</v>
      </c>
      <c r="AJ42">
        <v>12.34</v>
      </c>
      <c r="AK42">
        <v>2123870</v>
      </c>
      <c r="AL42">
        <v>28.74</v>
      </c>
      <c r="AM42">
        <v>15</v>
      </c>
      <c r="AN42">
        <v>83970</v>
      </c>
      <c r="AO42">
        <v>1.36</v>
      </c>
    </row>
    <row r="43" spans="1:41" x14ac:dyDescent="0.2">
      <c r="A43">
        <v>62</v>
      </c>
      <c r="B43">
        <v>18039823</v>
      </c>
      <c r="C43">
        <v>4081575</v>
      </c>
      <c r="D43">
        <v>4776313</v>
      </c>
      <c r="E43">
        <v>86191565</v>
      </c>
      <c r="F43">
        <v>113089276</v>
      </c>
      <c r="G43">
        <v>109536</v>
      </c>
      <c r="H43">
        <v>8529</v>
      </c>
      <c r="I43">
        <v>2174</v>
      </c>
      <c r="J43">
        <v>120239</v>
      </c>
      <c r="K43">
        <v>8987698</v>
      </c>
      <c r="L43">
        <v>91.39</v>
      </c>
      <c r="M43">
        <v>160131</v>
      </c>
      <c r="N43">
        <v>3.02</v>
      </c>
      <c r="O43">
        <v>1262723</v>
      </c>
      <c r="P43">
        <v>5.05</v>
      </c>
      <c r="Q43">
        <v>297947</v>
      </c>
      <c r="R43">
        <v>2.25</v>
      </c>
      <c r="S43">
        <v>2112494</v>
      </c>
      <c r="T43">
        <v>46.65</v>
      </c>
      <c r="U43">
        <v>714653</v>
      </c>
      <c r="V43">
        <v>4.54</v>
      </c>
      <c r="W43">
        <v>3126410</v>
      </c>
      <c r="X43">
        <v>8.1300000000000008</v>
      </c>
      <c r="Y43">
        <v>667759</v>
      </c>
      <c r="Z43">
        <v>4.72</v>
      </c>
      <c r="AA43">
        <v>348343</v>
      </c>
      <c r="AB43">
        <v>4.4000000000000004</v>
      </c>
      <c r="AC43">
        <v>294896</v>
      </c>
      <c r="AD43">
        <v>3.34</v>
      </c>
      <c r="AE43">
        <v>906017</v>
      </c>
      <c r="AF43">
        <v>10.89</v>
      </c>
      <c r="AG43">
        <v>844415</v>
      </c>
      <c r="AH43">
        <v>17.010000000000002</v>
      </c>
      <c r="AI43">
        <v>10737092</v>
      </c>
      <c r="AJ43">
        <v>183.16</v>
      </c>
      <c r="AK43">
        <v>32065055</v>
      </c>
      <c r="AL43">
        <v>405.2</v>
      </c>
      <c r="AM43">
        <v>66</v>
      </c>
      <c r="AN43">
        <v>1604477</v>
      </c>
      <c r="AO43">
        <v>20.65</v>
      </c>
    </row>
    <row r="44" spans="1:41" x14ac:dyDescent="0.2">
      <c r="A44">
        <v>63</v>
      </c>
      <c r="B44">
        <v>166550153</v>
      </c>
      <c r="C44">
        <v>32381966</v>
      </c>
      <c r="D44">
        <v>50605117</v>
      </c>
      <c r="E44">
        <v>244127232</v>
      </c>
      <c r="F44">
        <v>493664468</v>
      </c>
      <c r="G44">
        <v>257559</v>
      </c>
      <c r="H44">
        <v>30895</v>
      </c>
      <c r="I44">
        <v>6605</v>
      </c>
      <c r="J44">
        <v>295059</v>
      </c>
      <c r="K44">
        <v>44829649</v>
      </c>
      <c r="L44">
        <v>497.95</v>
      </c>
      <c r="M44">
        <v>2153285</v>
      </c>
      <c r="N44">
        <v>40.520000000000003</v>
      </c>
      <c r="O44">
        <v>4033002</v>
      </c>
      <c r="P44">
        <v>18.7</v>
      </c>
      <c r="Q44">
        <v>4262738</v>
      </c>
      <c r="R44">
        <v>29.96</v>
      </c>
      <c r="S44">
        <v>2547030</v>
      </c>
      <c r="T44">
        <v>69.790000000000006</v>
      </c>
      <c r="U44">
        <v>3284565</v>
      </c>
      <c r="V44">
        <v>21.99</v>
      </c>
      <c r="W44">
        <v>42391753</v>
      </c>
      <c r="X44">
        <v>88.89</v>
      </c>
      <c r="Y44">
        <v>3364804</v>
      </c>
      <c r="Z44">
        <v>23.47</v>
      </c>
      <c r="AA44">
        <v>531244</v>
      </c>
      <c r="AB44">
        <v>6.5</v>
      </c>
      <c r="AC44">
        <v>1491941</v>
      </c>
      <c r="AD44">
        <v>15.89</v>
      </c>
      <c r="AE44">
        <v>4338106</v>
      </c>
      <c r="AF44">
        <v>58.43</v>
      </c>
      <c r="AG44">
        <v>2279304</v>
      </c>
      <c r="AH44">
        <v>35.479999999999997</v>
      </c>
      <c r="AI44">
        <v>26625969</v>
      </c>
      <c r="AJ44">
        <v>452.25</v>
      </c>
      <c r="AK44">
        <v>150702305</v>
      </c>
      <c r="AL44">
        <v>1516.61</v>
      </c>
      <c r="AM44">
        <v>272</v>
      </c>
      <c r="AN44">
        <v>8568915</v>
      </c>
      <c r="AO44">
        <v>156.79</v>
      </c>
    </row>
    <row r="45" spans="1:41" x14ac:dyDescent="0.2">
      <c r="A45">
        <v>64</v>
      </c>
      <c r="B45">
        <v>98029034</v>
      </c>
      <c r="C45">
        <v>22138408</v>
      </c>
      <c r="D45">
        <v>15989904</v>
      </c>
      <c r="E45">
        <v>69358758</v>
      </c>
      <c r="F45">
        <v>205516104</v>
      </c>
      <c r="G45">
        <v>31239</v>
      </c>
      <c r="H45">
        <v>12615</v>
      </c>
      <c r="I45">
        <v>2277</v>
      </c>
      <c r="J45">
        <v>46131</v>
      </c>
      <c r="K45">
        <v>10272219</v>
      </c>
      <c r="L45">
        <v>100.93</v>
      </c>
      <c r="M45">
        <v>1576764</v>
      </c>
      <c r="N45">
        <v>32.33</v>
      </c>
      <c r="O45">
        <v>1872712</v>
      </c>
      <c r="P45">
        <v>6.52</v>
      </c>
      <c r="Q45">
        <v>1039491</v>
      </c>
      <c r="R45">
        <v>7.17</v>
      </c>
      <c r="S45">
        <v>524561</v>
      </c>
      <c r="T45">
        <v>11.24</v>
      </c>
      <c r="U45">
        <v>1027807</v>
      </c>
      <c r="V45">
        <v>6.35</v>
      </c>
      <c r="W45">
        <v>10928147</v>
      </c>
      <c r="X45">
        <v>31.17</v>
      </c>
      <c r="Y45">
        <v>743005</v>
      </c>
      <c r="Z45">
        <v>4.9800000000000004</v>
      </c>
      <c r="AA45">
        <v>439828</v>
      </c>
      <c r="AB45">
        <v>5.21</v>
      </c>
      <c r="AC45">
        <v>1317591</v>
      </c>
      <c r="AD45">
        <v>13.65</v>
      </c>
      <c r="AE45">
        <v>1613615</v>
      </c>
      <c r="AF45">
        <v>18.829999999999998</v>
      </c>
      <c r="AG45">
        <v>772926</v>
      </c>
      <c r="AH45">
        <v>12.55</v>
      </c>
      <c r="AI45">
        <v>13405416</v>
      </c>
      <c r="AJ45">
        <v>212.44</v>
      </c>
      <c r="AK45">
        <v>48935666</v>
      </c>
      <c r="AL45">
        <v>518.01</v>
      </c>
      <c r="AM45">
        <v>64</v>
      </c>
      <c r="AN45">
        <v>3401584</v>
      </c>
      <c r="AO45">
        <v>54.64</v>
      </c>
    </row>
    <row r="46" spans="1:41" x14ac:dyDescent="0.2">
      <c r="A46">
        <v>65</v>
      </c>
      <c r="B46">
        <v>1933518</v>
      </c>
      <c r="C46">
        <v>2811298</v>
      </c>
      <c r="D46">
        <v>390888</v>
      </c>
      <c r="E46">
        <v>13287544</v>
      </c>
      <c r="F46">
        <v>18423248</v>
      </c>
      <c r="G46">
        <v>23228</v>
      </c>
      <c r="H46">
        <v>1815</v>
      </c>
      <c r="I46">
        <v>79</v>
      </c>
      <c r="J46">
        <v>25122</v>
      </c>
      <c r="K46">
        <v>933950</v>
      </c>
      <c r="L46">
        <v>12.18</v>
      </c>
      <c r="M46">
        <v>44801</v>
      </c>
      <c r="N46">
        <v>0.83</v>
      </c>
      <c r="O46" t="s">
        <v>2090</v>
      </c>
      <c r="P46" t="s">
        <v>2090</v>
      </c>
      <c r="Q46">
        <v>76920</v>
      </c>
      <c r="R46">
        <v>0.48</v>
      </c>
      <c r="S46" t="s">
        <v>2090</v>
      </c>
      <c r="T46" t="s">
        <v>2090</v>
      </c>
      <c r="U46">
        <v>137514</v>
      </c>
      <c r="V46">
        <v>1</v>
      </c>
      <c r="W46">
        <v>150903</v>
      </c>
      <c r="X46">
        <v>0.45</v>
      </c>
      <c r="Y46">
        <v>423</v>
      </c>
      <c r="Z46">
        <v>0.01</v>
      </c>
      <c r="AA46">
        <v>6606</v>
      </c>
      <c r="AB46">
        <v>0.12</v>
      </c>
      <c r="AC46">
        <v>4015</v>
      </c>
      <c r="AD46">
        <v>0.04</v>
      </c>
      <c r="AE46">
        <v>215680</v>
      </c>
      <c r="AF46">
        <v>2.77</v>
      </c>
      <c r="AG46">
        <v>337138</v>
      </c>
      <c r="AH46">
        <v>5.48</v>
      </c>
      <c r="AI46">
        <v>495946</v>
      </c>
      <c r="AJ46">
        <v>9.24</v>
      </c>
      <c r="AK46">
        <v>2567960</v>
      </c>
      <c r="AL46">
        <v>34.81</v>
      </c>
      <c r="AM46">
        <v>20</v>
      </c>
      <c r="AN46">
        <v>164064</v>
      </c>
      <c r="AO46">
        <v>2.21</v>
      </c>
    </row>
    <row r="47" spans="1:41" x14ac:dyDescent="0.2">
      <c r="A47">
        <v>66</v>
      </c>
      <c r="B47">
        <v>486757</v>
      </c>
      <c r="C47">
        <v>451067</v>
      </c>
      <c r="D47">
        <v>1003673</v>
      </c>
      <c r="E47">
        <v>9621234</v>
      </c>
      <c r="F47">
        <v>11562731</v>
      </c>
      <c r="G47">
        <v>20613</v>
      </c>
      <c r="H47">
        <v>567</v>
      </c>
      <c r="I47">
        <v>169</v>
      </c>
      <c r="J47">
        <v>21349</v>
      </c>
      <c r="K47">
        <v>1217052</v>
      </c>
      <c r="L47">
        <v>14.78</v>
      </c>
      <c r="M47">
        <v>319934</v>
      </c>
      <c r="N47">
        <v>7.1</v>
      </c>
      <c r="O47" t="s">
        <v>2090</v>
      </c>
      <c r="P47" t="s">
        <v>2090</v>
      </c>
      <c r="Q47">
        <v>545018</v>
      </c>
      <c r="R47">
        <v>3.36</v>
      </c>
      <c r="S47">
        <v>37259</v>
      </c>
      <c r="T47">
        <v>0.94</v>
      </c>
      <c r="U47">
        <v>83591</v>
      </c>
      <c r="V47">
        <v>0.64</v>
      </c>
      <c r="W47">
        <v>882133</v>
      </c>
      <c r="X47">
        <v>2.08</v>
      </c>
      <c r="Y47" t="s">
        <v>2090</v>
      </c>
      <c r="Z47" t="s">
        <v>2090</v>
      </c>
      <c r="AA47">
        <v>1973</v>
      </c>
      <c r="AB47">
        <v>0.03</v>
      </c>
      <c r="AC47">
        <v>102419</v>
      </c>
      <c r="AD47">
        <v>1.04</v>
      </c>
      <c r="AE47">
        <v>198882</v>
      </c>
      <c r="AF47">
        <v>3.18</v>
      </c>
      <c r="AG47">
        <v>242728</v>
      </c>
      <c r="AH47">
        <v>4.07</v>
      </c>
      <c r="AI47">
        <v>2606823</v>
      </c>
      <c r="AJ47">
        <v>37.86</v>
      </c>
      <c r="AK47">
        <v>6383436</v>
      </c>
      <c r="AL47">
        <v>76.41</v>
      </c>
      <c r="AM47">
        <v>20</v>
      </c>
      <c r="AN47">
        <v>145624</v>
      </c>
      <c r="AO47">
        <v>1.33</v>
      </c>
    </row>
    <row r="48" spans="1:41" x14ac:dyDescent="0.2">
      <c r="A48">
        <v>67</v>
      </c>
      <c r="B48">
        <v>85615478</v>
      </c>
      <c r="C48">
        <v>37274073</v>
      </c>
      <c r="D48">
        <v>8055375</v>
      </c>
      <c r="E48" t="s">
        <v>2090</v>
      </c>
      <c r="F48">
        <v>130944926</v>
      </c>
      <c r="G48">
        <v>105516</v>
      </c>
      <c r="H48">
        <v>10945</v>
      </c>
      <c r="I48">
        <v>2092</v>
      </c>
      <c r="J48">
        <v>118553</v>
      </c>
      <c r="K48">
        <v>5546722</v>
      </c>
      <c r="L48">
        <v>62.92</v>
      </c>
      <c r="M48">
        <v>1041025</v>
      </c>
      <c r="N48">
        <v>21.05</v>
      </c>
      <c r="O48">
        <v>1104862</v>
      </c>
      <c r="P48">
        <v>4</v>
      </c>
      <c r="Q48" t="s">
        <v>2090</v>
      </c>
      <c r="R48" t="s">
        <v>2090</v>
      </c>
      <c r="S48">
        <v>588440</v>
      </c>
      <c r="T48">
        <v>13.06</v>
      </c>
      <c r="U48">
        <v>746658</v>
      </c>
      <c r="V48">
        <v>5.28</v>
      </c>
      <c r="W48">
        <v>728335</v>
      </c>
      <c r="X48">
        <v>1.85</v>
      </c>
      <c r="Y48" t="s">
        <v>2090</v>
      </c>
      <c r="Z48" t="s">
        <v>2090</v>
      </c>
      <c r="AA48">
        <v>193340</v>
      </c>
      <c r="AB48">
        <v>2.3199999999999998</v>
      </c>
      <c r="AC48">
        <v>1300595</v>
      </c>
      <c r="AD48">
        <v>13.46</v>
      </c>
      <c r="AE48">
        <v>831943</v>
      </c>
      <c r="AF48">
        <v>11.57</v>
      </c>
      <c r="AG48">
        <v>982113</v>
      </c>
      <c r="AH48">
        <v>17.190000000000001</v>
      </c>
      <c r="AI48">
        <v>12246705</v>
      </c>
      <c r="AJ48">
        <v>159.65</v>
      </c>
      <c r="AK48">
        <v>28213346</v>
      </c>
      <c r="AL48">
        <v>356.1</v>
      </c>
      <c r="AM48">
        <v>49</v>
      </c>
      <c r="AN48">
        <v>2902608</v>
      </c>
      <c r="AO48">
        <v>43.75</v>
      </c>
    </row>
    <row r="49" spans="1:41" x14ac:dyDescent="0.2">
      <c r="A49">
        <v>69</v>
      </c>
      <c r="B49">
        <v>3849489</v>
      </c>
      <c r="C49">
        <v>523133</v>
      </c>
      <c r="D49">
        <v>719912</v>
      </c>
      <c r="E49">
        <v>4143327</v>
      </c>
      <c r="F49">
        <v>9235861</v>
      </c>
      <c r="G49">
        <v>8611</v>
      </c>
      <c r="H49">
        <v>818</v>
      </c>
      <c r="I49">
        <v>125</v>
      </c>
      <c r="J49">
        <v>9554</v>
      </c>
      <c r="K49">
        <v>782797</v>
      </c>
      <c r="L49">
        <v>10.51</v>
      </c>
      <c r="M49">
        <v>25619</v>
      </c>
      <c r="N49">
        <v>0.49</v>
      </c>
      <c r="O49" t="s">
        <v>2090</v>
      </c>
      <c r="P49" t="s">
        <v>2090</v>
      </c>
      <c r="Q49">
        <v>5607</v>
      </c>
      <c r="R49">
        <v>0.03</v>
      </c>
      <c r="S49" t="s">
        <v>2090</v>
      </c>
      <c r="T49" t="s">
        <v>2090</v>
      </c>
      <c r="U49">
        <v>147868</v>
      </c>
      <c r="V49">
        <v>1</v>
      </c>
      <c r="W49">
        <v>35918</v>
      </c>
      <c r="X49">
        <v>0.1</v>
      </c>
      <c r="Y49">
        <v>1893</v>
      </c>
      <c r="Z49">
        <v>0.01</v>
      </c>
      <c r="AA49" t="s">
        <v>2090</v>
      </c>
      <c r="AB49" t="s">
        <v>2090</v>
      </c>
      <c r="AC49" t="s">
        <v>2090</v>
      </c>
      <c r="AD49" t="s">
        <v>2090</v>
      </c>
      <c r="AE49">
        <v>205246</v>
      </c>
      <c r="AF49">
        <v>2.98</v>
      </c>
      <c r="AG49">
        <v>284823</v>
      </c>
      <c r="AH49">
        <v>4.07</v>
      </c>
      <c r="AI49">
        <v>1585632</v>
      </c>
      <c r="AJ49">
        <v>36.33</v>
      </c>
      <c r="AK49">
        <v>3075403</v>
      </c>
      <c r="AL49">
        <v>55.52</v>
      </c>
      <c r="AM49">
        <v>15</v>
      </c>
      <c r="AN49" t="s">
        <v>2090</v>
      </c>
      <c r="AO49" t="s">
        <v>2090</v>
      </c>
    </row>
    <row r="50" spans="1:41" x14ac:dyDescent="0.2">
      <c r="A50">
        <v>70</v>
      </c>
      <c r="B50">
        <v>2155791</v>
      </c>
      <c r="C50">
        <v>3184755</v>
      </c>
      <c r="D50">
        <v>523877</v>
      </c>
      <c r="E50">
        <v>17771380</v>
      </c>
      <c r="F50">
        <v>23635803</v>
      </c>
      <c r="G50">
        <v>15330</v>
      </c>
      <c r="H50">
        <v>2763</v>
      </c>
      <c r="I50">
        <v>45</v>
      </c>
      <c r="J50">
        <v>18138</v>
      </c>
      <c r="K50">
        <v>2872883</v>
      </c>
      <c r="L50">
        <v>32.44</v>
      </c>
      <c r="M50">
        <v>221086</v>
      </c>
      <c r="N50">
        <v>4.45</v>
      </c>
      <c r="O50">
        <v>333491</v>
      </c>
      <c r="P50">
        <v>1.36</v>
      </c>
      <c r="Q50">
        <v>574159</v>
      </c>
      <c r="R50">
        <v>4.21</v>
      </c>
      <c r="S50">
        <v>331770</v>
      </c>
      <c r="T50">
        <v>7.58</v>
      </c>
      <c r="U50">
        <v>296427</v>
      </c>
      <c r="V50">
        <v>1.92</v>
      </c>
      <c r="W50">
        <v>1591992</v>
      </c>
      <c r="X50">
        <v>4.33</v>
      </c>
      <c r="Y50">
        <v>377069</v>
      </c>
      <c r="Z50">
        <v>2.4500000000000002</v>
      </c>
      <c r="AA50">
        <v>70754</v>
      </c>
      <c r="AB50">
        <v>0.86</v>
      </c>
      <c r="AC50">
        <v>370388</v>
      </c>
      <c r="AD50">
        <v>3.91</v>
      </c>
      <c r="AE50">
        <v>441441</v>
      </c>
      <c r="AF50">
        <v>4.32</v>
      </c>
      <c r="AG50">
        <v>265734</v>
      </c>
      <c r="AH50">
        <v>3.97</v>
      </c>
      <c r="AI50">
        <v>1410836</v>
      </c>
      <c r="AJ50">
        <v>19.75</v>
      </c>
      <c r="AK50">
        <v>9740023</v>
      </c>
      <c r="AL50">
        <v>100.35</v>
      </c>
      <c r="AM50">
        <v>18</v>
      </c>
      <c r="AN50">
        <v>581993</v>
      </c>
      <c r="AO50">
        <v>8.8000000000000007</v>
      </c>
    </row>
    <row r="51" spans="1:41" x14ac:dyDescent="0.2">
      <c r="A51">
        <v>71</v>
      </c>
      <c r="B51">
        <v>76634733</v>
      </c>
      <c r="C51">
        <v>11065567</v>
      </c>
      <c r="D51">
        <v>29583154</v>
      </c>
      <c r="E51">
        <v>129282329</v>
      </c>
      <c r="F51">
        <v>246565783</v>
      </c>
      <c r="G51">
        <v>175243</v>
      </c>
      <c r="H51">
        <v>10097</v>
      </c>
      <c r="I51">
        <v>3610</v>
      </c>
      <c r="J51">
        <v>188950</v>
      </c>
      <c r="K51">
        <v>11272685</v>
      </c>
      <c r="L51">
        <v>120.39</v>
      </c>
      <c r="M51">
        <v>2207462</v>
      </c>
      <c r="N51">
        <v>47.89</v>
      </c>
      <c r="O51">
        <v>2125114</v>
      </c>
      <c r="P51">
        <v>9.2100000000000009</v>
      </c>
      <c r="Q51" t="s">
        <v>2090</v>
      </c>
      <c r="R51" t="s">
        <v>2090</v>
      </c>
      <c r="S51">
        <v>947096</v>
      </c>
      <c r="T51">
        <v>24.69</v>
      </c>
      <c r="U51">
        <v>1137896</v>
      </c>
      <c r="V51">
        <v>7.81</v>
      </c>
      <c r="W51" t="s">
        <v>2090</v>
      </c>
      <c r="X51" t="s">
        <v>2090</v>
      </c>
      <c r="Y51" t="s">
        <v>2090</v>
      </c>
      <c r="Z51" t="s">
        <v>2090</v>
      </c>
      <c r="AA51">
        <v>499613</v>
      </c>
      <c r="AB51">
        <v>6.76</v>
      </c>
      <c r="AC51">
        <v>1210057</v>
      </c>
      <c r="AD51">
        <v>13.59</v>
      </c>
      <c r="AE51">
        <v>1846163</v>
      </c>
      <c r="AF51">
        <v>24.06</v>
      </c>
      <c r="AG51">
        <v>1433598</v>
      </c>
      <c r="AH51">
        <v>23.32</v>
      </c>
      <c r="AI51">
        <v>16264307</v>
      </c>
      <c r="AJ51">
        <v>297.87</v>
      </c>
      <c r="AK51">
        <v>42458065</v>
      </c>
      <c r="AL51">
        <v>637.87</v>
      </c>
      <c r="AM51">
        <v>94</v>
      </c>
      <c r="AN51">
        <v>3514074</v>
      </c>
      <c r="AO51">
        <v>62.28</v>
      </c>
    </row>
    <row r="52" spans="1:41" x14ac:dyDescent="0.2">
      <c r="A52">
        <v>72</v>
      </c>
      <c r="B52">
        <v>7121622</v>
      </c>
      <c r="C52">
        <v>3552648</v>
      </c>
      <c r="D52">
        <v>2316183</v>
      </c>
      <c r="E52">
        <v>11652507</v>
      </c>
      <c r="F52">
        <v>24642960</v>
      </c>
      <c r="G52">
        <v>31386</v>
      </c>
      <c r="H52">
        <v>4119</v>
      </c>
      <c r="I52">
        <v>671</v>
      </c>
      <c r="J52">
        <v>36176</v>
      </c>
      <c r="K52">
        <v>1378966</v>
      </c>
      <c r="L52">
        <v>14.35</v>
      </c>
      <c r="M52">
        <v>29319</v>
      </c>
      <c r="N52">
        <v>0.63</v>
      </c>
      <c r="O52">
        <v>66355</v>
      </c>
      <c r="P52">
        <v>0.25</v>
      </c>
      <c r="Q52">
        <v>305781</v>
      </c>
      <c r="R52">
        <v>2.9</v>
      </c>
      <c r="S52">
        <v>213290</v>
      </c>
      <c r="T52">
        <v>5.23</v>
      </c>
      <c r="U52" t="s">
        <v>2090</v>
      </c>
      <c r="V52" t="s">
        <v>2090</v>
      </c>
      <c r="W52">
        <v>1034511</v>
      </c>
      <c r="X52">
        <v>5.96</v>
      </c>
      <c r="Y52">
        <v>60874</v>
      </c>
      <c r="Z52">
        <v>0.52</v>
      </c>
      <c r="AA52">
        <v>90362</v>
      </c>
      <c r="AB52">
        <v>1.33</v>
      </c>
      <c r="AC52">
        <v>210190</v>
      </c>
      <c r="AD52">
        <v>2.91</v>
      </c>
      <c r="AE52">
        <v>427063</v>
      </c>
      <c r="AF52">
        <v>5.57</v>
      </c>
      <c r="AG52">
        <v>402253</v>
      </c>
      <c r="AH52">
        <v>7.1</v>
      </c>
      <c r="AI52">
        <v>1707136</v>
      </c>
      <c r="AJ52">
        <v>32.21</v>
      </c>
      <c r="AK52">
        <v>6779444</v>
      </c>
      <c r="AL52">
        <v>99.44</v>
      </c>
      <c r="AM52">
        <v>25</v>
      </c>
      <c r="AN52">
        <v>853344</v>
      </c>
      <c r="AO52">
        <v>20.48</v>
      </c>
    </row>
    <row r="53" spans="1:41" x14ac:dyDescent="0.2">
      <c r="A53">
        <v>74</v>
      </c>
      <c r="B53">
        <v>44408824</v>
      </c>
      <c r="C53">
        <v>19479244</v>
      </c>
      <c r="D53">
        <v>41068608</v>
      </c>
      <c r="E53">
        <v>78907862</v>
      </c>
      <c r="F53">
        <v>183864538</v>
      </c>
      <c r="G53">
        <v>30975</v>
      </c>
      <c r="H53">
        <v>13322</v>
      </c>
      <c r="I53">
        <v>4553</v>
      </c>
      <c r="J53">
        <v>48850</v>
      </c>
      <c r="K53">
        <v>17729390</v>
      </c>
      <c r="L53">
        <v>165.75</v>
      </c>
      <c r="M53">
        <v>119665</v>
      </c>
      <c r="N53">
        <v>1.94</v>
      </c>
      <c r="O53">
        <v>2141298</v>
      </c>
      <c r="P53">
        <v>10.67</v>
      </c>
      <c r="Q53">
        <v>706240</v>
      </c>
      <c r="R53">
        <v>4.75</v>
      </c>
      <c r="S53">
        <v>257693</v>
      </c>
      <c r="T53">
        <v>6.67</v>
      </c>
      <c r="U53">
        <v>1330092</v>
      </c>
      <c r="V53">
        <v>9.1</v>
      </c>
      <c r="W53" t="s">
        <v>2090</v>
      </c>
      <c r="X53" t="s">
        <v>2090</v>
      </c>
      <c r="Y53" t="s">
        <v>2090</v>
      </c>
      <c r="Z53" t="s">
        <v>2090</v>
      </c>
      <c r="AA53">
        <v>505676</v>
      </c>
      <c r="AB53">
        <v>5.89</v>
      </c>
      <c r="AC53">
        <v>1138996</v>
      </c>
      <c r="AD53">
        <v>12.53</v>
      </c>
      <c r="AE53">
        <v>2686754</v>
      </c>
      <c r="AF53">
        <v>29.14</v>
      </c>
      <c r="AG53">
        <v>1226458</v>
      </c>
      <c r="AH53">
        <v>17.52</v>
      </c>
      <c r="AI53">
        <v>11908291</v>
      </c>
      <c r="AJ53">
        <v>288.11</v>
      </c>
      <c r="AK53">
        <v>42299704</v>
      </c>
      <c r="AL53">
        <v>587.19000000000005</v>
      </c>
      <c r="AM53">
        <v>97</v>
      </c>
      <c r="AN53">
        <v>2549151</v>
      </c>
      <c r="AO53">
        <v>35.119999999999997</v>
      </c>
    </row>
    <row r="54" spans="1:41" x14ac:dyDescent="0.2">
      <c r="A54">
        <v>76</v>
      </c>
      <c r="B54">
        <v>11798064</v>
      </c>
      <c r="C54">
        <v>4698235</v>
      </c>
      <c r="D54">
        <v>2776808</v>
      </c>
      <c r="E54">
        <v>12800888</v>
      </c>
      <c r="F54">
        <v>32073995</v>
      </c>
      <c r="G54">
        <v>23849</v>
      </c>
      <c r="H54">
        <v>3880</v>
      </c>
      <c r="I54">
        <v>702</v>
      </c>
      <c r="J54">
        <v>28431</v>
      </c>
      <c r="K54">
        <v>2183076</v>
      </c>
      <c r="L54">
        <v>25.95</v>
      </c>
      <c r="M54">
        <v>139292</v>
      </c>
      <c r="N54">
        <v>2.98</v>
      </c>
      <c r="O54" t="s">
        <v>2090</v>
      </c>
      <c r="P54" t="s">
        <v>2090</v>
      </c>
      <c r="Q54" t="s">
        <v>2090</v>
      </c>
      <c r="R54" t="s">
        <v>2090</v>
      </c>
      <c r="S54">
        <v>157019</v>
      </c>
      <c r="T54">
        <v>4.66</v>
      </c>
      <c r="U54">
        <v>244355</v>
      </c>
      <c r="V54">
        <v>1.47</v>
      </c>
      <c r="W54" t="s">
        <v>2090</v>
      </c>
      <c r="X54" t="s">
        <v>2090</v>
      </c>
      <c r="Y54">
        <v>504187</v>
      </c>
      <c r="Z54">
        <v>3.85</v>
      </c>
      <c r="AA54">
        <v>128410</v>
      </c>
      <c r="AB54">
        <v>1.88</v>
      </c>
      <c r="AC54">
        <v>472309</v>
      </c>
      <c r="AD54">
        <v>5.0599999999999996</v>
      </c>
      <c r="AE54">
        <v>212332</v>
      </c>
      <c r="AF54">
        <v>2.91</v>
      </c>
      <c r="AG54">
        <v>156086</v>
      </c>
      <c r="AH54">
        <v>3.32</v>
      </c>
      <c r="AI54">
        <v>3721831</v>
      </c>
      <c r="AJ54">
        <v>53.71</v>
      </c>
      <c r="AK54">
        <v>8240999</v>
      </c>
      <c r="AL54">
        <v>112.45</v>
      </c>
      <c r="AM54">
        <v>34</v>
      </c>
      <c r="AN54">
        <v>322102</v>
      </c>
      <c r="AO54">
        <v>6.66</v>
      </c>
    </row>
    <row r="55" spans="1:41" x14ac:dyDescent="0.2">
      <c r="A55">
        <v>77</v>
      </c>
      <c r="B55">
        <v>6359954</v>
      </c>
      <c r="C55">
        <v>1328949</v>
      </c>
      <c r="D55">
        <v>804561</v>
      </c>
      <c r="E55">
        <v>4316814</v>
      </c>
      <c r="F55">
        <v>12810278</v>
      </c>
      <c r="G55">
        <v>9661</v>
      </c>
      <c r="H55">
        <v>1328</v>
      </c>
      <c r="I55">
        <v>221</v>
      </c>
      <c r="J55">
        <v>11210</v>
      </c>
      <c r="K55">
        <v>1662709</v>
      </c>
      <c r="L55">
        <v>23.75</v>
      </c>
      <c r="M55">
        <v>390697</v>
      </c>
      <c r="N55">
        <v>8.5</v>
      </c>
      <c r="O55" t="s">
        <v>2090</v>
      </c>
      <c r="P55" t="s">
        <v>2090</v>
      </c>
      <c r="Q55" t="s">
        <v>2090</v>
      </c>
      <c r="R55" t="s">
        <v>2090</v>
      </c>
      <c r="S55">
        <v>116775</v>
      </c>
      <c r="T55">
        <v>4</v>
      </c>
      <c r="U55">
        <v>175485</v>
      </c>
      <c r="V55">
        <v>1.25</v>
      </c>
      <c r="W55">
        <v>197213</v>
      </c>
      <c r="X55">
        <v>1</v>
      </c>
      <c r="Y55">
        <v>261380</v>
      </c>
      <c r="Z55">
        <v>2</v>
      </c>
      <c r="AA55">
        <v>29158</v>
      </c>
      <c r="AB55">
        <v>0.5</v>
      </c>
      <c r="AC55">
        <v>351440</v>
      </c>
      <c r="AD55">
        <v>3.75</v>
      </c>
      <c r="AE55">
        <v>172530</v>
      </c>
      <c r="AF55">
        <v>5.25</v>
      </c>
      <c r="AG55">
        <v>235970</v>
      </c>
      <c r="AH55">
        <v>5.75</v>
      </c>
      <c r="AI55">
        <v>1035734</v>
      </c>
      <c r="AJ55">
        <v>22.94</v>
      </c>
      <c r="AK55">
        <v>4629091</v>
      </c>
      <c r="AL55">
        <v>78.69</v>
      </c>
      <c r="AM55">
        <v>25</v>
      </c>
      <c r="AN55" t="s">
        <v>2090</v>
      </c>
      <c r="AO55" t="s">
        <v>2090</v>
      </c>
    </row>
    <row r="56" spans="1:41" x14ac:dyDescent="0.2">
      <c r="A56">
        <v>78</v>
      </c>
      <c r="B56">
        <v>135226</v>
      </c>
      <c r="C56">
        <v>1428679</v>
      </c>
      <c r="D56">
        <v>1748260</v>
      </c>
      <c r="E56">
        <v>10478707</v>
      </c>
      <c r="F56">
        <v>13790872</v>
      </c>
      <c r="G56">
        <v>10908</v>
      </c>
      <c r="H56">
        <v>634</v>
      </c>
      <c r="I56">
        <v>213</v>
      </c>
      <c r="J56">
        <v>11755</v>
      </c>
      <c r="K56">
        <v>1032281</v>
      </c>
      <c r="L56">
        <v>14.03</v>
      </c>
      <c r="M56">
        <v>204198</v>
      </c>
      <c r="N56">
        <v>4.7300000000000004</v>
      </c>
      <c r="O56" t="s">
        <v>2090</v>
      </c>
      <c r="P56" t="s">
        <v>2090</v>
      </c>
      <c r="Q56">
        <v>225245</v>
      </c>
      <c r="R56">
        <v>1.75</v>
      </c>
      <c r="S56">
        <v>38692</v>
      </c>
      <c r="T56">
        <v>1.25</v>
      </c>
      <c r="U56">
        <v>121500</v>
      </c>
      <c r="V56">
        <v>1</v>
      </c>
      <c r="W56">
        <v>679248</v>
      </c>
      <c r="X56">
        <v>2</v>
      </c>
      <c r="Y56">
        <v>261029</v>
      </c>
      <c r="Z56">
        <v>1.4</v>
      </c>
      <c r="AA56" t="s">
        <v>2090</v>
      </c>
      <c r="AB56" t="s">
        <v>2090</v>
      </c>
      <c r="AC56" t="s">
        <v>2090</v>
      </c>
      <c r="AD56" t="s">
        <v>2090</v>
      </c>
      <c r="AE56">
        <v>232723</v>
      </c>
      <c r="AF56">
        <v>3.46</v>
      </c>
      <c r="AG56">
        <v>333432</v>
      </c>
      <c r="AH56">
        <v>5.2</v>
      </c>
      <c r="AI56">
        <v>1068956</v>
      </c>
      <c r="AJ56">
        <v>22.17</v>
      </c>
      <c r="AK56">
        <v>4197304</v>
      </c>
      <c r="AL56">
        <v>56.99</v>
      </c>
      <c r="AM56">
        <v>18</v>
      </c>
      <c r="AN56" t="s">
        <v>2090</v>
      </c>
      <c r="AO56" t="s">
        <v>2090</v>
      </c>
    </row>
    <row r="57" spans="1:41" x14ac:dyDescent="0.2">
      <c r="A57">
        <v>79</v>
      </c>
      <c r="B57">
        <v>2770002</v>
      </c>
      <c r="C57">
        <v>2677952</v>
      </c>
      <c r="D57" t="s">
        <v>2090</v>
      </c>
      <c r="E57">
        <v>3033187</v>
      </c>
      <c r="F57">
        <v>8481141</v>
      </c>
      <c r="G57">
        <v>15646</v>
      </c>
      <c r="H57">
        <v>2536</v>
      </c>
      <c r="I57" t="s">
        <v>2090</v>
      </c>
      <c r="J57">
        <v>18182</v>
      </c>
      <c r="K57">
        <v>897028</v>
      </c>
      <c r="L57">
        <v>11.25</v>
      </c>
      <c r="M57">
        <v>86201</v>
      </c>
      <c r="N57">
        <v>1.78</v>
      </c>
      <c r="O57" t="s">
        <v>2090</v>
      </c>
      <c r="P57" t="s">
        <v>2090</v>
      </c>
      <c r="Q57" t="s">
        <v>2090</v>
      </c>
      <c r="R57" t="s">
        <v>2090</v>
      </c>
      <c r="S57">
        <v>149594</v>
      </c>
      <c r="T57">
        <v>3.94</v>
      </c>
      <c r="U57" t="s">
        <v>2090</v>
      </c>
      <c r="V57" t="s">
        <v>2090</v>
      </c>
      <c r="W57" t="s">
        <v>2090</v>
      </c>
      <c r="X57" t="s">
        <v>2090</v>
      </c>
      <c r="Y57" t="s">
        <v>2090</v>
      </c>
      <c r="Z57" t="s">
        <v>2090</v>
      </c>
      <c r="AA57" t="s">
        <v>2090</v>
      </c>
      <c r="AB57" t="s">
        <v>2090</v>
      </c>
      <c r="AC57">
        <v>73630</v>
      </c>
      <c r="AD57">
        <v>1.03</v>
      </c>
      <c r="AE57">
        <v>205622</v>
      </c>
      <c r="AF57">
        <v>4.5599999999999996</v>
      </c>
      <c r="AG57">
        <v>213818</v>
      </c>
      <c r="AH57">
        <v>4.8</v>
      </c>
      <c r="AI57">
        <v>159375</v>
      </c>
      <c r="AJ57">
        <v>6.14</v>
      </c>
      <c r="AK57">
        <v>1785268</v>
      </c>
      <c r="AL57">
        <v>33.5</v>
      </c>
      <c r="AM57">
        <v>10</v>
      </c>
      <c r="AN57" t="s">
        <v>2090</v>
      </c>
      <c r="AO57" t="s">
        <v>2090</v>
      </c>
    </row>
    <row r="58" spans="1:41" x14ac:dyDescent="0.2">
      <c r="A58">
        <v>80</v>
      </c>
      <c r="B58">
        <v>13751097</v>
      </c>
      <c r="C58">
        <v>5695088</v>
      </c>
      <c r="D58">
        <v>5298014</v>
      </c>
      <c r="E58">
        <v>29612595</v>
      </c>
      <c r="F58">
        <v>54356794</v>
      </c>
      <c r="G58">
        <v>49170</v>
      </c>
      <c r="H58">
        <v>4241</v>
      </c>
      <c r="I58">
        <v>930</v>
      </c>
      <c r="J58">
        <v>54341</v>
      </c>
      <c r="K58">
        <v>4168672</v>
      </c>
      <c r="L58">
        <v>48.29</v>
      </c>
      <c r="M58">
        <v>253682</v>
      </c>
      <c r="N58">
        <v>5.2</v>
      </c>
      <c r="O58" t="s">
        <v>2090</v>
      </c>
      <c r="P58" t="s">
        <v>2090</v>
      </c>
      <c r="Q58">
        <v>528071</v>
      </c>
      <c r="R58">
        <v>4.09</v>
      </c>
      <c r="S58">
        <v>315045</v>
      </c>
      <c r="T58">
        <v>8.2899999999999991</v>
      </c>
      <c r="U58">
        <v>570442</v>
      </c>
      <c r="V58">
        <v>4.1500000000000004</v>
      </c>
      <c r="W58">
        <v>281215</v>
      </c>
      <c r="X58">
        <v>0.73</v>
      </c>
      <c r="Y58">
        <v>165540</v>
      </c>
      <c r="Z58">
        <v>0.98</v>
      </c>
      <c r="AA58">
        <v>345396</v>
      </c>
      <c r="AB58">
        <v>4.3099999999999996</v>
      </c>
      <c r="AC58">
        <v>482204</v>
      </c>
      <c r="AD58">
        <v>5.9</v>
      </c>
      <c r="AE58">
        <v>640606</v>
      </c>
      <c r="AF58">
        <v>7.91</v>
      </c>
      <c r="AG58">
        <v>605725</v>
      </c>
      <c r="AH58">
        <v>8.84</v>
      </c>
      <c r="AI58">
        <v>6272957</v>
      </c>
      <c r="AJ58">
        <v>54.67</v>
      </c>
      <c r="AK58">
        <v>15492205</v>
      </c>
      <c r="AL58">
        <v>166.3</v>
      </c>
      <c r="AM58">
        <v>35</v>
      </c>
      <c r="AN58">
        <v>862650</v>
      </c>
      <c r="AO58">
        <v>12.94</v>
      </c>
    </row>
    <row r="59" spans="1:41" x14ac:dyDescent="0.2">
      <c r="A59">
        <v>81</v>
      </c>
      <c r="B59">
        <v>13122750</v>
      </c>
      <c r="C59">
        <v>4383004</v>
      </c>
      <c r="D59">
        <v>3264344</v>
      </c>
      <c r="E59">
        <v>18383775</v>
      </c>
      <c r="F59">
        <v>39153873</v>
      </c>
      <c r="G59">
        <v>27031</v>
      </c>
      <c r="H59">
        <v>3542</v>
      </c>
      <c r="I59">
        <v>873</v>
      </c>
      <c r="J59">
        <v>31446</v>
      </c>
      <c r="K59">
        <v>1995411</v>
      </c>
      <c r="L59">
        <v>23.99</v>
      </c>
      <c r="M59">
        <v>282266</v>
      </c>
      <c r="N59">
        <v>5.54</v>
      </c>
      <c r="O59" t="s">
        <v>2090</v>
      </c>
      <c r="P59" t="s">
        <v>2090</v>
      </c>
      <c r="Q59">
        <v>452168</v>
      </c>
      <c r="R59">
        <v>3.29</v>
      </c>
      <c r="S59">
        <v>109494</v>
      </c>
      <c r="T59">
        <v>3.23</v>
      </c>
      <c r="U59">
        <v>160055</v>
      </c>
      <c r="V59">
        <v>1</v>
      </c>
      <c r="W59">
        <v>365587</v>
      </c>
      <c r="X59">
        <v>1.5</v>
      </c>
      <c r="Y59">
        <v>101618</v>
      </c>
      <c r="Z59">
        <v>1</v>
      </c>
      <c r="AA59">
        <v>47651</v>
      </c>
      <c r="AB59">
        <v>0.73</v>
      </c>
      <c r="AC59">
        <v>372770</v>
      </c>
      <c r="AD59">
        <v>3.95</v>
      </c>
      <c r="AE59">
        <v>192398</v>
      </c>
      <c r="AF59">
        <v>2.58</v>
      </c>
      <c r="AG59">
        <v>258751</v>
      </c>
      <c r="AH59">
        <v>5.62</v>
      </c>
      <c r="AI59">
        <v>4114558</v>
      </c>
      <c r="AJ59">
        <v>68.849999999999994</v>
      </c>
      <c r="AK59">
        <v>9024119</v>
      </c>
      <c r="AL59">
        <v>127.58</v>
      </c>
      <c r="AM59">
        <v>28</v>
      </c>
      <c r="AN59">
        <v>571392</v>
      </c>
      <c r="AO59">
        <v>6.3</v>
      </c>
    </row>
    <row r="60" spans="1:41" x14ac:dyDescent="0.2">
      <c r="A60">
        <v>83</v>
      </c>
      <c r="B60">
        <v>14217812</v>
      </c>
      <c r="C60">
        <v>4621132</v>
      </c>
      <c r="D60">
        <v>9977131</v>
      </c>
      <c r="E60">
        <v>12298892</v>
      </c>
      <c r="F60">
        <v>41114967</v>
      </c>
      <c r="G60">
        <v>21345</v>
      </c>
      <c r="H60">
        <v>5564</v>
      </c>
      <c r="I60">
        <v>1816</v>
      </c>
      <c r="J60">
        <v>28725</v>
      </c>
      <c r="K60">
        <v>3496397</v>
      </c>
      <c r="L60">
        <v>38.51</v>
      </c>
      <c r="M60">
        <v>105681</v>
      </c>
      <c r="N60">
        <v>2.0499999999999998</v>
      </c>
      <c r="O60">
        <v>790304</v>
      </c>
      <c r="P60">
        <v>3.19</v>
      </c>
      <c r="Q60">
        <v>48193</v>
      </c>
      <c r="R60">
        <v>0.4</v>
      </c>
      <c r="S60">
        <v>159098</v>
      </c>
      <c r="T60">
        <v>4.0199999999999996</v>
      </c>
      <c r="U60">
        <v>303414</v>
      </c>
      <c r="V60">
        <v>2.48</v>
      </c>
      <c r="W60">
        <v>813178</v>
      </c>
      <c r="X60">
        <v>2</v>
      </c>
      <c r="Y60" t="s">
        <v>2090</v>
      </c>
      <c r="Z60" t="s">
        <v>2090</v>
      </c>
      <c r="AA60">
        <v>421218</v>
      </c>
      <c r="AB60">
        <v>6.16</v>
      </c>
      <c r="AC60">
        <v>335024</v>
      </c>
      <c r="AD60">
        <v>4.2300000000000004</v>
      </c>
      <c r="AE60">
        <v>534749</v>
      </c>
      <c r="AF60">
        <v>7.36</v>
      </c>
      <c r="AG60">
        <v>389310</v>
      </c>
      <c r="AH60">
        <v>5.86</v>
      </c>
      <c r="AI60">
        <v>5611906</v>
      </c>
      <c r="AJ60">
        <v>96.7</v>
      </c>
      <c r="AK60">
        <v>13008472</v>
      </c>
      <c r="AL60">
        <v>172.96</v>
      </c>
      <c r="AM60">
        <v>25</v>
      </c>
      <c r="AN60" t="s">
        <v>2090</v>
      </c>
      <c r="AO60" t="s">
        <v>2090</v>
      </c>
    </row>
    <row r="61" spans="1:41" x14ac:dyDescent="0.2">
      <c r="A61">
        <v>84</v>
      </c>
      <c r="B61">
        <v>118078134</v>
      </c>
      <c r="C61">
        <v>152487128</v>
      </c>
      <c r="D61">
        <v>226180256</v>
      </c>
      <c r="E61">
        <v>257877430</v>
      </c>
      <c r="F61">
        <v>754622948</v>
      </c>
      <c r="G61">
        <v>88856</v>
      </c>
      <c r="H61">
        <v>92314</v>
      </c>
      <c r="I61">
        <v>13882</v>
      </c>
      <c r="J61">
        <v>195052</v>
      </c>
      <c r="K61">
        <v>137110647</v>
      </c>
      <c r="L61">
        <v>1221.8599999999999</v>
      </c>
      <c r="M61">
        <v>430091</v>
      </c>
      <c r="N61">
        <v>6.79</v>
      </c>
      <c r="O61" t="s">
        <v>2090</v>
      </c>
      <c r="P61" t="s">
        <v>2090</v>
      </c>
      <c r="Q61">
        <v>2433834</v>
      </c>
      <c r="R61">
        <v>17.53</v>
      </c>
      <c r="S61">
        <v>12109679</v>
      </c>
      <c r="T61">
        <v>250.15</v>
      </c>
      <c r="U61">
        <v>8002318</v>
      </c>
      <c r="V61">
        <v>52.36</v>
      </c>
      <c r="W61">
        <v>37720494</v>
      </c>
      <c r="X61">
        <v>87.74</v>
      </c>
      <c r="Y61">
        <v>318</v>
      </c>
      <c r="Z61">
        <v>0.01</v>
      </c>
      <c r="AA61">
        <v>1766035</v>
      </c>
      <c r="AB61">
        <v>22.02</v>
      </c>
      <c r="AC61">
        <v>2188553</v>
      </c>
      <c r="AD61">
        <v>25.55</v>
      </c>
      <c r="AE61">
        <v>9808286</v>
      </c>
      <c r="AF61">
        <v>112.43</v>
      </c>
      <c r="AG61">
        <v>5882320</v>
      </c>
      <c r="AH61">
        <v>94.84</v>
      </c>
      <c r="AI61">
        <v>33526335</v>
      </c>
      <c r="AJ61">
        <v>494.91</v>
      </c>
      <c r="AK61">
        <v>272696184</v>
      </c>
      <c r="AL61">
        <v>2731.4</v>
      </c>
      <c r="AM61">
        <v>546</v>
      </c>
      <c r="AN61">
        <v>21717274</v>
      </c>
      <c r="AO61">
        <v>345.21</v>
      </c>
    </row>
    <row r="62" spans="1:41" x14ac:dyDescent="0.2">
      <c r="A62">
        <v>85</v>
      </c>
      <c r="B62">
        <v>94356257</v>
      </c>
      <c r="C62">
        <v>22691933</v>
      </c>
      <c r="D62">
        <v>21949787</v>
      </c>
      <c r="E62">
        <v>57427047</v>
      </c>
      <c r="F62">
        <v>196425024</v>
      </c>
      <c r="G62">
        <v>38323</v>
      </c>
      <c r="H62">
        <v>12233</v>
      </c>
      <c r="I62">
        <v>2280</v>
      </c>
      <c r="J62">
        <v>52836</v>
      </c>
      <c r="K62">
        <v>14470619</v>
      </c>
      <c r="L62">
        <v>150.66</v>
      </c>
      <c r="M62">
        <v>1828938</v>
      </c>
      <c r="N62">
        <v>35.06</v>
      </c>
      <c r="O62">
        <v>2138215</v>
      </c>
      <c r="P62">
        <v>6.95</v>
      </c>
      <c r="Q62">
        <v>2588278</v>
      </c>
      <c r="R62">
        <v>16.38</v>
      </c>
      <c r="S62">
        <v>1218124</v>
      </c>
      <c r="T62">
        <v>27.88</v>
      </c>
      <c r="U62">
        <v>817060</v>
      </c>
      <c r="V62">
        <v>5.19</v>
      </c>
      <c r="W62">
        <v>7595604</v>
      </c>
      <c r="X62">
        <v>21.42</v>
      </c>
      <c r="Y62">
        <v>490680</v>
      </c>
      <c r="Z62">
        <v>3.04</v>
      </c>
      <c r="AA62">
        <v>274202</v>
      </c>
      <c r="AB62">
        <v>3.66</v>
      </c>
      <c r="AC62">
        <v>579736</v>
      </c>
      <c r="AD62">
        <v>6.09</v>
      </c>
      <c r="AE62">
        <v>1842574</v>
      </c>
      <c r="AF62">
        <v>23.79</v>
      </c>
      <c r="AG62">
        <v>850901</v>
      </c>
      <c r="AH62">
        <v>15.15</v>
      </c>
      <c r="AI62">
        <v>18809994</v>
      </c>
      <c r="AJ62">
        <v>320.7</v>
      </c>
      <c r="AK62">
        <v>58488544</v>
      </c>
      <c r="AL62">
        <v>710.18</v>
      </c>
      <c r="AM62">
        <v>175</v>
      </c>
      <c r="AN62">
        <v>4983619</v>
      </c>
      <c r="AO62">
        <v>74.209999999999994</v>
      </c>
    </row>
    <row r="63" spans="1:41" x14ac:dyDescent="0.2">
      <c r="A63">
        <v>86</v>
      </c>
      <c r="B63">
        <v>334108509</v>
      </c>
      <c r="C63">
        <v>40554652</v>
      </c>
      <c r="D63">
        <v>176198220</v>
      </c>
      <c r="E63" t="s">
        <v>2090</v>
      </c>
      <c r="F63">
        <v>550861381</v>
      </c>
      <c r="G63">
        <v>451791</v>
      </c>
      <c r="H63">
        <v>50610</v>
      </c>
      <c r="I63">
        <v>15334</v>
      </c>
      <c r="J63">
        <v>517735</v>
      </c>
      <c r="K63">
        <v>90337445</v>
      </c>
      <c r="L63">
        <v>844.75</v>
      </c>
      <c r="M63">
        <v>88679</v>
      </c>
      <c r="N63">
        <v>1.61</v>
      </c>
      <c r="O63">
        <v>12782983</v>
      </c>
      <c r="P63">
        <v>64.260000000000005</v>
      </c>
      <c r="Q63" t="s">
        <v>2090</v>
      </c>
      <c r="R63" t="s">
        <v>2090</v>
      </c>
      <c r="S63">
        <v>14698285</v>
      </c>
      <c r="T63">
        <v>316.55</v>
      </c>
      <c r="U63">
        <v>6815120</v>
      </c>
      <c r="V63">
        <v>45.92</v>
      </c>
      <c r="W63">
        <v>2156595</v>
      </c>
      <c r="X63">
        <v>8.68</v>
      </c>
      <c r="Y63">
        <v>321911</v>
      </c>
      <c r="Z63">
        <v>1.38</v>
      </c>
      <c r="AA63">
        <v>1361018</v>
      </c>
      <c r="AB63">
        <v>17.600000000000001</v>
      </c>
      <c r="AC63">
        <v>2750863</v>
      </c>
      <c r="AD63">
        <v>32.700000000000003</v>
      </c>
      <c r="AE63">
        <v>3797420</v>
      </c>
      <c r="AF63">
        <v>47.03</v>
      </c>
      <c r="AG63">
        <v>5100926</v>
      </c>
      <c r="AH63">
        <v>65.209999999999994</v>
      </c>
      <c r="AI63">
        <v>46897897</v>
      </c>
      <c r="AJ63">
        <v>730.06</v>
      </c>
      <c r="AK63">
        <v>225531034</v>
      </c>
      <c r="AL63">
        <v>2738.73</v>
      </c>
      <c r="AM63">
        <v>426</v>
      </c>
      <c r="AN63">
        <v>38421892</v>
      </c>
      <c r="AO63">
        <v>562.98</v>
      </c>
    </row>
    <row r="64" spans="1:41" x14ac:dyDescent="0.2">
      <c r="A64">
        <v>90</v>
      </c>
      <c r="B64">
        <v>389073727</v>
      </c>
      <c r="C64" t="s">
        <v>2090</v>
      </c>
      <c r="D64">
        <v>108657623</v>
      </c>
      <c r="E64">
        <v>189057912</v>
      </c>
      <c r="F64">
        <v>686789262</v>
      </c>
      <c r="G64">
        <v>448335</v>
      </c>
      <c r="H64" t="s">
        <v>2090</v>
      </c>
      <c r="I64">
        <v>5052</v>
      </c>
      <c r="J64">
        <v>453387</v>
      </c>
      <c r="K64">
        <v>28863831</v>
      </c>
      <c r="L64">
        <v>325.63</v>
      </c>
      <c r="M64">
        <v>403895</v>
      </c>
      <c r="N64">
        <v>6.85</v>
      </c>
      <c r="O64" t="s">
        <v>2090</v>
      </c>
      <c r="P64" t="s">
        <v>2090</v>
      </c>
      <c r="Q64">
        <v>11814613</v>
      </c>
      <c r="R64">
        <v>83.25</v>
      </c>
      <c r="S64">
        <v>1257053</v>
      </c>
      <c r="T64">
        <v>33.409999999999997</v>
      </c>
      <c r="U64">
        <v>2010362</v>
      </c>
      <c r="V64">
        <v>14.58</v>
      </c>
      <c r="W64">
        <v>121557687</v>
      </c>
      <c r="X64">
        <v>284.98</v>
      </c>
      <c r="Y64">
        <v>5938773</v>
      </c>
      <c r="Z64">
        <v>42.94</v>
      </c>
      <c r="AA64">
        <v>1228644</v>
      </c>
      <c r="AB64">
        <v>16.82</v>
      </c>
      <c r="AC64">
        <v>1794955</v>
      </c>
      <c r="AD64">
        <v>20.62</v>
      </c>
      <c r="AE64">
        <v>2340856</v>
      </c>
      <c r="AF64">
        <v>35.130000000000003</v>
      </c>
      <c r="AG64">
        <v>1091644</v>
      </c>
      <c r="AH64">
        <v>23.89</v>
      </c>
      <c r="AI64">
        <v>31625188</v>
      </c>
      <c r="AJ64">
        <v>551.80999999999995</v>
      </c>
      <c r="AK64">
        <v>236472323</v>
      </c>
      <c r="AL64">
        <v>1912.99</v>
      </c>
      <c r="AM64">
        <v>165</v>
      </c>
      <c r="AN64">
        <v>26544822</v>
      </c>
      <c r="AO64">
        <v>473.08</v>
      </c>
    </row>
    <row r="65" spans="1:41" x14ac:dyDescent="0.2">
      <c r="A65">
        <v>91</v>
      </c>
      <c r="B65">
        <v>51265622</v>
      </c>
      <c r="C65">
        <v>31773250</v>
      </c>
      <c r="D65">
        <v>77591479</v>
      </c>
      <c r="E65">
        <v>295240097</v>
      </c>
      <c r="F65">
        <v>455870448</v>
      </c>
      <c r="G65">
        <v>156730</v>
      </c>
      <c r="H65">
        <v>52668</v>
      </c>
      <c r="I65">
        <v>10334</v>
      </c>
      <c r="J65">
        <v>219732</v>
      </c>
      <c r="K65">
        <v>124457160</v>
      </c>
      <c r="L65">
        <v>1163.0899999999999</v>
      </c>
      <c r="M65">
        <v>35265</v>
      </c>
      <c r="N65">
        <v>1.02</v>
      </c>
      <c r="O65">
        <v>6073108</v>
      </c>
      <c r="P65">
        <v>31.1</v>
      </c>
      <c r="Q65">
        <v>21851507</v>
      </c>
      <c r="R65">
        <v>148.15</v>
      </c>
      <c r="S65">
        <v>4711470</v>
      </c>
      <c r="T65">
        <v>120.83</v>
      </c>
      <c r="U65">
        <v>8326726</v>
      </c>
      <c r="V65">
        <v>63.64</v>
      </c>
      <c r="W65">
        <v>46375489</v>
      </c>
      <c r="X65">
        <v>149.16999999999999</v>
      </c>
      <c r="Y65">
        <v>1550949</v>
      </c>
      <c r="Z65">
        <v>13.1</v>
      </c>
      <c r="AA65">
        <v>1811034</v>
      </c>
      <c r="AB65">
        <v>26.5</v>
      </c>
      <c r="AC65">
        <v>2255045</v>
      </c>
      <c r="AD65">
        <v>31.72</v>
      </c>
      <c r="AE65">
        <v>5854441</v>
      </c>
      <c r="AF65">
        <v>73.05</v>
      </c>
      <c r="AG65">
        <v>5745361</v>
      </c>
      <c r="AH65">
        <v>92.49</v>
      </c>
      <c r="AI65">
        <v>144123351</v>
      </c>
      <c r="AJ65">
        <v>1767.03</v>
      </c>
      <c r="AK65">
        <v>381895771</v>
      </c>
      <c r="AL65">
        <v>3862.7</v>
      </c>
      <c r="AM65">
        <v>279</v>
      </c>
      <c r="AN65">
        <v>8724865</v>
      </c>
      <c r="AO65">
        <v>181.81</v>
      </c>
    </row>
    <row r="66" spans="1:41" x14ac:dyDescent="0.2">
      <c r="A66">
        <v>92</v>
      </c>
      <c r="B66">
        <v>2221903</v>
      </c>
      <c r="C66">
        <v>3478863</v>
      </c>
      <c r="D66">
        <v>840170</v>
      </c>
      <c r="E66">
        <v>4526357</v>
      </c>
      <c r="F66">
        <v>11067293</v>
      </c>
      <c r="G66">
        <v>6225</v>
      </c>
      <c r="H66">
        <v>1304</v>
      </c>
      <c r="I66">
        <v>132</v>
      </c>
      <c r="J66">
        <v>7661</v>
      </c>
      <c r="K66">
        <v>1226238</v>
      </c>
      <c r="L66">
        <v>14.24</v>
      </c>
      <c r="M66">
        <v>0</v>
      </c>
      <c r="N66">
        <v>0</v>
      </c>
      <c r="O66">
        <v>16612</v>
      </c>
      <c r="P66">
        <v>0.06</v>
      </c>
      <c r="Q66" t="s">
        <v>2090</v>
      </c>
      <c r="R66" t="s">
        <v>2090</v>
      </c>
      <c r="S66" t="s">
        <v>2090</v>
      </c>
      <c r="T66" t="s">
        <v>2090</v>
      </c>
      <c r="U66" t="s">
        <v>2090</v>
      </c>
      <c r="V66" t="s">
        <v>2090</v>
      </c>
      <c r="W66" t="s">
        <v>2090</v>
      </c>
      <c r="X66" t="s">
        <v>2090</v>
      </c>
      <c r="Y66" t="s">
        <v>2090</v>
      </c>
      <c r="Z66" t="s">
        <v>2090</v>
      </c>
      <c r="AA66" t="s">
        <v>2090</v>
      </c>
      <c r="AB66" t="s">
        <v>2090</v>
      </c>
      <c r="AC66" t="s">
        <v>2090</v>
      </c>
      <c r="AD66" t="s">
        <v>2090</v>
      </c>
      <c r="AE66">
        <v>229902</v>
      </c>
      <c r="AF66">
        <v>3.37</v>
      </c>
      <c r="AG66">
        <v>286061</v>
      </c>
      <c r="AH66">
        <v>4.9800000000000004</v>
      </c>
      <c r="AI66">
        <v>890365</v>
      </c>
      <c r="AJ66">
        <v>19.190000000000001</v>
      </c>
      <c r="AK66">
        <v>2670796</v>
      </c>
      <c r="AL66">
        <v>42.38</v>
      </c>
      <c r="AM66">
        <v>15</v>
      </c>
      <c r="AN66">
        <v>21618</v>
      </c>
      <c r="AO66">
        <v>0.54</v>
      </c>
    </row>
    <row r="67" spans="1:41" x14ac:dyDescent="0.2">
      <c r="A67">
        <v>94</v>
      </c>
      <c r="B67">
        <v>24959701</v>
      </c>
      <c r="C67">
        <v>13372132</v>
      </c>
      <c r="D67">
        <v>6121924</v>
      </c>
      <c r="E67">
        <v>41623190</v>
      </c>
      <c r="F67">
        <v>86076947</v>
      </c>
      <c r="G67">
        <v>18612</v>
      </c>
      <c r="H67">
        <v>11423</v>
      </c>
      <c r="I67">
        <v>305</v>
      </c>
      <c r="J67">
        <v>30340</v>
      </c>
      <c r="K67">
        <v>7409813</v>
      </c>
      <c r="L67">
        <v>74.989999999999995</v>
      </c>
      <c r="M67">
        <v>176635</v>
      </c>
      <c r="N67">
        <v>3.86</v>
      </c>
      <c r="O67" t="s">
        <v>2090</v>
      </c>
      <c r="P67" t="s">
        <v>2090</v>
      </c>
      <c r="Q67">
        <v>522530</v>
      </c>
      <c r="R67">
        <v>2.2599999999999998</v>
      </c>
      <c r="S67">
        <v>864315</v>
      </c>
      <c r="T67">
        <v>21.49</v>
      </c>
      <c r="U67">
        <v>714267</v>
      </c>
      <c r="V67">
        <v>4.9000000000000004</v>
      </c>
      <c r="W67">
        <v>4207555</v>
      </c>
      <c r="X67">
        <v>8.4</v>
      </c>
      <c r="Y67" t="s">
        <v>2090</v>
      </c>
      <c r="Z67" t="s">
        <v>2090</v>
      </c>
      <c r="AA67" t="s">
        <v>2090</v>
      </c>
      <c r="AB67" t="s">
        <v>2090</v>
      </c>
      <c r="AC67" t="s">
        <v>2090</v>
      </c>
      <c r="AD67" t="s">
        <v>2090</v>
      </c>
      <c r="AE67">
        <v>770329</v>
      </c>
      <c r="AF67">
        <v>8.84</v>
      </c>
      <c r="AG67">
        <v>800209</v>
      </c>
      <c r="AH67">
        <v>14.05</v>
      </c>
      <c r="AI67">
        <v>8451649</v>
      </c>
      <c r="AJ67">
        <v>147.87</v>
      </c>
      <c r="AK67">
        <v>26604714</v>
      </c>
      <c r="AL67">
        <v>327.68</v>
      </c>
      <c r="AM67">
        <v>39</v>
      </c>
      <c r="AN67">
        <v>2687412</v>
      </c>
      <c r="AO67">
        <v>41.02</v>
      </c>
    </row>
    <row r="68" spans="1:41" x14ac:dyDescent="0.2">
      <c r="A68">
        <v>98</v>
      </c>
      <c r="B68">
        <v>16255506</v>
      </c>
      <c r="C68">
        <v>4573926</v>
      </c>
      <c r="D68">
        <v>4713326</v>
      </c>
      <c r="E68">
        <v>9241026</v>
      </c>
      <c r="F68">
        <v>34783784</v>
      </c>
      <c r="G68">
        <v>16951</v>
      </c>
      <c r="H68">
        <v>3717</v>
      </c>
      <c r="I68">
        <v>867</v>
      </c>
      <c r="J68">
        <v>21535</v>
      </c>
      <c r="K68">
        <v>3038331</v>
      </c>
      <c r="L68">
        <v>33.950000000000003</v>
      </c>
      <c r="M68">
        <v>144514</v>
      </c>
      <c r="N68">
        <v>2.39</v>
      </c>
      <c r="O68" t="s">
        <v>2090</v>
      </c>
      <c r="P68" t="s">
        <v>2090</v>
      </c>
      <c r="Q68">
        <v>75929</v>
      </c>
      <c r="R68">
        <v>0.65</v>
      </c>
      <c r="S68">
        <v>302888</v>
      </c>
      <c r="T68">
        <v>7.29</v>
      </c>
      <c r="U68" t="s">
        <v>2090</v>
      </c>
      <c r="V68" t="s">
        <v>2090</v>
      </c>
      <c r="W68" t="s">
        <v>2090</v>
      </c>
      <c r="X68" t="s">
        <v>2090</v>
      </c>
      <c r="Y68">
        <v>40313</v>
      </c>
      <c r="Z68">
        <v>0.35</v>
      </c>
      <c r="AA68">
        <v>188271</v>
      </c>
      <c r="AB68">
        <v>2.6</v>
      </c>
      <c r="AC68">
        <v>599504</v>
      </c>
      <c r="AD68">
        <v>7.15</v>
      </c>
      <c r="AE68">
        <v>401494</v>
      </c>
      <c r="AF68">
        <v>4.7</v>
      </c>
      <c r="AG68">
        <v>373335</v>
      </c>
      <c r="AH68">
        <v>4.8600000000000003</v>
      </c>
      <c r="AI68">
        <v>3337850</v>
      </c>
      <c r="AJ68">
        <v>58.55</v>
      </c>
      <c r="AK68">
        <v>9173266</v>
      </c>
      <c r="AL68">
        <v>131.44999999999999</v>
      </c>
      <c r="AM68">
        <v>25</v>
      </c>
      <c r="AN68">
        <v>670837</v>
      </c>
      <c r="AO68">
        <v>8.9600000000000009</v>
      </c>
    </row>
    <row r="69" spans="1:41" x14ac:dyDescent="0.2">
      <c r="A69">
        <v>99</v>
      </c>
      <c r="B69">
        <v>4855337</v>
      </c>
      <c r="C69">
        <v>1711770</v>
      </c>
      <c r="D69">
        <v>1673278</v>
      </c>
      <c r="E69">
        <v>6818663</v>
      </c>
      <c r="F69">
        <v>15059048</v>
      </c>
      <c r="G69">
        <v>11161</v>
      </c>
      <c r="H69">
        <v>1197</v>
      </c>
      <c r="I69">
        <v>181</v>
      </c>
      <c r="J69">
        <v>12539</v>
      </c>
      <c r="K69">
        <v>1511292</v>
      </c>
      <c r="L69">
        <v>19.66</v>
      </c>
      <c r="M69" t="s">
        <v>2090</v>
      </c>
      <c r="N69" t="s">
        <v>2090</v>
      </c>
      <c r="O69">
        <v>164950</v>
      </c>
      <c r="P69">
        <v>0.9</v>
      </c>
      <c r="Q69" t="s">
        <v>2090</v>
      </c>
      <c r="R69" t="s">
        <v>2090</v>
      </c>
      <c r="S69">
        <v>10734</v>
      </c>
      <c r="T69">
        <v>0.36</v>
      </c>
      <c r="U69">
        <v>136222</v>
      </c>
      <c r="V69">
        <v>1.1399999999999999</v>
      </c>
      <c r="W69">
        <v>409615</v>
      </c>
      <c r="X69">
        <v>1</v>
      </c>
      <c r="Y69">
        <v>638528</v>
      </c>
      <c r="Z69">
        <v>4.28</v>
      </c>
      <c r="AA69" t="s">
        <v>2090</v>
      </c>
      <c r="AB69" t="s">
        <v>2090</v>
      </c>
      <c r="AC69" t="s">
        <v>2090</v>
      </c>
      <c r="AD69" t="s">
        <v>2090</v>
      </c>
      <c r="AE69">
        <v>202736</v>
      </c>
      <c r="AF69">
        <v>3.21</v>
      </c>
      <c r="AG69">
        <v>262667</v>
      </c>
      <c r="AH69">
        <v>5.22</v>
      </c>
      <c r="AI69">
        <v>1738390</v>
      </c>
      <c r="AJ69">
        <v>35.39</v>
      </c>
      <c r="AK69">
        <v>5075134</v>
      </c>
      <c r="AL69">
        <v>71.16</v>
      </c>
      <c r="AM69">
        <v>25</v>
      </c>
      <c r="AN69" t="s">
        <v>2090</v>
      </c>
      <c r="AO69" t="s">
        <v>2090</v>
      </c>
    </row>
    <row r="70" spans="1:41" x14ac:dyDescent="0.2">
      <c r="A70">
        <v>100</v>
      </c>
      <c r="B70">
        <v>268036327</v>
      </c>
      <c r="C70">
        <v>32712596</v>
      </c>
      <c r="D70">
        <v>28921426</v>
      </c>
      <c r="E70">
        <v>113407622</v>
      </c>
      <c r="F70">
        <v>443077971</v>
      </c>
      <c r="G70">
        <v>235553</v>
      </c>
      <c r="H70">
        <v>32133</v>
      </c>
      <c r="I70">
        <v>3101</v>
      </c>
      <c r="J70">
        <v>270787</v>
      </c>
      <c r="K70">
        <v>22914397</v>
      </c>
      <c r="L70">
        <v>260.54000000000002</v>
      </c>
      <c r="M70">
        <v>4505360</v>
      </c>
      <c r="N70">
        <v>87.89</v>
      </c>
      <c r="O70">
        <v>1952003</v>
      </c>
      <c r="P70">
        <v>8.4499999999999993</v>
      </c>
      <c r="Q70">
        <v>5764774</v>
      </c>
      <c r="R70">
        <v>43.05</v>
      </c>
      <c r="S70">
        <v>2278692</v>
      </c>
      <c r="T70">
        <v>59.36</v>
      </c>
      <c r="U70">
        <v>2653145</v>
      </c>
      <c r="V70">
        <v>17.64</v>
      </c>
      <c r="W70">
        <v>39561260</v>
      </c>
      <c r="X70">
        <v>95.71</v>
      </c>
      <c r="Y70">
        <v>2745719</v>
      </c>
      <c r="Z70">
        <v>19.66</v>
      </c>
      <c r="AA70">
        <v>414496</v>
      </c>
      <c r="AB70">
        <v>5.4</v>
      </c>
      <c r="AC70">
        <v>835732</v>
      </c>
      <c r="AD70">
        <v>9.06</v>
      </c>
      <c r="AE70">
        <v>2919725</v>
      </c>
      <c r="AF70">
        <v>40.630000000000003</v>
      </c>
      <c r="AG70">
        <v>2020261</v>
      </c>
      <c r="AH70">
        <v>40.82</v>
      </c>
      <c r="AI70">
        <v>32247193</v>
      </c>
      <c r="AJ70">
        <v>481.45</v>
      </c>
      <c r="AK70">
        <v>128424157</v>
      </c>
      <c r="AL70">
        <v>1317.47</v>
      </c>
      <c r="AM70">
        <v>159</v>
      </c>
      <c r="AN70">
        <v>7611400</v>
      </c>
      <c r="AO70">
        <v>147.81</v>
      </c>
    </row>
    <row r="71" spans="1:41" x14ac:dyDescent="0.2">
      <c r="A71">
        <v>102</v>
      </c>
      <c r="B71">
        <v>88030089</v>
      </c>
      <c r="C71">
        <v>27001213</v>
      </c>
      <c r="D71">
        <v>45303493</v>
      </c>
      <c r="E71">
        <v>322560438</v>
      </c>
      <c r="F71">
        <v>482895233</v>
      </c>
      <c r="G71">
        <v>250454</v>
      </c>
      <c r="H71">
        <v>21782</v>
      </c>
      <c r="I71">
        <v>8284</v>
      </c>
      <c r="J71">
        <v>280520</v>
      </c>
      <c r="K71">
        <v>25727426</v>
      </c>
      <c r="L71">
        <v>296.89</v>
      </c>
      <c r="M71">
        <v>2513763</v>
      </c>
      <c r="N71">
        <v>56.91</v>
      </c>
      <c r="O71" t="s">
        <v>2090</v>
      </c>
      <c r="P71" t="s">
        <v>2090</v>
      </c>
      <c r="Q71">
        <v>2644924</v>
      </c>
      <c r="R71">
        <v>19.39</v>
      </c>
      <c r="S71">
        <v>2627710</v>
      </c>
      <c r="T71">
        <v>68.06</v>
      </c>
      <c r="U71">
        <v>2141845</v>
      </c>
      <c r="V71">
        <v>15.59</v>
      </c>
      <c r="W71">
        <v>39176048</v>
      </c>
      <c r="X71">
        <v>86.76</v>
      </c>
      <c r="Y71">
        <v>2185758</v>
      </c>
      <c r="Z71">
        <v>13.68</v>
      </c>
      <c r="AA71">
        <v>696961</v>
      </c>
      <c r="AB71">
        <v>9.6</v>
      </c>
      <c r="AC71">
        <v>2012003</v>
      </c>
      <c r="AD71">
        <v>23.78</v>
      </c>
      <c r="AE71">
        <v>2414256</v>
      </c>
      <c r="AF71">
        <v>34.909999999999997</v>
      </c>
      <c r="AG71">
        <v>2457308</v>
      </c>
      <c r="AH71">
        <v>47.47</v>
      </c>
      <c r="AI71">
        <v>20401984</v>
      </c>
      <c r="AJ71">
        <v>376.83</v>
      </c>
      <c r="AK71">
        <v>115465216</v>
      </c>
      <c r="AL71">
        <v>1214.02</v>
      </c>
      <c r="AM71">
        <v>118</v>
      </c>
      <c r="AN71">
        <v>10465230</v>
      </c>
      <c r="AO71">
        <v>164.15</v>
      </c>
    </row>
    <row r="72" spans="1:41" x14ac:dyDescent="0.2">
      <c r="A72">
        <v>103</v>
      </c>
      <c r="B72">
        <v>146262925</v>
      </c>
      <c r="C72">
        <v>54803363</v>
      </c>
      <c r="D72">
        <v>70213222</v>
      </c>
      <c r="E72">
        <v>192729595</v>
      </c>
      <c r="F72">
        <v>464009105</v>
      </c>
      <c r="G72">
        <v>65401</v>
      </c>
      <c r="H72">
        <v>56687</v>
      </c>
      <c r="I72">
        <v>6035</v>
      </c>
      <c r="J72">
        <v>128123</v>
      </c>
      <c r="K72">
        <v>86412407</v>
      </c>
      <c r="L72">
        <v>802.79</v>
      </c>
      <c r="M72">
        <v>203794</v>
      </c>
      <c r="N72">
        <v>4.09</v>
      </c>
      <c r="O72">
        <v>7798447</v>
      </c>
      <c r="P72">
        <v>36.32</v>
      </c>
      <c r="Q72">
        <v>4508</v>
      </c>
      <c r="R72">
        <v>0.04</v>
      </c>
      <c r="S72">
        <v>9316973</v>
      </c>
      <c r="T72">
        <v>195.49</v>
      </c>
      <c r="U72">
        <v>4826994</v>
      </c>
      <c r="V72">
        <v>33.07</v>
      </c>
      <c r="W72">
        <v>7346171</v>
      </c>
      <c r="X72">
        <v>26.38</v>
      </c>
      <c r="Y72">
        <v>127533</v>
      </c>
      <c r="Z72">
        <v>1</v>
      </c>
      <c r="AA72">
        <v>1740251</v>
      </c>
      <c r="AB72">
        <v>22.62</v>
      </c>
      <c r="AC72">
        <v>1590790</v>
      </c>
      <c r="AD72">
        <v>19.41</v>
      </c>
      <c r="AE72">
        <v>6911090</v>
      </c>
      <c r="AF72">
        <v>84.65</v>
      </c>
      <c r="AG72">
        <v>4737031</v>
      </c>
      <c r="AH72">
        <v>73.16</v>
      </c>
      <c r="AI72">
        <v>72665701</v>
      </c>
      <c r="AJ72">
        <v>1001.4</v>
      </c>
      <c r="AK72">
        <v>222720027</v>
      </c>
      <c r="AL72">
        <v>2597.37</v>
      </c>
      <c r="AM72">
        <v>518</v>
      </c>
      <c r="AN72">
        <v>19038337</v>
      </c>
      <c r="AO72">
        <v>296.95</v>
      </c>
    </row>
    <row r="73" spans="1:41" x14ac:dyDescent="0.2">
      <c r="A73">
        <v>104</v>
      </c>
      <c r="B73">
        <v>6330070</v>
      </c>
      <c r="C73">
        <v>1476521</v>
      </c>
      <c r="D73">
        <v>3763966</v>
      </c>
      <c r="E73">
        <v>5850641</v>
      </c>
      <c r="F73">
        <v>17421198</v>
      </c>
      <c r="G73">
        <v>16378</v>
      </c>
      <c r="H73">
        <v>1309</v>
      </c>
      <c r="I73">
        <v>592</v>
      </c>
      <c r="J73">
        <v>18279</v>
      </c>
      <c r="K73">
        <v>2038852</v>
      </c>
      <c r="L73">
        <v>24.1</v>
      </c>
      <c r="M73" t="s">
        <v>2090</v>
      </c>
      <c r="N73" t="s">
        <v>2090</v>
      </c>
      <c r="O73" t="s">
        <v>2090</v>
      </c>
      <c r="P73" t="s">
        <v>2090</v>
      </c>
      <c r="Q73">
        <v>122800</v>
      </c>
      <c r="R73">
        <v>1</v>
      </c>
      <c r="S73">
        <v>103664</v>
      </c>
      <c r="T73">
        <v>2.79</v>
      </c>
      <c r="U73">
        <v>480144</v>
      </c>
      <c r="V73">
        <v>4.03</v>
      </c>
      <c r="W73">
        <v>389907</v>
      </c>
      <c r="X73">
        <v>0.83</v>
      </c>
      <c r="Y73" t="s">
        <v>2090</v>
      </c>
      <c r="Z73" t="s">
        <v>2090</v>
      </c>
      <c r="AA73">
        <v>47146</v>
      </c>
      <c r="AB73">
        <v>0.64</v>
      </c>
      <c r="AC73">
        <v>264557</v>
      </c>
      <c r="AD73">
        <v>2.78</v>
      </c>
      <c r="AE73">
        <v>370239</v>
      </c>
      <c r="AF73">
        <v>6.22</v>
      </c>
      <c r="AG73">
        <v>397727</v>
      </c>
      <c r="AH73">
        <v>8.27</v>
      </c>
      <c r="AI73">
        <v>777078</v>
      </c>
      <c r="AJ73">
        <v>16.71</v>
      </c>
      <c r="AK73">
        <v>5486769</v>
      </c>
      <c r="AL73">
        <v>78.2</v>
      </c>
      <c r="AM73">
        <v>20</v>
      </c>
      <c r="AN73">
        <v>494655</v>
      </c>
      <c r="AO73">
        <v>10.83</v>
      </c>
    </row>
    <row r="74" spans="1:41" x14ac:dyDescent="0.2">
      <c r="A74">
        <v>105</v>
      </c>
      <c r="B74">
        <v>72579947</v>
      </c>
      <c r="C74">
        <v>33722775</v>
      </c>
      <c r="D74">
        <v>27780249</v>
      </c>
      <c r="E74" t="s">
        <v>2090</v>
      </c>
      <c r="F74">
        <v>134082971</v>
      </c>
      <c r="G74">
        <v>23920</v>
      </c>
      <c r="H74">
        <v>10465</v>
      </c>
      <c r="I74">
        <v>3207</v>
      </c>
      <c r="J74">
        <v>37592</v>
      </c>
      <c r="K74">
        <v>8823982</v>
      </c>
      <c r="L74">
        <v>87.54</v>
      </c>
      <c r="M74">
        <v>119428</v>
      </c>
      <c r="N74">
        <v>2.2599999999999998</v>
      </c>
      <c r="O74">
        <v>1371800</v>
      </c>
      <c r="P74">
        <v>5.51</v>
      </c>
      <c r="Q74">
        <v>149255</v>
      </c>
      <c r="R74">
        <v>1.3</v>
      </c>
      <c r="S74">
        <v>342719</v>
      </c>
      <c r="T74">
        <v>8.1999999999999993</v>
      </c>
      <c r="U74">
        <v>626989</v>
      </c>
      <c r="V74">
        <v>3.57</v>
      </c>
      <c r="W74">
        <v>3352237</v>
      </c>
      <c r="X74">
        <v>8.15</v>
      </c>
      <c r="Y74" t="s">
        <v>2090</v>
      </c>
      <c r="Z74" t="s">
        <v>2090</v>
      </c>
      <c r="AA74">
        <v>315917</v>
      </c>
      <c r="AB74">
        <v>3.41</v>
      </c>
      <c r="AC74">
        <v>1062298</v>
      </c>
      <c r="AD74">
        <v>12.1</v>
      </c>
      <c r="AE74">
        <v>1138030</v>
      </c>
      <c r="AF74">
        <v>14.73</v>
      </c>
      <c r="AG74">
        <v>693159</v>
      </c>
      <c r="AH74">
        <v>11.44</v>
      </c>
      <c r="AI74">
        <v>13127916</v>
      </c>
      <c r="AJ74">
        <v>178.44</v>
      </c>
      <c r="AK74">
        <v>31594213</v>
      </c>
      <c r="AL74">
        <v>343.29</v>
      </c>
      <c r="AM74">
        <v>37</v>
      </c>
      <c r="AN74">
        <v>470483</v>
      </c>
      <c r="AO74">
        <v>6.64</v>
      </c>
    </row>
    <row r="75" spans="1:41" x14ac:dyDescent="0.2">
      <c r="A75">
        <v>106</v>
      </c>
      <c r="B75">
        <v>2011759</v>
      </c>
      <c r="C75">
        <v>8224705</v>
      </c>
      <c r="D75">
        <v>8788237</v>
      </c>
      <c r="E75">
        <v>77176657</v>
      </c>
      <c r="F75">
        <v>96201358</v>
      </c>
      <c r="G75">
        <v>59552</v>
      </c>
      <c r="H75">
        <v>5769</v>
      </c>
      <c r="I75">
        <v>2258</v>
      </c>
      <c r="J75">
        <v>67579</v>
      </c>
      <c r="K75">
        <v>5904383</v>
      </c>
      <c r="L75">
        <v>67.569999999999993</v>
      </c>
      <c r="M75">
        <v>1463707</v>
      </c>
      <c r="N75">
        <v>31.6</v>
      </c>
      <c r="O75">
        <v>263979</v>
      </c>
      <c r="P75">
        <v>1</v>
      </c>
      <c r="Q75">
        <v>1327337</v>
      </c>
      <c r="R75">
        <v>8.3800000000000008</v>
      </c>
      <c r="S75">
        <v>31185</v>
      </c>
      <c r="T75">
        <v>0.95</v>
      </c>
      <c r="U75">
        <v>423060</v>
      </c>
      <c r="V75">
        <v>2.99</v>
      </c>
      <c r="W75">
        <v>5913255</v>
      </c>
      <c r="X75">
        <v>18.18</v>
      </c>
      <c r="Y75">
        <v>24390</v>
      </c>
      <c r="Z75">
        <v>0.18</v>
      </c>
      <c r="AA75">
        <v>179140</v>
      </c>
      <c r="AB75">
        <v>2.3199999999999998</v>
      </c>
      <c r="AC75">
        <v>317213</v>
      </c>
      <c r="AD75">
        <v>3.99</v>
      </c>
      <c r="AE75">
        <v>935259</v>
      </c>
      <c r="AF75">
        <v>13.28</v>
      </c>
      <c r="AG75">
        <v>1090164</v>
      </c>
      <c r="AH75">
        <v>19.18</v>
      </c>
      <c r="AI75">
        <v>5917509</v>
      </c>
      <c r="AJ75">
        <v>117.53</v>
      </c>
      <c r="AK75">
        <v>25307317</v>
      </c>
      <c r="AL75">
        <v>314.66000000000003</v>
      </c>
      <c r="AM75">
        <v>26</v>
      </c>
      <c r="AN75">
        <v>1516736</v>
      </c>
      <c r="AO75">
        <v>27.51</v>
      </c>
    </row>
    <row r="76" spans="1:41" x14ac:dyDescent="0.2">
      <c r="A76">
        <v>107</v>
      </c>
      <c r="B76">
        <v>191514575</v>
      </c>
      <c r="C76">
        <v>41783737</v>
      </c>
      <c r="D76">
        <v>85073352</v>
      </c>
      <c r="E76">
        <v>21187230</v>
      </c>
      <c r="F76">
        <v>339558894</v>
      </c>
      <c r="G76">
        <v>413777</v>
      </c>
      <c r="H76">
        <v>17788</v>
      </c>
      <c r="I76">
        <v>3384</v>
      </c>
      <c r="J76">
        <v>434949</v>
      </c>
      <c r="K76">
        <v>18574132</v>
      </c>
      <c r="L76">
        <v>192.42</v>
      </c>
      <c r="M76">
        <v>2653124</v>
      </c>
      <c r="N76">
        <v>48.33</v>
      </c>
      <c r="O76">
        <v>1625685</v>
      </c>
      <c r="P76">
        <v>7.02</v>
      </c>
      <c r="Q76">
        <v>3705062</v>
      </c>
      <c r="R76">
        <v>28.24</v>
      </c>
      <c r="S76">
        <v>2147207</v>
      </c>
      <c r="T76">
        <v>44.02</v>
      </c>
      <c r="U76">
        <v>1737773</v>
      </c>
      <c r="V76">
        <v>10.81</v>
      </c>
      <c r="W76">
        <v>34240160</v>
      </c>
      <c r="X76">
        <v>74.52</v>
      </c>
      <c r="Y76">
        <v>2414601</v>
      </c>
      <c r="Z76">
        <v>18.149999999999999</v>
      </c>
      <c r="AA76">
        <v>280318</v>
      </c>
      <c r="AB76">
        <v>3.14</v>
      </c>
      <c r="AC76">
        <v>927454</v>
      </c>
      <c r="AD76">
        <v>9.9499999999999993</v>
      </c>
      <c r="AE76">
        <v>3287774</v>
      </c>
      <c r="AF76">
        <v>40.39</v>
      </c>
      <c r="AG76">
        <v>2316843</v>
      </c>
      <c r="AH76">
        <v>41</v>
      </c>
      <c r="AI76">
        <v>28298997</v>
      </c>
      <c r="AJ76">
        <v>422.59</v>
      </c>
      <c r="AK76">
        <v>108760114</v>
      </c>
      <c r="AL76">
        <v>1015.85</v>
      </c>
      <c r="AM76">
        <v>61</v>
      </c>
      <c r="AN76">
        <v>6550984</v>
      </c>
      <c r="AO76">
        <v>75.27</v>
      </c>
    </row>
    <row r="77" spans="1:41" x14ac:dyDescent="0.2">
      <c r="A77">
        <v>108</v>
      </c>
      <c r="B77">
        <v>17793669</v>
      </c>
      <c r="C77">
        <v>967752</v>
      </c>
      <c r="D77">
        <v>2542033</v>
      </c>
      <c r="E77">
        <v>5421104</v>
      </c>
      <c r="F77">
        <v>26724558</v>
      </c>
      <c r="G77">
        <v>30230</v>
      </c>
      <c r="H77">
        <v>1134</v>
      </c>
      <c r="I77">
        <v>701</v>
      </c>
      <c r="J77">
        <v>32065</v>
      </c>
      <c r="K77">
        <v>2396054</v>
      </c>
      <c r="L77">
        <v>31.3</v>
      </c>
      <c r="M77">
        <v>132504</v>
      </c>
      <c r="N77">
        <v>2.16</v>
      </c>
      <c r="O77">
        <v>418695</v>
      </c>
      <c r="P77">
        <v>2</v>
      </c>
      <c r="Q77">
        <v>124197</v>
      </c>
      <c r="R77">
        <v>0.9</v>
      </c>
      <c r="S77">
        <v>65435</v>
      </c>
      <c r="T77">
        <v>1.77</v>
      </c>
      <c r="U77">
        <v>248435</v>
      </c>
      <c r="V77">
        <v>1.98</v>
      </c>
      <c r="W77" t="s">
        <v>2090</v>
      </c>
      <c r="X77" t="s">
        <v>2090</v>
      </c>
      <c r="Y77" t="s">
        <v>2090</v>
      </c>
      <c r="Z77" t="s">
        <v>2090</v>
      </c>
      <c r="AA77" t="s">
        <v>2090</v>
      </c>
      <c r="AB77" t="s">
        <v>2090</v>
      </c>
      <c r="AC77" t="s">
        <v>2090</v>
      </c>
      <c r="AD77" t="s">
        <v>2090</v>
      </c>
      <c r="AE77">
        <v>284732</v>
      </c>
      <c r="AF77">
        <v>4.1500000000000004</v>
      </c>
      <c r="AG77">
        <v>358161</v>
      </c>
      <c r="AH77">
        <v>5.65</v>
      </c>
      <c r="AI77">
        <v>3144933</v>
      </c>
      <c r="AJ77">
        <v>64.88</v>
      </c>
      <c r="AK77">
        <v>7173146</v>
      </c>
      <c r="AL77">
        <v>114.79</v>
      </c>
      <c r="AM77">
        <v>25</v>
      </c>
      <c r="AN77" t="s">
        <v>2090</v>
      </c>
      <c r="AO77" t="s">
        <v>2090</v>
      </c>
    </row>
    <row r="78" spans="1:41" x14ac:dyDescent="0.2">
      <c r="A78">
        <v>110</v>
      </c>
      <c r="B78">
        <v>8755848</v>
      </c>
      <c r="C78">
        <v>4754416</v>
      </c>
      <c r="D78">
        <v>2965294</v>
      </c>
      <c r="E78">
        <v>23641906</v>
      </c>
      <c r="F78">
        <v>40117464</v>
      </c>
      <c r="G78">
        <v>35916</v>
      </c>
      <c r="H78">
        <v>3640</v>
      </c>
      <c r="I78">
        <v>643</v>
      </c>
      <c r="J78">
        <v>40199</v>
      </c>
      <c r="K78">
        <v>2700154</v>
      </c>
      <c r="L78">
        <v>31.78</v>
      </c>
      <c r="M78">
        <v>123608</v>
      </c>
      <c r="N78">
        <v>2.4700000000000002</v>
      </c>
      <c r="O78" t="s">
        <v>2090</v>
      </c>
      <c r="P78" t="s">
        <v>2090</v>
      </c>
      <c r="Q78">
        <v>117382</v>
      </c>
      <c r="R78">
        <v>0.92</v>
      </c>
      <c r="S78">
        <v>161802</v>
      </c>
      <c r="T78">
        <v>4.5</v>
      </c>
      <c r="U78">
        <v>375825</v>
      </c>
      <c r="V78">
        <v>2.54</v>
      </c>
      <c r="W78">
        <v>277681</v>
      </c>
      <c r="X78">
        <v>1.1000000000000001</v>
      </c>
      <c r="Y78">
        <v>562</v>
      </c>
      <c r="Z78">
        <v>0.01</v>
      </c>
      <c r="AA78">
        <v>177660</v>
      </c>
      <c r="AB78">
        <v>2.2799999999999998</v>
      </c>
      <c r="AC78">
        <v>485771</v>
      </c>
      <c r="AD78">
        <v>5.28</v>
      </c>
      <c r="AE78">
        <v>486624</v>
      </c>
      <c r="AF78">
        <v>6.86</v>
      </c>
      <c r="AG78">
        <v>667075</v>
      </c>
      <c r="AH78">
        <v>12.3</v>
      </c>
      <c r="AI78">
        <v>4397160</v>
      </c>
      <c r="AJ78">
        <v>89.31</v>
      </c>
      <c r="AK78">
        <v>10812752</v>
      </c>
      <c r="AL78">
        <v>172.33</v>
      </c>
      <c r="AM78">
        <v>30</v>
      </c>
      <c r="AN78">
        <v>841448</v>
      </c>
      <c r="AO78">
        <v>12.98</v>
      </c>
    </row>
    <row r="79" spans="1:41" x14ac:dyDescent="0.2">
      <c r="A79">
        <v>112</v>
      </c>
      <c r="B79">
        <v>25715006</v>
      </c>
      <c r="C79">
        <v>7506576</v>
      </c>
      <c r="D79">
        <v>6405036</v>
      </c>
      <c r="E79">
        <v>35382753</v>
      </c>
      <c r="F79">
        <v>75009371</v>
      </c>
      <c r="G79">
        <v>66983</v>
      </c>
      <c r="H79">
        <v>5667</v>
      </c>
      <c r="I79">
        <v>1557</v>
      </c>
      <c r="J79">
        <v>74207</v>
      </c>
      <c r="K79">
        <v>4080745</v>
      </c>
      <c r="L79">
        <v>49.33</v>
      </c>
      <c r="M79">
        <v>1494</v>
      </c>
      <c r="N79">
        <v>0.02</v>
      </c>
      <c r="O79">
        <v>773860</v>
      </c>
      <c r="P79">
        <v>2.84</v>
      </c>
      <c r="Q79" t="s">
        <v>2090</v>
      </c>
      <c r="R79" t="s">
        <v>2090</v>
      </c>
      <c r="S79">
        <v>194395</v>
      </c>
      <c r="T79">
        <v>5.37</v>
      </c>
      <c r="U79" t="s">
        <v>2090</v>
      </c>
      <c r="V79" t="s">
        <v>2090</v>
      </c>
      <c r="W79" t="s">
        <v>2090</v>
      </c>
      <c r="X79" t="s">
        <v>2090</v>
      </c>
      <c r="Y79" t="s">
        <v>2090</v>
      </c>
      <c r="Z79" t="s">
        <v>2090</v>
      </c>
      <c r="AA79">
        <v>239178</v>
      </c>
      <c r="AB79">
        <v>3.05</v>
      </c>
      <c r="AC79">
        <v>513501</v>
      </c>
      <c r="AD79">
        <v>5.39</v>
      </c>
      <c r="AE79">
        <v>638570</v>
      </c>
      <c r="AF79">
        <v>9.42</v>
      </c>
      <c r="AG79">
        <v>478626</v>
      </c>
      <c r="AH79">
        <v>8.5299999999999994</v>
      </c>
      <c r="AI79">
        <v>9276820</v>
      </c>
      <c r="AJ79">
        <v>146.53</v>
      </c>
      <c r="AK79">
        <v>17431402</v>
      </c>
      <c r="AL79">
        <v>251.51</v>
      </c>
      <c r="AM79">
        <v>25</v>
      </c>
      <c r="AN79">
        <v>1234213</v>
      </c>
      <c r="AO79">
        <v>21.03</v>
      </c>
    </row>
    <row r="80" spans="1:41" x14ac:dyDescent="0.2">
      <c r="A80">
        <v>113</v>
      </c>
      <c r="B80">
        <v>10852900</v>
      </c>
      <c r="C80">
        <v>3433343</v>
      </c>
      <c r="D80">
        <v>3087893</v>
      </c>
      <c r="E80">
        <v>18802226</v>
      </c>
      <c r="F80">
        <v>36176362</v>
      </c>
      <c r="G80">
        <v>29864</v>
      </c>
      <c r="H80">
        <v>2341</v>
      </c>
      <c r="I80">
        <v>633</v>
      </c>
      <c r="J80">
        <v>32838</v>
      </c>
      <c r="K80">
        <v>2646040</v>
      </c>
      <c r="L80">
        <v>32.520000000000003</v>
      </c>
      <c r="M80">
        <v>435518</v>
      </c>
      <c r="N80">
        <v>9.64</v>
      </c>
      <c r="O80">
        <v>680178</v>
      </c>
      <c r="P80">
        <v>3</v>
      </c>
      <c r="Q80" t="s">
        <v>2090</v>
      </c>
      <c r="R80" t="s">
        <v>2090</v>
      </c>
      <c r="S80">
        <v>66463</v>
      </c>
      <c r="T80">
        <v>1.91</v>
      </c>
      <c r="U80" t="s">
        <v>2090</v>
      </c>
      <c r="V80" t="s">
        <v>2090</v>
      </c>
      <c r="W80" t="s">
        <v>2090</v>
      </c>
      <c r="X80" t="s">
        <v>2090</v>
      </c>
      <c r="Y80" t="s">
        <v>2090</v>
      </c>
      <c r="Z80" t="s">
        <v>2090</v>
      </c>
      <c r="AA80">
        <v>192462</v>
      </c>
      <c r="AB80">
        <v>2.4900000000000002</v>
      </c>
      <c r="AC80">
        <v>364085</v>
      </c>
      <c r="AD80">
        <v>4.05</v>
      </c>
      <c r="AE80">
        <v>533514</v>
      </c>
      <c r="AF80">
        <v>8.0500000000000007</v>
      </c>
      <c r="AG80">
        <v>613583</v>
      </c>
      <c r="AH80">
        <v>10.97</v>
      </c>
      <c r="AI80">
        <v>2913390</v>
      </c>
      <c r="AJ80">
        <v>66.02</v>
      </c>
      <c r="AK80">
        <v>9390603</v>
      </c>
      <c r="AL80">
        <v>159.15</v>
      </c>
      <c r="AM80">
        <v>44</v>
      </c>
      <c r="AN80">
        <v>945370</v>
      </c>
      <c r="AO80">
        <v>20.5</v>
      </c>
    </row>
    <row r="81" spans="1:41" x14ac:dyDescent="0.2">
      <c r="A81">
        <v>114</v>
      </c>
      <c r="B81">
        <v>5440739</v>
      </c>
      <c r="C81">
        <v>6327704</v>
      </c>
      <c r="D81">
        <v>4152533</v>
      </c>
      <c r="E81">
        <v>49876372</v>
      </c>
      <c r="F81">
        <v>65797348</v>
      </c>
      <c r="G81">
        <v>28225</v>
      </c>
      <c r="H81">
        <v>5499</v>
      </c>
      <c r="I81">
        <v>548</v>
      </c>
      <c r="J81">
        <v>34272</v>
      </c>
      <c r="K81">
        <v>4998891</v>
      </c>
      <c r="L81">
        <v>52.87</v>
      </c>
      <c r="M81">
        <v>183003</v>
      </c>
      <c r="N81">
        <v>3.05</v>
      </c>
      <c r="O81">
        <v>770863</v>
      </c>
      <c r="P81">
        <v>3.1</v>
      </c>
      <c r="Q81">
        <v>266256</v>
      </c>
      <c r="R81">
        <v>1.97</v>
      </c>
      <c r="S81">
        <v>175817</v>
      </c>
      <c r="T81">
        <v>4.2300000000000004</v>
      </c>
      <c r="U81">
        <v>272388</v>
      </c>
      <c r="V81">
        <v>1.77</v>
      </c>
      <c r="W81">
        <v>4478358</v>
      </c>
      <c r="X81">
        <v>11.22</v>
      </c>
      <c r="Y81">
        <v>25290</v>
      </c>
      <c r="Z81">
        <v>0.18</v>
      </c>
      <c r="AA81">
        <v>120986</v>
      </c>
      <c r="AB81">
        <v>1.49</v>
      </c>
      <c r="AC81">
        <v>621405</v>
      </c>
      <c r="AD81">
        <v>6.99</v>
      </c>
      <c r="AE81">
        <v>848690</v>
      </c>
      <c r="AF81">
        <v>10.82</v>
      </c>
      <c r="AG81">
        <v>512735</v>
      </c>
      <c r="AH81">
        <v>7.56</v>
      </c>
      <c r="AI81">
        <v>2232294</v>
      </c>
      <c r="AJ81">
        <v>45.76</v>
      </c>
      <c r="AK81">
        <v>16411519</v>
      </c>
      <c r="AL81">
        <v>167.23</v>
      </c>
      <c r="AM81">
        <v>49</v>
      </c>
      <c r="AN81">
        <v>904543</v>
      </c>
      <c r="AO81">
        <v>16.22</v>
      </c>
    </row>
    <row r="82" spans="1:41" x14ac:dyDescent="0.2">
      <c r="A82">
        <v>115</v>
      </c>
      <c r="B82">
        <v>26850854</v>
      </c>
      <c r="C82">
        <v>12060921</v>
      </c>
      <c r="D82">
        <v>14130173</v>
      </c>
      <c r="E82">
        <v>41209293</v>
      </c>
      <c r="F82">
        <v>94251241</v>
      </c>
      <c r="G82">
        <v>15395</v>
      </c>
      <c r="H82">
        <v>8897</v>
      </c>
      <c r="I82">
        <v>2573</v>
      </c>
      <c r="J82">
        <v>26865</v>
      </c>
      <c r="K82">
        <v>9401280</v>
      </c>
      <c r="L82">
        <v>83.63</v>
      </c>
      <c r="M82">
        <v>77277</v>
      </c>
      <c r="N82">
        <v>1.31</v>
      </c>
      <c r="O82" t="s">
        <v>2090</v>
      </c>
      <c r="P82" t="s">
        <v>2090</v>
      </c>
      <c r="Q82">
        <v>119032</v>
      </c>
      <c r="R82">
        <v>0.97</v>
      </c>
      <c r="S82">
        <v>41117</v>
      </c>
      <c r="T82">
        <v>1.02</v>
      </c>
      <c r="U82">
        <v>770019</v>
      </c>
      <c r="V82">
        <v>5.19</v>
      </c>
      <c r="W82">
        <v>1672587</v>
      </c>
      <c r="X82">
        <v>3.88</v>
      </c>
      <c r="Y82" t="s">
        <v>2090</v>
      </c>
      <c r="Z82" t="s">
        <v>2090</v>
      </c>
      <c r="AA82">
        <v>161382</v>
      </c>
      <c r="AB82">
        <v>2.0299999999999998</v>
      </c>
      <c r="AC82">
        <v>1025583</v>
      </c>
      <c r="AD82">
        <v>11.76</v>
      </c>
      <c r="AE82">
        <v>1440032</v>
      </c>
      <c r="AF82">
        <v>18.309999999999999</v>
      </c>
      <c r="AG82">
        <v>851970</v>
      </c>
      <c r="AH82">
        <v>13.1</v>
      </c>
      <c r="AI82">
        <v>4883304</v>
      </c>
      <c r="AJ82">
        <v>86.13</v>
      </c>
      <c r="AK82">
        <v>22200887</v>
      </c>
      <c r="AL82">
        <v>256.33999999999997</v>
      </c>
      <c r="AM82">
        <v>57</v>
      </c>
      <c r="AN82">
        <v>1757304</v>
      </c>
      <c r="AO82">
        <v>29.01</v>
      </c>
    </row>
    <row r="83" spans="1:41" x14ac:dyDescent="0.2">
      <c r="A83">
        <v>116</v>
      </c>
      <c r="B83">
        <v>19768060</v>
      </c>
      <c r="C83">
        <v>1900775</v>
      </c>
      <c r="D83">
        <v>4181705</v>
      </c>
      <c r="E83">
        <v>12164960</v>
      </c>
      <c r="F83">
        <v>38015500</v>
      </c>
      <c r="G83">
        <v>42254</v>
      </c>
      <c r="H83">
        <v>2705</v>
      </c>
      <c r="I83">
        <v>1541</v>
      </c>
      <c r="J83">
        <v>46500</v>
      </c>
      <c r="K83">
        <v>2673783</v>
      </c>
      <c r="L83">
        <v>28.06</v>
      </c>
      <c r="M83">
        <v>586833</v>
      </c>
      <c r="N83">
        <v>12.88</v>
      </c>
      <c r="O83">
        <v>703610</v>
      </c>
      <c r="P83">
        <v>2.06</v>
      </c>
      <c r="Q83">
        <v>589175</v>
      </c>
      <c r="R83">
        <v>4.26</v>
      </c>
      <c r="S83">
        <v>23891</v>
      </c>
      <c r="T83">
        <v>0.71</v>
      </c>
      <c r="U83">
        <v>148964</v>
      </c>
      <c r="V83">
        <v>1.36</v>
      </c>
      <c r="W83">
        <v>1692015</v>
      </c>
      <c r="X83">
        <v>5.87</v>
      </c>
      <c r="Y83">
        <v>274376</v>
      </c>
      <c r="Z83">
        <v>1.82</v>
      </c>
      <c r="AA83" t="s">
        <v>2090</v>
      </c>
      <c r="AB83" t="s">
        <v>2090</v>
      </c>
      <c r="AC83" t="s">
        <v>2090</v>
      </c>
      <c r="AD83" t="s">
        <v>2090</v>
      </c>
      <c r="AE83">
        <v>371559</v>
      </c>
      <c r="AF83">
        <v>5</v>
      </c>
      <c r="AG83">
        <v>372372</v>
      </c>
      <c r="AH83">
        <v>5.55</v>
      </c>
      <c r="AI83">
        <v>3702182</v>
      </c>
      <c r="AJ83">
        <v>53.43</v>
      </c>
      <c r="AK83">
        <v>11454027</v>
      </c>
      <c r="AL83">
        <v>126.45</v>
      </c>
      <c r="AM83">
        <v>16</v>
      </c>
      <c r="AN83">
        <v>315267</v>
      </c>
      <c r="AO83">
        <v>5.45</v>
      </c>
    </row>
    <row r="84" spans="1:41" x14ac:dyDescent="0.2">
      <c r="A84">
        <v>117</v>
      </c>
      <c r="B84">
        <v>23755478</v>
      </c>
      <c r="C84">
        <v>14187843</v>
      </c>
      <c r="D84">
        <v>12914908</v>
      </c>
      <c r="E84">
        <v>38514605</v>
      </c>
      <c r="F84">
        <v>89372834</v>
      </c>
      <c r="G84">
        <v>11622</v>
      </c>
      <c r="H84">
        <v>11132</v>
      </c>
      <c r="I84">
        <v>1702</v>
      </c>
      <c r="J84">
        <v>24456</v>
      </c>
      <c r="K84">
        <v>7248577</v>
      </c>
      <c r="L84">
        <v>69.680000000000007</v>
      </c>
      <c r="M84">
        <v>24796</v>
      </c>
      <c r="N84">
        <v>0.4</v>
      </c>
      <c r="O84">
        <v>952415</v>
      </c>
      <c r="P84">
        <v>4.1100000000000003</v>
      </c>
      <c r="Q84">
        <v>162404</v>
      </c>
      <c r="R84">
        <v>1</v>
      </c>
      <c r="S84">
        <v>75272</v>
      </c>
      <c r="T84">
        <v>1.82</v>
      </c>
      <c r="U84">
        <v>683940</v>
      </c>
      <c r="V84">
        <v>4.57</v>
      </c>
      <c r="W84">
        <v>833000</v>
      </c>
      <c r="X84">
        <v>1.28</v>
      </c>
      <c r="Y84" t="s">
        <v>2090</v>
      </c>
      <c r="Z84" t="s">
        <v>2090</v>
      </c>
      <c r="AA84">
        <v>88456</v>
      </c>
      <c r="AB84">
        <v>1.1299999999999999</v>
      </c>
      <c r="AC84">
        <v>654148</v>
      </c>
      <c r="AD84">
        <v>7.82</v>
      </c>
      <c r="AE84">
        <v>1011149</v>
      </c>
      <c r="AF84">
        <v>12.85</v>
      </c>
      <c r="AG84">
        <v>827810</v>
      </c>
      <c r="AH84">
        <v>12.88</v>
      </c>
      <c r="AI84">
        <v>4510746</v>
      </c>
      <c r="AJ84">
        <v>72.08</v>
      </c>
      <c r="AK84">
        <v>18348874</v>
      </c>
      <c r="AL84">
        <v>210.82</v>
      </c>
      <c r="AM84">
        <v>49</v>
      </c>
      <c r="AN84">
        <v>1276161</v>
      </c>
      <c r="AO84">
        <v>21.2</v>
      </c>
    </row>
    <row r="85" spans="1:41" x14ac:dyDescent="0.2">
      <c r="A85">
        <v>118</v>
      </c>
      <c r="B85">
        <v>5516650</v>
      </c>
      <c r="C85">
        <v>12361592</v>
      </c>
      <c r="D85">
        <v>25143699</v>
      </c>
      <c r="E85">
        <v>130688339</v>
      </c>
      <c r="F85">
        <v>173710280</v>
      </c>
      <c r="G85">
        <v>18064</v>
      </c>
      <c r="H85">
        <v>14188</v>
      </c>
      <c r="I85">
        <v>1689</v>
      </c>
      <c r="J85">
        <v>33941</v>
      </c>
      <c r="K85">
        <v>13029308</v>
      </c>
      <c r="L85">
        <v>142.9</v>
      </c>
      <c r="M85">
        <v>471451</v>
      </c>
      <c r="N85">
        <v>8.89</v>
      </c>
      <c r="O85">
        <v>2053865</v>
      </c>
      <c r="P85">
        <v>9.4499999999999993</v>
      </c>
      <c r="Q85">
        <v>810689</v>
      </c>
      <c r="R85">
        <v>4.87</v>
      </c>
      <c r="S85">
        <v>1118420</v>
      </c>
      <c r="T85">
        <v>29.03</v>
      </c>
      <c r="U85">
        <v>1045536</v>
      </c>
      <c r="V85">
        <v>7.02</v>
      </c>
      <c r="W85">
        <v>6173937</v>
      </c>
      <c r="X85">
        <v>14.93</v>
      </c>
      <c r="Y85" t="s">
        <v>2090</v>
      </c>
      <c r="Z85" t="s">
        <v>2090</v>
      </c>
      <c r="AA85">
        <v>363171</v>
      </c>
      <c r="AB85">
        <v>4.67</v>
      </c>
      <c r="AC85">
        <v>785471</v>
      </c>
      <c r="AD85">
        <v>8.93</v>
      </c>
      <c r="AE85">
        <v>3240147</v>
      </c>
      <c r="AF85">
        <v>47.07</v>
      </c>
      <c r="AG85">
        <v>1944791</v>
      </c>
      <c r="AH85">
        <v>32.28</v>
      </c>
      <c r="AI85">
        <v>11723619</v>
      </c>
      <c r="AJ85">
        <v>217.72</v>
      </c>
      <c r="AK85">
        <v>47156288</v>
      </c>
      <c r="AL85">
        <v>597.97</v>
      </c>
      <c r="AM85">
        <v>136</v>
      </c>
      <c r="AN85">
        <v>4395883</v>
      </c>
      <c r="AO85">
        <v>70.209999999999994</v>
      </c>
    </row>
    <row r="86" spans="1:41" x14ac:dyDescent="0.2">
      <c r="A86">
        <v>119</v>
      </c>
      <c r="B86">
        <v>19679594</v>
      </c>
      <c r="C86">
        <v>6928676</v>
      </c>
      <c r="D86">
        <v>13776596</v>
      </c>
      <c r="E86">
        <v>14286589</v>
      </c>
      <c r="F86">
        <v>54671455</v>
      </c>
      <c r="G86">
        <v>34411</v>
      </c>
      <c r="H86">
        <v>4805</v>
      </c>
      <c r="I86">
        <v>313</v>
      </c>
      <c r="J86">
        <v>39529</v>
      </c>
      <c r="K86">
        <v>3664564</v>
      </c>
      <c r="L86">
        <v>39.6</v>
      </c>
      <c r="M86">
        <v>121948</v>
      </c>
      <c r="N86">
        <v>2.14</v>
      </c>
      <c r="O86">
        <v>1111149</v>
      </c>
      <c r="P86">
        <v>3.81</v>
      </c>
      <c r="Q86">
        <v>111400</v>
      </c>
      <c r="R86">
        <v>0.77</v>
      </c>
      <c r="S86">
        <v>171811</v>
      </c>
      <c r="T86">
        <v>4.25</v>
      </c>
      <c r="U86">
        <v>390353</v>
      </c>
      <c r="V86">
        <v>3.09</v>
      </c>
      <c r="W86">
        <v>1817376</v>
      </c>
      <c r="X86">
        <v>3.89</v>
      </c>
      <c r="Y86" t="s">
        <v>2090</v>
      </c>
      <c r="Z86" t="s">
        <v>2090</v>
      </c>
      <c r="AA86">
        <v>273930</v>
      </c>
      <c r="AB86">
        <v>3.87</v>
      </c>
      <c r="AC86">
        <v>424546</v>
      </c>
      <c r="AD86">
        <v>4.9800000000000004</v>
      </c>
      <c r="AE86">
        <v>1095857</v>
      </c>
      <c r="AF86">
        <v>14.21</v>
      </c>
      <c r="AG86">
        <v>730494</v>
      </c>
      <c r="AH86">
        <v>12.62</v>
      </c>
      <c r="AI86">
        <v>4798742</v>
      </c>
      <c r="AJ86">
        <v>100.21</v>
      </c>
      <c r="AK86">
        <v>16292845</v>
      </c>
      <c r="AL86">
        <v>216.37</v>
      </c>
      <c r="AM86">
        <v>49</v>
      </c>
      <c r="AN86">
        <v>1580675</v>
      </c>
      <c r="AO86">
        <v>22.93</v>
      </c>
    </row>
    <row r="87" spans="1:41" x14ac:dyDescent="0.2">
      <c r="A87">
        <v>121</v>
      </c>
      <c r="B87">
        <v>7227164</v>
      </c>
      <c r="C87">
        <v>3101048</v>
      </c>
      <c r="D87">
        <v>4154392</v>
      </c>
      <c r="E87">
        <v>34229763</v>
      </c>
      <c r="F87">
        <v>48712367</v>
      </c>
      <c r="G87">
        <v>35679</v>
      </c>
      <c r="H87">
        <v>6580</v>
      </c>
      <c r="I87">
        <v>1001</v>
      </c>
      <c r="J87">
        <v>43260</v>
      </c>
      <c r="K87">
        <v>4061588</v>
      </c>
      <c r="L87">
        <v>49.78</v>
      </c>
      <c r="M87">
        <v>213865</v>
      </c>
      <c r="N87">
        <v>3.35</v>
      </c>
      <c r="O87" t="s">
        <v>2090</v>
      </c>
      <c r="P87" t="s">
        <v>2090</v>
      </c>
      <c r="Q87" t="s">
        <v>2090</v>
      </c>
      <c r="R87" t="s">
        <v>2090</v>
      </c>
      <c r="S87">
        <v>50886</v>
      </c>
      <c r="T87">
        <v>1.23</v>
      </c>
      <c r="U87">
        <v>477194</v>
      </c>
      <c r="V87">
        <v>2.84</v>
      </c>
      <c r="W87">
        <v>394218</v>
      </c>
      <c r="X87">
        <v>1</v>
      </c>
      <c r="Y87" t="s">
        <v>2090</v>
      </c>
      <c r="Z87" t="s">
        <v>2090</v>
      </c>
      <c r="AA87">
        <v>553601</v>
      </c>
      <c r="AB87">
        <v>6.72</v>
      </c>
      <c r="AC87">
        <v>756983</v>
      </c>
      <c r="AD87">
        <v>8.5</v>
      </c>
      <c r="AE87">
        <v>832381</v>
      </c>
      <c r="AF87">
        <v>9.82</v>
      </c>
      <c r="AG87">
        <v>977146</v>
      </c>
      <c r="AH87">
        <v>14.38</v>
      </c>
      <c r="AI87">
        <v>5080170</v>
      </c>
      <c r="AJ87">
        <v>80.16</v>
      </c>
      <c r="AK87">
        <v>13952033</v>
      </c>
      <c r="AL87">
        <v>186.14</v>
      </c>
      <c r="AM87">
        <v>25</v>
      </c>
      <c r="AN87">
        <v>554001</v>
      </c>
      <c r="AO87">
        <v>8.36</v>
      </c>
    </row>
    <row r="88" spans="1:41" x14ac:dyDescent="0.2">
      <c r="A88">
        <v>124</v>
      </c>
      <c r="B88">
        <v>12497845</v>
      </c>
      <c r="C88">
        <v>7399818</v>
      </c>
      <c r="D88">
        <v>1250103</v>
      </c>
      <c r="E88">
        <v>6221788</v>
      </c>
      <c r="F88">
        <v>27369554</v>
      </c>
      <c r="G88">
        <v>12400</v>
      </c>
      <c r="H88">
        <v>4815</v>
      </c>
      <c r="I88">
        <v>241</v>
      </c>
      <c r="J88">
        <v>17456</v>
      </c>
      <c r="K88">
        <v>1289583</v>
      </c>
      <c r="L88">
        <v>14.14</v>
      </c>
      <c r="M88">
        <v>0</v>
      </c>
      <c r="N88">
        <v>0</v>
      </c>
      <c r="O88" t="s">
        <v>2090</v>
      </c>
      <c r="P88" t="s">
        <v>2090</v>
      </c>
      <c r="Q88">
        <v>22209</v>
      </c>
      <c r="R88">
        <v>0.16</v>
      </c>
      <c r="S88">
        <v>138241</v>
      </c>
      <c r="T88">
        <v>4.08</v>
      </c>
      <c r="U88">
        <v>165172</v>
      </c>
      <c r="V88">
        <v>1.1000000000000001</v>
      </c>
      <c r="W88">
        <v>1383263</v>
      </c>
      <c r="X88">
        <v>3.7</v>
      </c>
      <c r="Y88">
        <v>18033</v>
      </c>
      <c r="Z88">
        <v>0.12</v>
      </c>
      <c r="AA88">
        <v>67294</v>
      </c>
      <c r="AB88">
        <v>0.78</v>
      </c>
      <c r="AC88">
        <v>93917</v>
      </c>
      <c r="AD88">
        <v>1.1499999999999999</v>
      </c>
      <c r="AE88">
        <v>235489</v>
      </c>
      <c r="AF88">
        <v>3.81</v>
      </c>
      <c r="AG88">
        <v>214812</v>
      </c>
      <c r="AH88">
        <v>3.38</v>
      </c>
      <c r="AI88">
        <v>2009224</v>
      </c>
      <c r="AJ88">
        <v>33</v>
      </c>
      <c r="AK88">
        <v>6131830</v>
      </c>
      <c r="AL88">
        <v>73.680000000000007</v>
      </c>
      <c r="AM88">
        <v>30</v>
      </c>
      <c r="AN88">
        <v>494593</v>
      </c>
      <c r="AO88">
        <v>8.26</v>
      </c>
    </row>
    <row r="89" spans="1:41" x14ac:dyDescent="0.2">
      <c r="A89">
        <v>127</v>
      </c>
      <c r="B89">
        <v>89746210</v>
      </c>
      <c r="C89">
        <v>9044212</v>
      </c>
      <c r="D89">
        <v>14166536</v>
      </c>
      <c r="E89">
        <v>66072017</v>
      </c>
      <c r="F89">
        <v>179028975</v>
      </c>
      <c r="G89">
        <v>90422</v>
      </c>
      <c r="H89">
        <v>8034</v>
      </c>
      <c r="I89">
        <v>2207</v>
      </c>
      <c r="J89">
        <v>100663</v>
      </c>
      <c r="K89">
        <v>9727050</v>
      </c>
      <c r="L89">
        <v>91.06</v>
      </c>
      <c r="M89">
        <v>3713393</v>
      </c>
      <c r="N89">
        <v>70.849999999999994</v>
      </c>
      <c r="O89">
        <v>1337570</v>
      </c>
      <c r="P89">
        <v>4.68</v>
      </c>
      <c r="Q89">
        <v>1526040</v>
      </c>
      <c r="R89">
        <v>11.4</v>
      </c>
      <c r="S89">
        <v>2537</v>
      </c>
      <c r="T89">
        <v>0.05</v>
      </c>
      <c r="U89">
        <v>489630</v>
      </c>
      <c r="V89">
        <v>2.9</v>
      </c>
      <c r="W89">
        <v>2255303</v>
      </c>
      <c r="X89">
        <v>4.75</v>
      </c>
      <c r="Y89">
        <v>935019</v>
      </c>
      <c r="Z89">
        <v>7.09</v>
      </c>
      <c r="AA89">
        <v>152804</v>
      </c>
      <c r="AB89">
        <v>1.64</v>
      </c>
      <c r="AC89">
        <v>737310</v>
      </c>
      <c r="AD89">
        <v>8.2100000000000009</v>
      </c>
      <c r="AE89">
        <v>1231418</v>
      </c>
      <c r="AF89">
        <v>15.45</v>
      </c>
      <c r="AG89">
        <v>1201482</v>
      </c>
      <c r="AH89">
        <v>18.84</v>
      </c>
      <c r="AI89">
        <v>6887875</v>
      </c>
      <c r="AJ89">
        <v>121.88</v>
      </c>
      <c r="AK89">
        <v>33710271</v>
      </c>
      <c r="AL89">
        <v>416.73</v>
      </c>
      <c r="AM89">
        <v>62</v>
      </c>
      <c r="AN89">
        <v>3512840</v>
      </c>
      <c r="AO89">
        <v>57.93</v>
      </c>
    </row>
    <row r="90" spans="1:41" x14ac:dyDescent="0.2">
      <c r="A90">
        <v>129</v>
      </c>
      <c r="B90">
        <v>10473547</v>
      </c>
      <c r="C90">
        <v>4092245</v>
      </c>
      <c r="D90">
        <v>1769353</v>
      </c>
      <c r="E90">
        <v>41968</v>
      </c>
      <c r="F90">
        <v>16377113</v>
      </c>
      <c r="G90">
        <v>14854</v>
      </c>
      <c r="H90">
        <v>1647</v>
      </c>
      <c r="I90">
        <v>263</v>
      </c>
      <c r="J90">
        <v>16764</v>
      </c>
      <c r="K90">
        <v>1980663</v>
      </c>
      <c r="L90">
        <v>24.98</v>
      </c>
      <c r="M90">
        <v>31106</v>
      </c>
      <c r="N90">
        <v>0.41</v>
      </c>
      <c r="O90" t="s">
        <v>2090</v>
      </c>
      <c r="P90" t="s">
        <v>2090</v>
      </c>
      <c r="Q90" t="s">
        <v>2090</v>
      </c>
      <c r="R90" t="s">
        <v>2090</v>
      </c>
      <c r="S90">
        <v>67477</v>
      </c>
      <c r="T90">
        <v>1.67</v>
      </c>
      <c r="U90">
        <v>161815</v>
      </c>
      <c r="V90">
        <v>1.26</v>
      </c>
      <c r="W90" t="s">
        <v>2090</v>
      </c>
      <c r="X90" t="s">
        <v>2090</v>
      </c>
      <c r="Y90" t="s">
        <v>2090</v>
      </c>
      <c r="Z90" t="s">
        <v>2090</v>
      </c>
      <c r="AA90" t="s">
        <v>2090</v>
      </c>
      <c r="AB90" t="s">
        <v>2090</v>
      </c>
      <c r="AC90">
        <v>301756</v>
      </c>
      <c r="AD90">
        <v>2.77</v>
      </c>
      <c r="AE90">
        <v>311949</v>
      </c>
      <c r="AF90">
        <v>4.04</v>
      </c>
      <c r="AG90">
        <v>596395</v>
      </c>
      <c r="AH90">
        <v>8.56</v>
      </c>
      <c r="AI90">
        <v>3273194</v>
      </c>
      <c r="AJ90">
        <v>43.94</v>
      </c>
      <c r="AK90">
        <v>6792322</v>
      </c>
      <c r="AL90">
        <v>88.68</v>
      </c>
      <c r="AM90">
        <v>16</v>
      </c>
      <c r="AN90">
        <v>67967</v>
      </c>
      <c r="AO90">
        <v>1.05</v>
      </c>
    </row>
    <row r="91" spans="1:41" x14ac:dyDescent="0.2">
      <c r="A91">
        <v>130</v>
      </c>
      <c r="B91" t="s">
        <v>2170</v>
      </c>
      <c r="C91" t="s">
        <v>2170</v>
      </c>
      <c r="D91" t="s">
        <v>2170</v>
      </c>
      <c r="E91" t="s">
        <v>2170</v>
      </c>
      <c r="F91" t="s">
        <v>2170</v>
      </c>
      <c r="G91" t="s">
        <v>2170</v>
      </c>
      <c r="H91" t="s">
        <v>2170</v>
      </c>
      <c r="I91" t="s">
        <v>2170</v>
      </c>
      <c r="J91" t="s">
        <v>2170</v>
      </c>
      <c r="K91" t="s">
        <v>2170</v>
      </c>
      <c r="L91" t="s">
        <v>2170</v>
      </c>
      <c r="M91" t="s">
        <v>2170</v>
      </c>
      <c r="N91" t="s">
        <v>2170</v>
      </c>
      <c r="O91" t="s">
        <v>2170</v>
      </c>
      <c r="P91" t="s">
        <v>2170</v>
      </c>
      <c r="Q91" t="s">
        <v>2170</v>
      </c>
      <c r="R91" t="s">
        <v>2170</v>
      </c>
      <c r="S91" t="s">
        <v>2170</v>
      </c>
      <c r="T91" t="s">
        <v>2170</v>
      </c>
      <c r="U91" t="s">
        <v>2170</v>
      </c>
      <c r="V91" t="s">
        <v>2170</v>
      </c>
      <c r="W91" t="s">
        <v>2170</v>
      </c>
      <c r="X91" t="s">
        <v>2170</v>
      </c>
      <c r="Y91" t="s">
        <v>2170</v>
      </c>
      <c r="Z91" t="s">
        <v>2170</v>
      </c>
      <c r="AA91" t="s">
        <v>2170</v>
      </c>
      <c r="AB91" t="s">
        <v>2170</v>
      </c>
      <c r="AC91" t="s">
        <v>2170</v>
      </c>
      <c r="AD91" t="s">
        <v>2170</v>
      </c>
      <c r="AE91" t="s">
        <v>2170</v>
      </c>
      <c r="AF91" t="s">
        <v>2170</v>
      </c>
      <c r="AG91" t="s">
        <v>2170</v>
      </c>
      <c r="AH91" t="s">
        <v>2170</v>
      </c>
      <c r="AI91" t="s">
        <v>2170</v>
      </c>
      <c r="AJ91" t="s">
        <v>2170</v>
      </c>
      <c r="AK91" t="s">
        <v>2170</v>
      </c>
      <c r="AL91" t="s">
        <v>2170</v>
      </c>
      <c r="AM91" t="s">
        <v>2170</v>
      </c>
      <c r="AN91" t="s">
        <v>2170</v>
      </c>
      <c r="AO91" t="s">
        <v>2170</v>
      </c>
    </row>
    <row r="92" spans="1:41" x14ac:dyDescent="0.2">
      <c r="A92">
        <v>132</v>
      </c>
      <c r="B92">
        <v>441756489</v>
      </c>
      <c r="C92">
        <v>32104418</v>
      </c>
      <c r="D92">
        <v>123141704</v>
      </c>
      <c r="E92">
        <v>288377961</v>
      </c>
      <c r="F92">
        <v>885380572</v>
      </c>
      <c r="G92">
        <v>427589</v>
      </c>
      <c r="H92">
        <v>46321</v>
      </c>
      <c r="I92">
        <v>15075</v>
      </c>
      <c r="J92">
        <v>488985</v>
      </c>
      <c r="K92">
        <v>122626923</v>
      </c>
      <c r="L92">
        <v>1247.6199999999999</v>
      </c>
      <c r="M92">
        <v>5941543</v>
      </c>
      <c r="N92">
        <v>123.56</v>
      </c>
      <c r="O92" t="s">
        <v>2090</v>
      </c>
      <c r="P92" t="s">
        <v>2090</v>
      </c>
      <c r="Q92">
        <v>3920224</v>
      </c>
      <c r="R92">
        <v>29.2</v>
      </c>
      <c r="S92">
        <v>18126202</v>
      </c>
      <c r="T92">
        <v>486.77</v>
      </c>
      <c r="U92">
        <v>6600436</v>
      </c>
      <c r="V92">
        <v>44.65</v>
      </c>
      <c r="W92">
        <v>6401418</v>
      </c>
      <c r="X92">
        <v>33.869999999999997</v>
      </c>
      <c r="Y92">
        <v>1554357</v>
      </c>
      <c r="Z92">
        <v>12.19</v>
      </c>
      <c r="AA92">
        <v>1082456</v>
      </c>
      <c r="AB92">
        <v>13.06</v>
      </c>
      <c r="AC92">
        <v>1374465</v>
      </c>
      <c r="AD92">
        <v>16.079999999999998</v>
      </c>
      <c r="AE92">
        <v>11169150</v>
      </c>
      <c r="AF92">
        <v>138.16999999999999</v>
      </c>
      <c r="AG92" t="s">
        <v>2090</v>
      </c>
      <c r="AH92" t="s">
        <v>2090</v>
      </c>
      <c r="AI92">
        <v>121675073</v>
      </c>
      <c r="AJ92">
        <v>1821.38</v>
      </c>
      <c r="AK92">
        <v>332483351</v>
      </c>
      <c r="AL92">
        <v>4434.78</v>
      </c>
      <c r="AM92">
        <v>489</v>
      </c>
      <c r="AN92">
        <v>32011104</v>
      </c>
      <c r="AO92">
        <v>468.23</v>
      </c>
    </row>
    <row r="93" spans="1:41" x14ac:dyDescent="0.2">
      <c r="A93">
        <v>133</v>
      </c>
      <c r="B93">
        <v>15546348</v>
      </c>
      <c r="C93">
        <v>2621469</v>
      </c>
      <c r="D93">
        <v>2701575</v>
      </c>
      <c r="E93" t="s">
        <v>2090</v>
      </c>
      <c r="F93">
        <v>20869392</v>
      </c>
      <c r="G93">
        <v>16821</v>
      </c>
      <c r="H93">
        <v>2185</v>
      </c>
      <c r="I93">
        <v>306</v>
      </c>
      <c r="J93">
        <v>19312</v>
      </c>
      <c r="K93">
        <v>1975536</v>
      </c>
      <c r="L93">
        <v>22</v>
      </c>
      <c r="M93">
        <v>92735</v>
      </c>
      <c r="N93">
        <v>1.4</v>
      </c>
      <c r="O93">
        <v>426908</v>
      </c>
      <c r="P93">
        <v>1.72</v>
      </c>
      <c r="Q93">
        <v>743956</v>
      </c>
      <c r="R93">
        <v>3.4</v>
      </c>
      <c r="S93">
        <v>128860</v>
      </c>
      <c r="T93">
        <v>3.4</v>
      </c>
      <c r="U93">
        <v>782572</v>
      </c>
      <c r="V93">
        <v>5.5</v>
      </c>
      <c r="W93">
        <v>889980</v>
      </c>
      <c r="X93">
        <v>2.9</v>
      </c>
      <c r="Y93" t="s">
        <v>2090</v>
      </c>
      <c r="Z93" t="s">
        <v>2090</v>
      </c>
      <c r="AA93" t="s">
        <v>2090</v>
      </c>
      <c r="AB93" t="s">
        <v>2090</v>
      </c>
      <c r="AC93">
        <v>417861</v>
      </c>
      <c r="AD93">
        <v>4.7</v>
      </c>
      <c r="AE93">
        <v>404241</v>
      </c>
      <c r="AF93">
        <v>4.34</v>
      </c>
      <c r="AG93">
        <v>513600</v>
      </c>
      <c r="AH93">
        <v>8.64</v>
      </c>
      <c r="AI93">
        <v>4668532</v>
      </c>
      <c r="AJ93">
        <v>144</v>
      </c>
      <c r="AK93">
        <v>11044781</v>
      </c>
      <c r="AL93">
        <v>202</v>
      </c>
      <c r="AM93">
        <v>25</v>
      </c>
      <c r="AN93" t="s">
        <v>2090</v>
      </c>
      <c r="AO93" t="s">
        <v>2090</v>
      </c>
    </row>
    <row r="94" spans="1:41" x14ac:dyDescent="0.2">
      <c r="A94">
        <v>134</v>
      </c>
      <c r="B94">
        <v>9193959</v>
      </c>
      <c r="C94">
        <v>6970104</v>
      </c>
      <c r="D94">
        <v>5466980</v>
      </c>
      <c r="E94">
        <v>5879748</v>
      </c>
      <c r="F94">
        <v>27510791</v>
      </c>
      <c r="G94">
        <v>10979</v>
      </c>
      <c r="H94">
        <v>3924</v>
      </c>
      <c r="I94">
        <v>581</v>
      </c>
      <c r="J94">
        <v>15484</v>
      </c>
      <c r="K94">
        <v>1966206</v>
      </c>
      <c r="L94">
        <v>24.28</v>
      </c>
      <c r="M94">
        <v>169819</v>
      </c>
      <c r="N94">
        <v>3.51</v>
      </c>
      <c r="O94">
        <v>582290</v>
      </c>
      <c r="P94">
        <v>2.4</v>
      </c>
      <c r="Q94">
        <v>326581</v>
      </c>
      <c r="R94">
        <v>2.99</v>
      </c>
      <c r="S94">
        <v>110912</v>
      </c>
      <c r="T94">
        <v>2.46</v>
      </c>
      <c r="U94">
        <v>303643</v>
      </c>
      <c r="V94">
        <v>2.21</v>
      </c>
      <c r="W94">
        <v>1264395</v>
      </c>
      <c r="X94">
        <v>2.63</v>
      </c>
      <c r="Y94" t="s">
        <v>2090</v>
      </c>
      <c r="Z94" t="s">
        <v>2090</v>
      </c>
      <c r="AA94">
        <v>48852</v>
      </c>
      <c r="AB94">
        <v>0.63</v>
      </c>
      <c r="AC94">
        <v>123851</v>
      </c>
      <c r="AD94">
        <v>1.68</v>
      </c>
      <c r="AE94">
        <v>368624</v>
      </c>
      <c r="AF94">
        <v>4.5</v>
      </c>
      <c r="AG94">
        <v>308594</v>
      </c>
      <c r="AH94">
        <v>5.0599999999999996</v>
      </c>
      <c r="AI94">
        <v>761220</v>
      </c>
      <c r="AJ94">
        <v>14.48</v>
      </c>
      <c r="AK94">
        <v>6334987</v>
      </c>
      <c r="AL94">
        <v>66.83</v>
      </c>
      <c r="AM94">
        <v>25</v>
      </c>
      <c r="AN94" t="s">
        <v>2090</v>
      </c>
      <c r="AO94" t="s">
        <v>2090</v>
      </c>
    </row>
    <row r="95" spans="1:41" x14ac:dyDescent="0.2">
      <c r="A95">
        <v>135</v>
      </c>
      <c r="B95">
        <v>79998561</v>
      </c>
      <c r="C95">
        <v>35836859</v>
      </c>
      <c r="D95">
        <v>37725574</v>
      </c>
      <c r="E95">
        <v>84562890</v>
      </c>
      <c r="F95">
        <v>238123884</v>
      </c>
      <c r="G95">
        <v>47428</v>
      </c>
      <c r="H95">
        <v>27671</v>
      </c>
      <c r="I95">
        <v>4297</v>
      </c>
      <c r="J95">
        <v>79396</v>
      </c>
      <c r="K95">
        <v>26530669</v>
      </c>
      <c r="L95">
        <v>236.08</v>
      </c>
      <c r="M95">
        <v>105383</v>
      </c>
      <c r="N95">
        <v>1.85</v>
      </c>
      <c r="O95">
        <v>3260879</v>
      </c>
      <c r="P95">
        <v>15.2</v>
      </c>
      <c r="Q95">
        <v>82586</v>
      </c>
      <c r="R95">
        <v>0.65</v>
      </c>
      <c r="S95">
        <v>2048207</v>
      </c>
      <c r="T95">
        <v>43.23</v>
      </c>
      <c r="U95">
        <v>2307990</v>
      </c>
      <c r="V95">
        <v>14.82</v>
      </c>
      <c r="W95">
        <v>5132606</v>
      </c>
      <c r="X95">
        <v>10.25</v>
      </c>
      <c r="Y95">
        <v>67889</v>
      </c>
      <c r="Z95">
        <v>0.41</v>
      </c>
      <c r="AA95">
        <v>704979</v>
      </c>
      <c r="AB95">
        <v>8.51</v>
      </c>
      <c r="AC95">
        <v>1398260</v>
      </c>
      <c r="AD95">
        <v>14.9</v>
      </c>
      <c r="AE95">
        <v>3764634</v>
      </c>
      <c r="AF95">
        <v>43.43</v>
      </c>
      <c r="AG95">
        <v>1804760</v>
      </c>
      <c r="AH95">
        <v>25.11</v>
      </c>
      <c r="AI95">
        <v>12610909</v>
      </c>
      <c r="AJ95">
        <v>186.98</v>
      </c>
      <c r="AK95">
        <v>65298130</v>
      </c>
      <c r="AL95">
        <v>681.55</v>
      </c>
      <c r="AM95">
        <v>93</v>
      </c>
      <c r="AN95">
        <v>5478379</v>
      </c>
      <c r="AO95">
        <v>80.13</v>
      </c>
    </row>
    <row r="96" spans="1:41" x14ac:dyDescent="0.2">
      <c r="A96">
        <v>136</v>
      </c>
      <c r="B96">
        <v>92891041</v>
      </c>
      <c r="C96">
        <v>12671022</v>
      </c>
      <c r="D96">
        <v>19914343</v>
      </c>
      <c r="E96" t="s">
        <v>2090</v>
      </c>
      <c r="F96">
        <v>125476406</v>
      </c>
      <c r="G96">
        <v>94930</v>
      </c>
      <c r="H96">
        <v>9512</v>
      </c>
      <c r="I96">
        <v>1692</v>
      </c>
      <c r="J96">
        <v>106134</v>
      </c>
      <c r="K96">
        <v>5731534</v>
      </c>
      <c r="L96">
        <v>63.07</v>
      </c>
      <c r="M96">
        <v>1254669</v>
      </c>
      <c r="N96">
        <v>26.82</v>
      </c>
      <c r="O96" t="s">
        <v>2090</v>
      </c>
      <c r="P96" t="s">
        <v>2090</v>
      </c>
      <c r="Q96">
        <v>884203</v>
      </c>
      <c r="R96">
        <v>7.52</v>
      </c>
      <c r="S96">
        <v>641064</v>
      </c>
      <c r="T96">
        <v>15.67</v>
      </c>
      <c r="U96">
        <v>580908</v>
      </c>
      <c r="V96">
        <v>3.72</v>
      </c>
      <c r="W96">
        <v>9984998</v>
      </c>
      <c r="X96">
        <v>24.13</v>
      </c>
      <c r="Y96">
        <v>1074635</v>
      </c>
      <c r="Z96">
        <v>7.66</v>
      </c>
      <c r="AA96">
        <v>399921</v>
      </c>
      <c r="AB96">
        <v>4.47</v>
      </c>
      <c r="AC96">
        <v>678860</v>
      </c>
      <c r="AD96">
        <v>6.89</v>
      </c>
      <c r="AE96">
        <v>915389</v>
      </c>
      <c r="AF96">
        <v>11.65</v>
      </c>
      <c r="AG96">
        <v>729268</v>
      </c>
      <c r="AH96">
        <v>13.11</v>
      </c>
      <c r="AI96">
        <v>4790042</v>
      </c>
      <c r="AJ96">
        <v>92.94</v>
      </c>
      <c r="AK96">
        <v>28315880</v>
      </c>
      <c r="AL96">
        <v>289.74</v>
      </c>
      <c r="AM96">
        <v>49</v>
      </c>
      <c r="AN96">
        <v>650389</v>
      </c>
      <c r="AO96">
        <v>12.09</v>
      </c>
    </row>
    <row r="97" spans="1:41" x14ac:dyDescent="0.2">
      <c r="A97">
        <v>138</v>
      </c>
      <c r="B97">
        <v>121163726</v>
      </c>
      <c r="C97">
        <v>12011745</v>
      </c>
      <c r="D97">
        <v>17435630</v>
      </c>
      <c r="E97">
        <v>58477575</v>
      </c>
      <c r="F97">
        <v>209088676</v>
      </c>
      <c r="G97">
        <v>106415</v>
      </c>
      <c r="H97">
        <v>12590</v>
      </c>
      <c r="I97">
        <v>1998</v>
      </c>
      <c r="J97">
        <v>121003</v>
      </c>
      <c r="K97">
        <v>10735231</v>
      </c>
      <c r="L97">
        <v>110</v>
      </c>
      <c r="M97">
        <v>2263034</v>
      </c>
      <c r="N97">
        <v>41.37</v>
      </c>
      <c r="O97">
        <v>1805213</v>
      </c>
      <c r="P97">
        <v>7.55</v>
      </c>
      <c r="Q97">
        <v>1896211</v>
      </c>
      <c r="R97">
        <v>13.78</v>
      </c>
      <c r="S97">
        <v>292610</v>
      </c>
      <c r="T97">
        <v>6.9</v>
      </c>
      <c r="U97">
        <v>1007605</v>
      </c>
      <c r="V97">
        <v>6.71</v>
      </c>
      <c r="W97">
        <v>16586040</v>
      </c>
      <c r="X97">
        <v>44.43</v>
      </c>
      <c r="Y97">
        <v>2103936</v>
      </c>
      <c r="Z97">
        <v>15.25</v>
      </c>
      <c r="AA97">
        <v>184455</v>
      </c>
      <c r="AB97">
        <v>2.17</v>
      </c>
      <c r="AC97">
        <v>712397</v>
      </c>
      <c r="AD97">
        <v>8.18</v>
      </c>
      <c r="AE97">
        <v>1937027</v>
      </c>
      <c r="AF97">
        <v>25.09</v>
      </c>
      <c r="AG97">
        <v>700321</v>
      </c>
      <c r="AH97">
        <v>9.81</v>
      </c>
      <c r="AI97">
        <v>6549446</v>
      </c>
      <c r="AJ97">
        <v>85.59</v>
      </c>
      <c r="AK97">
        <v>50849673</v>
      </c>
      <c r="AL97">
        <v>443.93</v>
      </c>
      <c r="AM97">
        <v>50</v>
      </c>
      <c r="AN97">
        <v>4076147</v>
      </c>
      <c r="AO97">
        <v>67.099999999999994</v>
      </c>
    </row>
    <row r="98" spans="1:41" x14ac:dyDescent="0.2">
      <c r="A98">
        <v>140</v>
      </c>
      <c r="B98">
        <v>25550955</v>
      </c>
      <c r="C98">
        <v>11927282</v>
      </c>
      <c r="D98">
        <v>12526425</v>
      </c>
      <c r="E98">
        <v>12265707</v>
      </c>
      <c r="F98">
        <v>62270369</v>
      </c>
      <c r="G98">
        <v>22062</v>
      </c>
      <c r="H98">
        <v>7987</v>
      </c>
      <c r="I98">
        <v>1776</v>
      </c>
      <c r="J98">
        <v>31825</v>
      </c>
      <c r="K98">
        <v>6415769</v>
      </c>
      <c r="L98">
        <v>67.75</v>
      </c>
      <c r="M98">
        <v>223034</v>
      </c>
      <c r="N98">
        <v>3.91</v>
      </c>
      <c r="O98" t="s">
        <v>2090</v>
      </c>
      <c r="P98" t="s">
        <v>2090</v>
      </c>
      <c r="Q98">
        <v>139698</v>
      </c>
      <c r="R98">
        <v>1.04</v>
      </c>
      <c r="S98">
        <v>305891</v>
      </c>
      <c r="T98">
        <v>7.89</v>
      </c>
      <c r="U98">
        <v>516220</v>
      </c>
      <c r="V98">
        <v>3.34</v>
      </c>
      <c r="W98">
        <v>2897584</v>
      </c>
      <c r="X98">
        <v>7.03</v>
      </c>
      <c r="Y98" t="s">
        <v>2090</v>
      </c>
      <c r="Z98" t="s">
        <v>2090</v>
      </c>
      <c r="AA98">
        <v>143078</v>
      </c>
      <c r="AB98">
        <v>1.79</v>
      </c>
      <c r="AC98">
        <v>534813</v>
      </c>
      <c r="AD98">
        <v>6.33</v>
      </c>
      <c r="AE98">
        <v>727271</v>
      </c>
      <c r="AF98">
        <v>9.68</v>
      </c>
      <c r="AG98">
        <v>548736</v>
      </c>
      <c r="AH98">
        <v>8.68</v>
      </c>
      <c r="AI98">
        <v>3305809</v>
      </c>
      <c r="AJ98">
        <v>61.23</v>
      </c>
      <c r="AK98">
        <v>15757903</v>
      </c>
      <c r="AL98">
        <v>178.67</v>
      </c>
      <c r="AM98">
        <v>50</v>
      </c>
      <c r="AN98" t="s">
        <v>2090</v>
      </c>
      <c r="AO98" t="s">
        <v>2090</v>
      </c>
    </row>
    <row r="99" spans="1:41" x14ac:dyDescent="0.2">
      <c r="A99">
        <v>141</v>
      </c>
      <c r="B99">
        <v>103565441</v>
      </c>
      <c r="C99">
        <v>20824303</v>
      </c>
      <c r="D99">
        <v>37783133</v>
      </c>
      <c r="E99">
        <v>73353689</v>
      </c>
      <c r="F99">
        <v>235526566</v>
      </c>
      <c r="G99">
        <v>8962</v>
      </c>
      <c r="H99">
        <v>21072</v>
      </c>
      <c r="I99">
        <v>1377</v>
      </c>
      <c r="J99">
        <v>31411</v>
      </c>
      <c r="K99">
        <v>57121580</v>
      </c>
      <c r="L99">
        <v>586.72</v>
      </c>
      <c r="M99">
        <v>277547</v>
      </c>
      <c r="N99">
        <v>5.51</v>
      </c>
      <c r="O99" t="s">
        <v>2090</v>
      </c>
      <c r="P99" t="s">
        <v>2090</v>
      </c>
      <c r="Q99">
        <v>2136117</v>
      </c>
      <c r="R99">
        <v>16.07</v>
      </c>
      <c r="S99">
        <v>5216011</v>
      </c>
      <c r="T99">
        <v>129.4</v>
      </c>
      <c r="U99">
        <v>3889780</v>
      </c>
      <c r="V99">
        <v>32.869999999999997</v>
      </c>
      <c r="W99">
        <v>19139739</v>
      </c>
      <c r="X99">
        <v>57.38</v>
      </c>
      <c r="Y99">
        <v>952672</v>
      </c>
      <c r="Z99">
        <v>8.49</v>
      </c>
      <c r="AA99">
        <v>1312563</v>
      </c>
      <c r="AB99">
        <v>18.61</v>
      </c>
      <c r="AC99">
        <v>497123</v>
      </c>
      <c r="AD99">
        <v>6.25</v>
      </c>
      <c r="AE99">
        <v>4380833</v>
      </c>
      <c r="AF99">
        <v>55.71</v>
      </c>
      <c r="AG99">
        <v>6599900</v>
      </c>
      <c r="AH99">
        <v>122.84</v>
      </c>
      <c r="AI99">
        <v>21209066</v>
      </c>
      <c r="AJ99">
        <v>376.08</v>
      </c>
      <c r="AK99">
        <v>134951403</v>
      </c>
      <c r="AL99">
        <v>1629.42</v>
      </c>
      <c r="AM99">
        <v>401</v>
      </c>
      <c r="AN99">
        <v>12218472</v>
      </c>
      <c r="AO99">
        <v>213.49</v>
      </c>
    </row>
    <row r="100" spans="1:41" x14ac:dyDescent="0.2">
      <c r="A100">
        <v>142</v>
      </c>
      <c r="B100">
        <v>181414428</v>
      </c>
      <c r="C100">
        <v>36639848</v>
      </c>
      <c r="D100">
        <v>57394337</v>
      </c>
      <c r="E100">
        <v>96150229</v>
      </c>
      <c r="F100">
        <v>371598842</v>
      </c>
      <c r="G100">
        <v>69393</v>
      </c>
      <c r="H100">
        <v>25760</v>
      </c>
      <c r="I100">
        <v>1523</v>
      </c>
      <c r="J100">
        <v>96676</v>
      </c>
      <c r="K100">
        <v>19045127</v>
      </c>
      <c r="L100">
        <v>218.25</v>
      </c>
      <c r="M100">
        <v>288332</v>
      </c>
      <c r="N100">
        <v>5.49</v>
      </c>
      <c r="O100">
        <v>2642065</v>
      </c>
      <c r="P100">
        <v>11.88</v>
      </c>
      <c r="Q100">
        <v>3316189</v>
      </c>
      <c r="R100">
        <v>25.89</v>
      </c>
      <c r="S100">
        <v>770761</v>
      </c>
      <c r="T100">
        <v>22.14</v>
      </c>
      <c r="U100">
        <v>1823301</v>
      </c>
      <c r="V100">
        <v>14.15</v>
      </c>
      <c r="W100">
        <v>31751214</v>
      </c>
      <c r="X100">
        <v>75.34</v>
      </c>
      <c r="Y100">
        <v>1372487</v>
      </c>
      <c r="Z100">
        <v>10.81</v>
      </c>
      <c r="AA100">
        <v>469416</v>
      </c>
      <c r="AB100">
        <v>6.07</v>
      </c>
      <c r="AC100">
        <v>1394466</v>
      </c>
      <c r="AD100">
        <v>16.05</v>
      </c>
      <c r="AE100">
        <v>1241974</v>
      </c>
      <c r="AF100">
        <v>18.34</v>
      </c>
      <c r="AG100">
        <v>1297321</v>
      </c>
      <c r="AH100">
        <v>30.4</v>
      </c>
      <c r="AI100">
        <v>15077002</v>
      </c>
      <c r="AJ100">
        <v>237.03</v>
      </c>
      <c r="AK100">
        <v>89811204</v>
      </c>
      <c r="AL100">
        <v>878.5</v>
      </c>
      <c r="AM100">
        <v>162</v>
      </c>
      <c r="AN100">
        <v>9321549</v>
      </c>
      <c r="AO100">
        <v>186.66</v>
      </c>
    </row>
    <row r="101" spans="1:41" x14ac:dyDescent="0.2">
      <c r="A101">
        <v>143</v>
      </c>
      <c r="B101">
        <v>493032263</v>
      </c>
      <c r="C101">
        <v>22524136</v>
      </c>
      <c r="D101">
        <v>120622653</v>
      </c>
      <c r="E101">
        <v>24632399</v>
      </c>
      <c r="F101">
        <v>660811451</v>
      </c>
      <c r="G101">
        <v>679435</v>
      </c>
      <c r="H101">
        <v>28980</v>
      </c>
      <c r="I101">
        <v>4428</v>
      </c>
      <c r="J101">
        <v>712843</v>
      </c>
      <c r="K101">
        <v>41140526</v>
      </c>
      <c r="L101">
        <v>421.68</v>
      </c>
      <c r="M101">
        <v>1850117</v>
      </c>
      <c r="N101">
        <v>32.409999999999997</v>
      </c>
      <c r="O101">
        <v>5948113</v>
      </c>
      <c r="P101">
        <v>26.12</v>
      </c>
      <c r="Q101">
        <v>755315</v>
      </c>
      <c r="R101">
        <v>6.44</v>
      </c>
      <c r="S101">
        <v>4659789</v>
      </c>
      <c r="T101">
        <v>108.14</v>
      </c>
      <c r="U101">
        <v>3449538</v>
      </c>
      <c r="V101">
        <v>24.25</v>
      </c>
      <c r="W101">
        <v>24876513</v>
      </c>
      <c r="X101">
        <v>47.27</v>
      </c>
      <c r="Y101">
        <v>537203</v>
      </c>
      <c r="Z101">
        <v>3.96</v>
      </c>
      <c r="AA101">
        <v>685955</v>
      </c>
      <c r="AB101">
        <v>9.48</v>
      </c>
      <c r="AC101">
        <v>2457120</v>
      </c>
      <c r="AD101">
        <v>28.87</v>
      </c>
      <c r="AE101">
        <v>3702151</v>
      </c>
      <c r="AF101">
        <v>43.72</v>
      </c>
      <c r="AG101">
        <v>2709680</v>
      </c>
      <c r="AH101">
        <v>45.23</v>
      </c>
      <c r="AI101">
        <v>104615248</v>
      </c>
      <c r="AJ101">
        <v>590.4</v>
      </c>
      <c r="AK101">
        <v>210675811</v>
      </c>
      <c r="AL101">
        <v>1598.82</v>
      </c>
      <c r="AM101">
        <v>267</v>
      </c>
      <c r="AN101">
        <v>13288543</v>
      </c>
      <c r="AO101">
        <v>210.85</v>
      </c>
    </row>
    <row r="102" spans="1:41" x14ac:dyDescent="0.2">
      <c r="A102">
        <v>145</v>
      </c>
      <c r="B102">
        <v>136082254</v>
      </c>
      <c r="C102">
        <v>144607266</v>
      </c>
      <c r="D102">
        <v>784858031</v>
      </c>
      <c r="E102">
        <v>1693000819</v>
      </c>
      <c r="F102">
        <v>2758548370</v>
      </c>
      <c r="G102">
        <v>259213</v>
      </c>
      <c r="H102">
        <v>65459</v>
      </c>
      <c r="I102">
        <v>35506</v>
      </c>
      <c r="J102">
        <v>360178</v>
      </c>
      <c r="K102">
        <v>390349349</v>
      </c>
      <c r="L102">
        <v>4086</v>
      </c>
      <c r="M102">
        <v>2725563</v>
      </c>
      <c r="N102">
        <v>45</v>
      </c>
      <c r="O102" t="s">
        <v>2090</v>
      </c>
      <c r="P102" t="s">
        <v>2090</v>
      </c>
      <c r="Q102">
        <v>3462895</v>
      </c>
      <c r="R102">
        <v>22</v>
      </c>
      <c r="S102">
        <v>26199704</v>
      </c>
      <c r="T102">
        <v>583</v>
      </c>
      <c r="U102">
        <v>26783110</v>
      </c>
      <c r="V102">
        <v>178</v>
      </c>
      <c r="W102">
        <v>538273</v>
      </c>
      <c r="X102">
        <v>2</v>
      </c>
      <c r="Y102">
        <v>1394453</v>
      </c>
      <c r="Z102">
        <v>10</v>
      </c>
      <c r="AA102" t="s">
        <v>2090</v>
      </c>
      <c r="AB102" t="s">
        <v>2090</v>
      </c>
      <c r="AC102" t="s">
        <v>2090</v>
      </c>
      <c r="AD102" t="s">
        <v>2090</v>
      </c>
      <c r="AE102">
        <v>23516603</v>
      </c>
      <c r="AF102">
        <v>250</v>
      </c>
      <c r="AG102">
        <v>3915378</v>
      </c>
      <c r="AH102">
        <v>46</v>
      </c>
      <c r="AI102">
        <v>122106919</v>
      </c>
      <c r="AJ102">
        <v>1971</v>
      </c>
      <c r="AK102">
        <v>690749713</v>
      </c>
      <c r="AL102">
        <v>8583</v>
      </c>
      <c r="AM102">
        <v>2059</v>
      </c>
      <c r="AN102">
        <v>89757466</v>
      </c>
      <c r="AO102">
        <v>1390</v>
      </c>
    </row>
    <row r="103" spans="1:41" x14ac:dyDescent="0.2">
      <c r="A103">
        <v>147</v>
      </c>
      <c r="B103">
        <v>87411032</v>
      </c>
      <c r="C103">
        <v>17980009</v>
      </c>
      <c r="D103">
        <v>26970640</v>
      </c>
      <c r="E103">
        <v>21201636</v>
      </c>
      <c r="F103">
        <v>153563317</v>
      </c>
      <c r="G103">
        <v>120876</v>
      </c>
      <c r="H103">
        <v>12323</v>
      </c>
      <c r="I103">
        <v>2265</v>
      </c>
      <c r="J103">
        <v>135464</v>
      </c>
      <c r="K103">
        <v>7705139</v>
      </c>
      <c r="L103">
        <v>100.51</v>
      </c>
      <c r="M103">
        <v>1132579</v>
      </c>
      <c r="N103">
        <v>25.8</v>
      </c>
      <c r="O103">
        <v>1506673</v>
      </c>
      <c r="P103">
        <v>6.24</v>
      </c>
      <c r="Q103">
        <v>1740388</v>
      </c>
      <c r="R103">
        <v>11.94</v>
      </c>
      <c r="S103">
        <v>101773</v>
      </c>
      <c r="T103">
        <v>2.14</v>
      </c>
      <c r="U103">
        <v>662334</v>
      </c>
      <c r="V103">
        <v>4.7699999999999996</v>
      </c>
      <c r="W103">
        <v>12589486</v>
      </c>
      <c r="X103">
        <v>30.65</v>
      </c>
      <c r="Y103">
        <v>1600382</v>
      </c>
      <c r="Z103">
        <v>11.2</v>
      </c>
      <c r="AA103">
        <v>351528</v>
      </c>
      <c r="AB103">
        <v>4.33</v>
      </c>
      <c r="AC103">
        <v>696057</v>
      </c>
      <c r="AD103">
        <v>8.08</v>
      </c>
      <c r="AE103">
        <v>558082</v>
      </c>
      <c r="AF103">
        <v>9.06</v>
      </c>
      <c r="AG103">
        <v>540709</v>
      </c>
      <c r="AH103">
        <v>12.52</v>
      </c>
      <c r="AI103">
        <v>5438338</v>
      </c>
      <c r="AJ103">
        <v>117.6</v>
      </c>
      <c r="AK103">
        <v>37922045</v>
      </c>
      <c r="AL103">
        <v>401.27</v>
      </c>
      <c r="AM103">
        <v>87</v>
      </c>
      <c r="AN103">
        <v>3298577</v>
      </c>
      <c r="AO103">
        <v>56.43</v>
      </c>
    </row>
    <row r="104" spans="1:41" x14ac:dyDescent="0.2">
      <c r="A104">
        <v>148</v>
      </c>
      <c r="B104">
        <v>155916567</v>
      </c>
      <c r="C104">
        <v>47827287</v>
      </c>
      <c r="D104">
        <v>163668080</v>
      </c>
      <c r="E104">
        <v>40157903</v>
      </c>
      <c r="F104">
        <v>407569837</v>
      </c>
      <c r="G104">
        <v>77114</v>
      </c>
      <c r="H104">
        <v>38486</v>
      </c>
      <c r="I104">
        <v>6522</v>
      </c>
      <c r="J104">
        <v>122122</v>
      </c>
      <c r="K104">
        <v>76752711</v>
      </c>
      <c r="L104">
        <v>797.82</v>
      </c>
      <c r="M104">
        <v>372941</v>
      </c>
      <c r="N104">
        <v>6.44</v>
      </c>
      <c r="O104" t="s">
        <v>2090</v>
      </c>
      <c r="P104" t="s">
        <v>2090</v>
      </c>
      <c r="Q104">
        <v>1908956</v>
      </c>
      <c r="R104">
        <v>14.14</v>
      </c>
      <c r="S104">
        <v>4781069</v>
      </c>
      <c r="T104">
        <v>128.22</v>
      </c>
      <c r="U104">
        <v>4747858</v>
      </c>
      <c r="V104">
        <v>36.25</v>
      </c>
      <c r="W104">
        <v>17297407</v>
      </c>
      <c r="X104">
        <v>35.549999999999997</v>
      </c>
      <c r="Y104">
        <v>1480334</v>
      </c>
      <c r="Z104">
        <v>10.56</v>
      </c>
      <c r="AA104">
        <v>1212297</v>
      </c>
      <c r="AB104">
        <v>15.56</v>
      </c>
      <c r="AC104">
        <v>1263354</v>
      </c>
      <c r="AD104">
        <v>15.07</v>
      </c>
      <c r="AE104">
        <v>3152797</v>
      </c>
      <c r="AF104">
        <v>42.35</v>
      </c>
      <c r="AG104">
        <v>4007029</v>
      </c>
      <c r="AH104">
        <v>73.67</v>
      </c>
      <c r="AI104">
        <v>30820512</v>
      </c>
      <c r="AJ104">
        <v>440.55</v>
      </c>
      <c r="AK104">
        <v>162522827</v>
      </c>
      <c r="AL104">
        <v>1864.82</v>
      </c>
      <c r="AM104">
        <v>380</v>
      </c>
      <c r="AN104">
        <v>14725562</v>
      </c>
      <c r="AO104">
        <v>248.64</v>
      </c>
    </row>
    <row r="105" spans="1:41" x14ac:dyDescent="0.2">
      <c r="A105">
        <v>149</v>
      </c>
      <c r="B105">
        <v>4901560</v>
      </c>
      <c r="C105">
        <v>3956387</v>
      </c>
      <c r="D105">
        <v>3128432</v>
      </c>
      <c r="E105">
        <v>18028055</v>
      </c>
      <c r="F105">
        <v>30014434</v>
      </c>
      <c r="G105">
        <v>28117</v>
      </c>
      <c r="H105">
        <v>3275</v>
      </c>
      <c r="I105">
        <v>552</v>
      </c>
      <c r="J105">
        <v>31944</v>
      </c>
      <c r="K105">
        <v>2256444</v>
      </c>
      <c r="L105">
        <v>25.13</v>
      </c>
      <c r="M105">
        <v>26687</v>
      </c>
      <c r="N105">
        <v>0.59</v>
      </c>
      <c r="O105" t="s">
        <v>2090</v>
      </c>
      <c r="P105" t="s">
        <v>2090</v>
      </c>
      <c r="Q105">
        <v>15045</v>
      </c>
      <c r="R105">
        <v>0.11</v>
      </c>
      <c r="S105" t="s">
        <v>2090</v>
      </c>
      <c r="T105" t="s">
        <v>2090</v>
      </c>
      <c r="U105">
        <v>189019</v>
      </c>
      <c r="V105">
        <v>1.1299999999999999</v>
      </c>
      <c r="W105">
        <v>720625</v>
      </c>
      <c r="X105">
        <v>2.84</v>
      </c>
      <c r="Y105">
        <v>306580</v>
      </c>
      <c r="Z105">
        <v>1.79</v>
      </c>
      <c r="AA105">
        <v>140808</v>
      </c>
      <c r="AB105">
        <v>2.0099999999999998</v>
      </c>
      <c r="AC105">
        <v>354541</v>
      </c>
      <c r="AD105">
        <v>3.88</v>
      </c>
      <c r="AE105">
        <v>413393</v>
      </c>
      <c r="AF105">
        <v>4.6399999999999997</v>
      </c>
      <c r="AG105">
        <v>425669</v>
      </c>
      <c r="AH105">
        <v>6.51</v>
      </c>
      <c r="AI105">
        <v>2765930</v>
      </c>
      <c r="AJ105">
        <v>65.53</v>
      </c>
      <c r="AK105">
        <v>7797838</v>
      </c>
      <c r="AL105">
        <v>116.95</v>
      </c>
      <c r="AM105">
        <v>28</v>
      </c>
      <c r="AN105">
        <v>183097</v>
      </c>
      <c r="AO105">
        <v>2.79</v>
      </c>
    </row>
    <row r="106" spans="1:41" x14ac:dyDescent="0.2">
      <c r="A106">
        <v>151</v>
      </c>
      <c r="B106">
        <v>225862903</v>
      </c>
      <c r="C106">
        <v>74013322</v>
      </c>
      <c r="D106">
        <v>176209161</v>
      </c>
      <c r="E106">
        <v>479401564</v>
      </c>
      <c r="F106">
        <v>955486950</v>
      </c>
      <c r="G106">
        <v>184872</v>
      </c>
      <c r="H106">
        <v>74160</v>
      </c>
      <c r="I106">
        <v>9134</v>
      </c>
      <c r="J106">
        <v>268166</v>
      </c>
      <c r="K106">
        <v>120140474</v>
      </c>
      <c r="L106">
        <v>1156.2</v>
      </c>
      <c r="M106">
        <v>813118</v>
      </c>
      <c r="N106">
        <v>15.08</v>
      </c>
      <c r="O106">
        <v>11773545</v>
      </c>
      <c r="P106">
        <v>57.39</v>
      </c>
      <c r="Q106">
        <v>2969238</v>
      </c>
      <c r="R106">
        <v>22.18</v>
      </c>
      <c r="S106">
        <v>14461300</v>
      </c>
      <c r="T106">
        <v>336.16</v>
      </c>
      <c r="U106">
        <v>8513968</v>
      </c>
      <c r="V106">
        <v>54.98</v>
      </c>
      <c r="W106" t="s">
        <v>2090</v>
      </c>
      <c r="X106" t="s">
        <v>2090</v>
      </c>
      <c r="Y106">
        <v>1742033</v>
      </c>
      <c r="Z106">
        <v>9.51</v>
      </c>
      <c r="AA106">
        <v>2870511</v>
      </c>
      <c r="AB106">
        <v>35.409999999999997</v>
      </c>
      <c r="AC106">
        <v>3663148</v>
      </c>
      <c r="AD106">
        <v>41.68</v>
      </c>
      <c r="AE106">
        <v>10009873</v>
      </c>
      <c r="AF106">
        <v>116.25</v>
      </c>
      <c r="AG106">
        <v>10548115</v>
      </c>
      <c r="AH106">
        <v>155.75</v>
      </c>
      <c r="AI106">
        <v>101456612</v>
      </c>
      <c r="AJ106">
        <v>1400.73</v>
      </c>
      <c r="AK106">
        <v>324186157</v>
      </c>
      <c r="AL106">
        <v>3865.95</v>
      </c>
      <c r="AM106">
        <v>480</v>
      </c>
      <c r="AN106">
        <v>35224222</v>
      </c>
      <c r="AO106">
        <v>464.63</v>
      </c>
    </row>
    <row r="107" spans="1:41" x14ac:dyDescent="0.2">
      <c r="A107">
        <v>152</v>
      </c>
      <c r="B107">
        <v>22363485</v>
      </c>
      <c r="C107">
        <v>2955568</v>
      </c>
      <c r="D107">
        <v>4159143</v>
      </c>
      <c r="E107">
        <v>25165001</v>
      </c>
      <c r="F107">
        <v>54643197</v>
      </c>
      <c r="G107">
        <v>62756</v>
      </c>
      <c r="H107">
        <v>2360</v>
      </c>
      <c r="I107">
        <v>334</v>
      </c>
      <c r="J107">
        <v>65450</v>
      </c>
      <c r="K107">
        <v>3389209</v>
      </c>
      <c r="L107">
        <v>34.22</v>
      </c>
      <c r="M107">
        <v>1238750</v>
      </c>
      <c r="N107">
        <v>25.18</v>
      </c>
      <c r="O107">
        <v>936794</v>
      </c>
      <c r="P107">
        <v>2</v>
      </c>
      <c r="Q107">
        <v>1201448</v>
      </c>
      <c r="R107">
        <v>7.8</v>
      </c>
      <c r="S107">
        <v>452713</v>
      </c>
      <c r="T107">
        <v>13.39</v>
      </c>
      <c r="U107">
        <v>421410</v>
      </c>
      <c r="V107">
        <v>3.07</v>
      </c>
      <c r="W107">
        <v>4507050</v>
      </c>
      <c r="X107">
        <v>11.24</v>
      </c>
      <c r="Y107">
        <v>147253</v>
      </c>
      <c r="Z107">
        <v>1</v>
      </c>
      <c r="AA107" t="s">
        <v>2090</v>
      </c>
      <c r="AB107" t="s">
        <v>2090</v>
      </c>
      <c r="AC107" t="s">
        <v>2090</v>
      </c>
      <c r="AD107" t="s">
        <v>2090</v>
      </c>
      <c r="AE107">
        <v>639828</v>
      </c>
      <c r="AF107">
        <v>8.8000000000000007</v>
      </c>
      <c r="AG107">
        <v>533493</v>
      </c>
      <c r="AH107">
        <v>8.9700000000000006</v>
      </c>
      <c r="AI107">
        <v>5341210</v>
      </c>
      <c r="AJ107">
        <v>87.99</v>
      </c>
      <c r="AK107">
        <v>20301842</v>
      </c>
      <c r="AL107">
        <v>224.73</v>
      </c>
      <c r="AM107">
        <v>49</v>
      </c>
      <c r="AN107">
        <v>1492684</v>
      </c>
      <c r="AO107">
        <v>21.07</v>
      </c>
    </row>
    <row r="108" spans="1:41" x14ac:dyDescent="0.2">
      <c r="A108">
        <v>153</v>
      </c>
      <c r="B108">
        <v>14452685</v>
      </c>
      <c r="C108">
        <v>1204857</v>
      </c>
      <c r="D108">
        <v>1784054</v>
      </c>
      <c r="E108" t="s">
        <v>2090</v>
      </c>
      <c r="F108">
        <v>17441596</v>
      </c>
      <c r="G108">
        <v>5333</v>
      </c>
      <c r="H108">
        <v>1457</v>
      </c>
      <c r="I108">
        <v>300</v>
      </c>
      <c r="J108">
        <v>7090</v>
      </c>
      <c r="K108">
        <v>1330125</v>
      </c>
      <c r="L108">
        <v>15.86</v>
      </c>
      <c r="M108">
        <v>90581</v>
      </c>
      <c r="N108">
        <v>1.83</v>
      </c>
      <c r="O108">
        <v>148263</v>
      </c>
      <c r="P108">
        <v>0.75</v>
      </c>
      <c r="Q108">
        <v>93345</v>
      </c>
      <c r="R108">
        <v>0.45</v>
      </c>
      <c r="S108">
        <v>3416</v>
      </c>
      <c r="T108">
        <v>0.1</v>
      </c>
      <c r="U108">
        <v>258300</v>
      </c>
      <c r="V108">
        <v>1.61</v>
      </c>
      <c r="W108">
        <v>208516</v>
      </c>
      <c r="X108">
        <v>0.75</v>
      </c>
      <c r="Y108" t="s">
        <v>2090</v>
      </c>
      <c r="Z108" t="s">
        <v>2090</v>
      </c>
      <c r="AA108" t="s">
        <v>2090</v>
      </c>
      <c r="AB108" t="s">
        <v>2090</v>
      </c>
      <c r="AC108" t="s">
        <v>2090</v>
      </c>
      <c r="AD108" t="s">
        <v>2090</v>
      </c>
      <c r="AE108">
        <v>252803</v>
      </c>
      <c r="AF108">
        <v>2.5499999999999998</v>
      </c>
      <c r="AG108">
        <v>299742</v>
      </c>
      <c r="AH108">
        <v>3.8</v>
      </c>
      <c r="AI108">
        <v>1361556</v>
      </c>
      <c r="AJ108">
        <v>28.59</v>
      </c>
      <c r="AK108">
        <v>4046647</v>
      </c>
      <c r="AL108">
        <v>56.29</v>
      </c>
      <c r="AM108">
        <v>21</v>
      </c>
      <c r="AN108" t="s">
        <v>2090</v>
      </c>
      <c r="AO108" t="s">
        <v>2090</v>
      </c>
    </row>
    <row r="109" spans="1:41" x14ac:dyDescent="0.2">
      <c r="A109">
        <v>156</v>
      </c>
      <c r="B109">
        <v>4235816</v>
      </c>
      <c r="C109">
        <v>1103386</v>
      </c>
      <c r="D109">
        <v>866934</v>
      </c>
      <c r="E109">
        <v>7141736</v>
      </c>
      <c r="F109">
        <v>13347872</v>
      </c>
      <c r="G109">
        <v>7151</v>
      </c>
      <c r="H109">
        <v>1053</v>
      </c>
      <c r="I109">
        <v>137</v>
      </c>
      <c r="J109">
        <v>8341</v>
      </c>
      <c r="K109">
        <v>900736</v>
      </c>
      <c r="L109">
        <v>11.8</v>
      </c>
      <c r="M109">
        <v>37150</v>
      </c>
      <c r="N109">
        <v>0.6</v>
      </c>
      <c r="O109">
        <v>5113</v>
      </c>
      <c r="P109">
        <v>0.01</v>
      </c>
      <c r="Q109">
        <v>2542</v>
      </c>
      <c r="R109">
        <v>0.01</v>
      </c>
      <c r="S109">
        <v>16291</v>
      </c>
      <c r="T109">
        <v>0.42</v>
      </c>
      <c r="U109">
        <v>87295</v>
      </c>
      <c r="V109">
        <v>0.64</v>
      </c>
      <c r="W109">
        <v>27676</v>
      </c>
      <c r="X109">
        <v>0.09</v>
      </c>
      <c r="Y109">
        <v>3941</v>
      </c>
      <c r="Z109">
        <v>0.03</v>
      </c>
      <c r="AA109">
        <v>65439</v>
      </c>
      <c r="AB109">
        <v>0.92</v>
      </c>
      <c r="AC109">
        <v>117754</v>
      </c>
      <c r="AD109">
        <v>1.49</v>
      </c>
      <c r="AE109">
        <v>206711</v>
      </c>
      <c r="AF109">
        <v>2.74</v>
      </c>
      <c r="AG109">
        <v>99403</v>
      </c>
      <c r="AH109">
        <v>1.81</v>
      </c>
      <c r="AI109">
        <v>810621</v>
      </c>
      <c r="AJ109">
        <v>13.61</v>
      </c>
      <c r="AK109">
        <v>2580982</v>
      </c>
      <c r="AL109">
        <v>37.35</v>
      </c>
      <c r="AM109">
        <v>25</v>
      </c>
      <c r="AN109">
        <v>200310</v>
      </c>
      <c r="AO109">
        <v>3.18</v>
      </c>
    </row>
    <row r="110" spans="1:41" x14ac:dyDescent="0.2">
      <c r="A110">
        <v>157</v>
      </c>
      <c r="B110">
        <v>16324639</v>
      </c>
      <c r="C110">
        <v>4495624</v>
      </c>
      <c r="D110">
        <v>8923001</v>
      </c>
      <c r="E110">
        <v>44053116</v>
      </c>
      <c r="F110">
        <v>73796380</v>
      </c>
      <c r="G110">
        <v>44160</v>
      </c>
      <c r="H110">
        <v>4311</v>
      </c>
      <c r="I110">
        <v>1446</v>
      </c>
      <c r="J110">
        <v>49917</v>
      </c>
      <c r="K110">
        <v>4789290</v>
      </c>
      <c r="L110">
        <v>50.76</v>
      </c>
      <c r="M110">
        <v>101877</v>
      </c>
      <c r="N110">
        <v>1.83</v>
      </c>
      <c r="O110">
        <v>1060656</v>
      </c>
      <c r="P110">
        <v>3.92</v>
      </c>
      <c r="Q110">
        <v>6451</v>
      </c>
      <c r="R110">
        <v>0.05</v>
      </c>
      <c r="S110" t="s">
        <v>2090</v>
      </c>
      <c r="T110" t="s">
        <v>2090</v>
      </c>
      <c r="U110">
        <v>546874</v>
      </c>
      <c r="V110">
        <v>3.34</v>
      </c>
      <c r="W110">
        <v>1685595</v>
      </c>
      <c r="X110">
        <v>3</v>
      </c>
      <c r="Y110" t="s">
        <v>2090</v>
      </c>
      <c r="Z110" t="s">
        <v>2090</v>
      </c>
      <c r="AA110">
        <v>81378</v>
      </c>
      <c r="AB110">
        <v>0.93</v>
      </c>
      <c r="AC110">
        <v>653847</v>
      </c>
      <c r="AD110">
        <v>5.9</v>
      </c>
      <c r="AE110">
        <v>1240197</v>
      </c>
      <c r="AF110">
        <v>14.93</v>
      </c>
      <c r="AG110">
        <v>1152579</v>
      </c>
      <c r="AH110">
        <v>20.079999999999998</v>
      </c>
      <c r="AI110">
        <v>8824143</v>
      </c>
      <c r="AJ110">
        <v>156.44</v>
      </c>
      <c r="AK110">
        <v>20890525</v>
      </c>
      <c r="AL110">
        <v>273.79000000000002</v>
      </c>
      <c r="AM110">
        <v>49</v>
      </c>
      <c r="AN110">
        <v>747638</v>
      </c>
      <c r="AO110">
        <v>12.61</v>
      </c>
    </row>
    <row r="111" spans="1:41" x14ac:dyDescent="0.2">
      <c r="A111">
        <v>159</v>
      </c>
      <c r="B111">
        <v>4516310</v>
      </c>
      <c r="C111">
        <v>1494319</v>
      </c>
      <c r="D111">
        <v>630366</v>
      </c>
      <c r="E111">
        <v>5490080</v>
      </c>
      <c r="F111">
        <v>12131075</v>
      </c>
      <c r="G111">
        <v>7251</v>
      </c>
      <c r="H111">
        <v>1462</v>
      </c>
      <c r="I111">
        <v>88</v>
      </c>
      <c r="J111">
        <v>8801</v>
      </c>
      <c r="K111">
        <v>916552</v>
      </c>
      <c r="L111">
        <v>11.6</v>
      </c>
      <c r="M111">
        <v>219555</v>
      </c>
      <c r="N111">
        <v>4.1100000000000003</v>
      </c>
      <c r="O111" t="s">
        <v>2090</v>
      </c>
      <c r="P111" t="s">
        <v>2090</v>
      </c>
      <c r="Q111" t="s">
        <v>2090</v>
      </c>
      <c r="R111" t="s">
        <v>2090</v>
      </c>
      <c r="S111">
        <v>47045</v>
      </c>
      <c r="T111">
        <v>0.96</v>
      </c>
      <c r="U111">
        <v>124111</v>
      </c>
      <c r="V111">
        <v>1</v>
      </c>
      <c r="W111" t="s">
        <v>2090</v>
      </c>
      <c r="X111" t="s">
        <v>2090</v>
      </c>
      <c r="Y111" t="s">
        <v>2090</v>
      </c>
      <c r="Z111" t="s">
        <v>2090</v>
      </c>
      <c r="AA111">
        <v>105843</v>
      </c>
      <c r="AB111">
        <v>1</v>
      </c>
      <c r="AC111">
        <v>75621</v>
      </c>
      <c r="AD111">
        <v>1</v>
      </c>
      <c r="AE111">
        <v>177706</v>
      </c>
      <c r="AF111">
        <v>2.4300000000000002</v>
      </c>
      <c r="AG111">
        <v>246741</v>
      </c>
      <c r="AH111">
        <v>3.22</v>
      </c>
      <c r="AI111">
        <v>609429</v>
      </c>
      <c r="AJ111">
        <v>10.039999999999999</v>
      </c>
      <c r="AK111">
        <v>2522603</v>
      </c>
      <c r="AL111">
        <v>35.36</v>
      </c>
      <c r="AM111">
        <v>15</v>
      </c>
      <c r="AN111" t="s">
        <v>2090</v>
      </c>
      <c r="AO111" t="s">
        <v>2090</v>
      </c>
    </row>
    <row r="112" spans="1:41" x14ac:dyDescent="0.2">
      <c r="A112">
        <v>161</v>
      </c>
      <c r="B112">
        <v>14422735</v>
      </c>
      <c r="C112">
        <v>7287948</v>
      </c>
      <c r="D112">
        <v>25443080</v>
      </c>
      <c r="E112">
        <v>48174038</v>
      </c>
      <c r="F112">
        <v>95327801</v>
      </c>
      <c r="G112">
        <v>28148</v>
      </c>
      <c r="H112">
        <v>7134</v>
      </c>
      <c r="I112">
        <v>2085</v>
      </c>
      <c r="J112">
        <v>37367</v>
      </c>
      <c r="K112">
        <v>6946812</v>
      </c>
      <c r="L112">
        <v>78.239999999999995</v>
      </c>
      <c r="M112">
        <v>278260</v>
      </c>
      <c r="N112">
        <v>5.61</v>
      </c>
      <c r="O112">
        <v>1092114</v>
      </c>
      <c r="P112">
        <v>3.38</v>
      </c>
      <c r="Q112" t="s">
        <v>2090</v>
      </c>
      <c r="R112" t="s">
        <v>2090</v>
      </c>
      <c r="S112">
        <v>508338</v>
      </c>
      <c r="T112">
        <v>13.34</v>
      </c>
      <c r="U112">
        <v>839231</v>
      </c>
      <c r="V112">
        <v>7.8</v>
      </c>
      <c r="W112" t="s">
        <v>2090</v>
      </c>
      <c r="X112" t="s">
        <v>2090</v>
      </c>
      <c r="Y112" t="s">
        <v>2090</v>
      </c>
      <c r="Z112" t="s">
        <v>2090</v>
      </c>
      <c r="AA112" t="s">
        <v>2090</v>
      </c>
      <c r="AB112" t="s">
        <v>2090</v>
      </c>
      <c r="AC112" t="s">
        <v>2090</v>
      </c>
      <c r="AD112" t="s">
        <v>2090</v>
      </c>
      <c r="AE112">
        <v>1446311</v>
      </c>
      <c r="AF112">
        <v>15.95</v>
      </c>
      <c r="AG112">
        <v>1107142</v>
      </c>
      <c r="AH112">
        <v>21.33</v>
      </c>
      <c r="AI112">
        <v>12060826</v>
      </c>
      <c r="AJ112">
        <v>194.77</v>
      </c>
      <c r="AK112">
        <v>25181402</v>
      </c>
      <c r="AL112">
        <v>353.41</v>
      </c>
      <c r="AM112">
        <v>37</v>
      </c>
      <c r="AN112">
        <v>902368</v>
      </c>
      <c r="AO112">
        <v>12.99</v>
      </c>
    </row>
    <row r="113" spans="1:41" x14ac:dyDescent="0.2">
      <c r="A113">
        <v>162</v>
      </c>
      <c r="B113">
        <v>34759088</v>
      </c>
      <c r="C113">
        <v>2589480</v>
      </c>
      <c r="D113">
        <v>2996682</v>
      </c>
      <c r="E113">
        <v>5371460</v>
      </c>
      <c r="F113">
        <v>45716710</v>
      </c>
      <c r="G113">
        <v>49515</v>
      </c>
      <c r="H113">
        <v>3783</v>
      </c>
      <c r="I113">
        <v>990</v>
      </c>
      <c r="J113">
        <v>54288</v>
      </c>
      <c r="K113">
        <v>2426420</v>
      </c>
      <c r="L113">
        <v>29.67</v>
      </c>
      <c r="M113">
        <v>576512</v>
      </c>
      <c r="N113">
        <v>11.8</v>
      </c>
      <c r="O113">
        <v>666890</v>
      </c>
      <c r="P113">
        <v>2.78</v>
      </c>
      <c r="Q113">
        <v>387095</v>
      </c>
      <c r="R113">
        <v>3.37</v>
      </c>
      <c r="S113">
        <v>457188</v>
      </c>
      <c r="T113">
        <v>9.99</v>
      </c>
      <c r="U113">
        <v>317505</v>
      </c>
      <c r="V113">
        <v>1.42</v>
      </c>
      <c r="W113">
        <v>2444059</v>
      </c>
      <c r="X113">
        <v>6.79</v>
      </c>
      <c r="Y113">
        <v>428634</v>
      </c>
      <c r="Z113">
        <v>2.97</v>
      </c>
      <c r="AA113">
        <v>177138</v>
      </c>
      <c r="AB113">
        <v>1.97</v>
      </c>
      <c r="AC113">
        <v>499104</v>
      </c>
      <c r="AD113">
        <v>6.8</v>
      </c>
      <c r="AE113">
        <v>346705</v>
      </c>
      <c r="AF113">
        <v>4.92</v>
      </c>
      <c r="AG113">
        <v>489772</v>
      </c>
      <c r="AH113">
        <v>8.56</v>
      </c>
      <c r="AI113">
        <v>3413418</v>
      </c>
      <c r="AJ113">
        <v>66.27</v>
      </c>
      <c r="AK113">
        <v>12630440</v>
      </c>
      <c r="AL113">
        <v>157.31</v>
      </c>
      <c r="AM113">
        <v>43</v>
      </c>
      <c r="AN113" t="s">
        <v>2090</v>
      </c>
      <c r="AO113" t="s">
        <v>2090</v>
      </c>
    </row>
    <row r="114" spans="1:41" x14ac:dyDescent="0.2">
      <c r="A114">
        <v>163</v>
      </c>
      <c r="B114">
        <v>250909254</v>
      </c>
      <c r="C114">
        <v>72154036</v>
      </c>
      <c r="D114">
        <v>209095427</v>
      </c>
      <c r="E114">
        <v>238807727</v>
      </c>
      <c r="F114">
        <v>770966444</v>
      </c>
      <c r="G114">
        <v>84959</v>
      </c>
      <c r="H114">
        <v>44640</v>
      </c>
      <c r="I114">
        <v>10090</v>
      </c>
      <c r="J114">
        <v>139689</v>
      </c>
      <c r="K114">
        <v>118134082</v>
      </c>
      <c r="L114">
        <v>1084.51</v>
      </c>
      <c r="M114">
        <v>760234</v>
      </c>
      <c r="N114">
        <v>13.48</v>
      </c>
      <c r="O114" t="s">
        <v>2090</v>
      </c>
      <c r="P114" t="s">
        <v>2090</v>
      </c>
      <c r="Q114">
        <v>4003482</v>
      </c>
      <c r="R114">
        <v>29.79</v>
      </c>
      <c r="S114">
        <v>7681607</v>
      </c>
      <c r="T114">
        <v>154.94999999999999</v>
      </c>
      <c r="U114">
        <v>5610724</v>
      </c>
      <c r="V114">
        <v>37.1</v>
      </c>
      <c r="W114">
        <v>66235285</v>
      </c>
      <c r="X114">
        <v>137.68</v>
      </c>
      <c r="Y114">
        <v>2055207</v>
      </c>
      <c r="Z114">
        <v>15.94</v>
      </c>
      <c r="AA114">
        <v>942672</v>
      </c>
      <c r="AB114">
        <v>12.02</v>
      </c>
      <c r="AC114">
        <v>2386716</v>
      </c>
      <c r="AD114">
        <v>27.34</v>
      </c>
      <c r="AE114">
        <v>11865467</v>
      </c>
      <c r="AF114">
        <v>138.68</v>
      </c>
      <c r="AG114">
        <v>3442570</v>
      </c>
      <c r="AH114">
        <v>55.58</v>
      </c>
      <c r="AI114">
        <v>28914461</v>
      </c>
      <c r="AJ114">
        <v>469.61</v>
      </c>
      <c r="AK114">
        <v>271906486</v>
      </c>
      <c r="AL114">
        <v>2500.5700000000002</v>
      </c>
      <c r="AM114">
        <v>546</v>
      </c>
      <c r="AN114">
        <v>19873979</v>
      </c>
      <c r="AO114">
        <v>323.89</v>
      </c>
    </row>
    <row r="115" spans="1:41" x14ac:dyDescent="0.2">
      <c r="A115">
        <v>167</v>
      </c>
      <c r="B115">
        <v>86831710</v>
      </c>
      <c r="C115">
        <v>17468370</v>
      </c>
      <c r="D115">
        <v>23216662</v>
      </c>
      <c r="E115">
        <v>42097504</v>
      </c>
      <c r="F115">
        <v>169614246</v>
      </c>
      <c r="G115">
        <v>117577</v>
      </c>
      <c r="H115">
        <v>12536</v>
      </c>
      <c r="I115">
        <v>1823</v>
      </c>
      <c r="J115">
        <v>131936</v>
      </c>
      <c r="K115">
        <v>10184072</v>
      </c>
      <c r="L115">
        <v>113.08</v>
      </c>
      <c r="M115">
        <v>6964</v>
      </c>
      <c r="N115">
        <v>0.11</v>
      </c>
      <c r="O115">
        <v>1276415</v>
      </c>
      <c r="P115">
        <v>4.12</v>
      </c>
      <c r="Q115">
        <v>1289611</v>
      </c>
      <c r="R115">
        <v>10.16</v>
      </c>
      <c r="S115">
        <v>381485</v>
      </c>
      <c r="T115">
        <v>9.76</v>
      </c>
      <c r="U115">
        <v>603172</v>
      </c>
      <c r="V115">
        <v>4.22</v>
      </c>
      <c r="W115">
        <v>8653133</v>
      </c>
      <c r="X115">
        <v>22.05</v>
      </c>
      <c r="Y115">
        <v>754607</v>
      </c>
      <c r="Z115">
        <v>5.49</v>
      </c>
      <c r="AA115">
        <v>479164</v>
      </c>
      <c r="AB115">
        <v>6.08</v>
      </c>
      <c r="AC115">
        <v>589933</v>
      </c>
      <c r="AD115">
        <v>7.2</v>
      </c>
      <c r="AE115">
        <v>663522</v>
      </c>
      <c r="AF115">
        <v>10.19</v>
      </c>
      <c r="AG115">
        <v>943885</v>
      </c>
      <c r="AH115">
        <v>18</v>
      </c>
      <c r="AI115">
        <v>8967094</v>
      </c>
      <c r="AJ115">
        <v>121.71</v>
      </c>
      <c r="AK115">
        <v>38880979</v>
      </c>
      <c r="AL115">
        <v>402.23</v>
      </c>
      <c r="AM115">
        <v>83</v>
      </c>
      <c r="AN115">
        <v>4087922</v>
      </c>
      <c r="AO115">
        <v>70.06</v>
      </c>
    </row>
    <row r="116" spans="1:41" x14ac:dyDescent="0.2">
      <c r="A116">
        <v>168</v>
      </c>
      <c r="B116">
        <v>13197981</v>
      </c>
      <c r="C116">
        <v>35599309</v>
      </c>
      <c r="D116">
        <v>50798683</v>
      </c>
      <c r="E116">
        <v>242035742</v>
      </c>
      <c r="F116">
        <v>341631715</v>
      </c>
      <c r="G116">
        <v>277084</v>
      </c>
      <c r="H116">
        <v>28464</v>
      </c>
      <c r="I116">
        <v>2910</v>
      </c>
      <c r="J116">
        <v>308458</v>
      </c>
      <c r="K116">
        <v>27895905</v>
      </c>
      <c r="L116">
        <v>277.11</v>
      </c>
      <c r="M116">
        <v>33592</v>
      </c>
      <c r="N116">
        <v>0.61</v>
      </c>
      <c r="O116">
        <v>3254997</v>
      </c>
      <c r="P116">
        <v>16.940000000000001</v>
      </c>
      <c r="Q116">
        <v>1409477</v>
      </c>
      <c r="R116">
        <v>11.52</v>
      </c>
      <c r="S116">
        <v>6553131</v>
      </c>
      <c r="T116">
        <v>141.94</v>
      </c>
      <c r="U116">
        <v>1575574</v>
      </c>
      <c r="V116">
        <v>11.6</v>
      </c>
      <c r="W116" t="s">
        <v>2090</v>
      </c>
      <c r="X116" t="s">
        <v>2090</v>
      </c>
      <c r="Y116">
        <v>1753201</v>
      </c>
      <c r="Z116">
        <v>12.47</v>
      </c>
      <c r="AA116">
        <v>557615</v>
      </c>
      <c r="AB116">
        <v>6.65</v>
      </c>
      <c r="AC116">
        <v>2464616</v>
      </c>
      <c r="AD116">
        <v>27.5</v>
      </c>
      <c r="AE116">
        <v>5163196</v>
      </c>
      <c r="AF116">
        <v>59.91</v>
      </c>
      <c r="AG116">
        <v>2698546</v>
      </c>
      <c r="AH116">
        <v>43.31</v>
      </c>
      <c r="AI116">
        <v>35438095</v>
      </c>
      <c r="AJ116">
        <v>489.37</v>
      </c>
      <c r="AK116">
        <v>91461332</v>
      </c>
      <c r="AL116">
        <v>1148.3499999999999</v>
      </c>
      <c r="AM116">
        <v>109</v>
      </c>
      <c r="AN116">
        <v>2663387</v>
      </c>
      <c r="AO116">
        <v>49.42</v>
      </c>
    </row>
    <row r="117" spans="1:41" x14ac:dyDescent="0.2">
      <c r="A117">
        <v>169</v>
      </c>
      <c r="B117">
        <v>4077253</v>
      </c>
      <c r="C117">
        <v>1094139</v>
      </c>
      <c r="D117" t="s">
        <v>2090</v>
      </c>
      <c r="E117">
        <v>5284708</v>
      </c>
      <c r="F117">
        <v>10456100</v>
      </c>
      <c r="G117">
        <v>11021</v>
      </c>
      <c r="H117">
        <v>1158</v>
      </c>
      <c r="I117" t="s">
        <v>2090</v>
      </c>
      <c r="J117">
        <v>12179</v>
      </c>
      <c r="K117">
        <v>1678786</v>
      </c>
      <c r="L117">
        <v>18.48</v>
      </c>
      <c r="M117">
        <v>492677</v>
      </c>
      <c r="N117">
        <v>8.26</v>
      </c>
      <c r="O117" t="s">
        <v>2090</v>
      </c>
      <c r="P117" t="s">
        <v>2090</v>
      </c>
      <c r="Q117">
        <v>801321</v>
      </c>
      <c r="R117">
        <v>3.1</v>
      </c>
      <c r="S117">
        <v>165275</v>
      </c>
      <c r="T117">
        <v>3.66</v>
      </c>
      <c r="U117">
        <v>104794</v>
      </c>
      <c r="V117">
        <v>0.68</v>
      </c>
      <c r="W117">
        <v>152913</v>
      </c>
      <c r="X117">
        <v>0.43</v>
      </c>
      <c r="Y117">
        <v>217868</v>
      </c>
      <c r="Z117">
        <v>1.04</v>
      </c>
      <c r="AA117" t="s">
        <v>2090</v>
      </c>
      <c r="AB117" t="s">
        <v>2090</v>
      </c>
      <c r="AC117">
        <v>333204</v>
      </c>
      <c r="AD117">
        <v>3.39</v>
      </c>
      <c r="AE117">
        <v>362961</v>
      </c>
      <c r="AF117">
        <v>4.42</v>
      </c>
      <c r="AG117">
        <v>336595</v>
      </c>
      <c r="AH117">
        <v>4.2699999999999996</v>
      </c>
      <c r="AI117">
        <v>1220105</v>
      </c>
      <c r="AJ117">
        <v>27.1</v>
      </c>
      <c r="AK117">
        <v>5866499</v>
      </c>
      <c r="AL117">
        <v>74.83</v>
      </c>
      <c r="AM117">
        <v>12</v>
      </c>
      <c r="AN117" t="s">
        <v>2090</v>
      </c>
      <c r="AO117" t="s">
        <v>2090</v>
      </c>
    </row>
    <row r="118" spans="1:41" x14ac:dyDescent="0.2">
      <c r="A118">
        <v>170</v>
      </c>
      <c r="B118">
        <v>3161913</v>
      </c>
      <c r="C118">
        <v>3996595</v>
      </c>
      <c r="D118">
        <v>5465</v>
      </c>
      <c r="E118">
        <v>23851379</v>
      </c>
      <c r="F118">
        <v>31015352</v>
      </c>
      <c r="G118">
        <v>21161</v>
      </c>
      <c r="H118">
        <v>3994</v>
      </c>
      <c r="I118">
        <v>1</v>
      </c>
      <c r="J118">
        <v>25156</v>
      </c>
      <c r="K118">
        <v>2338795</v>
      </c>
      <c r="L118">
        <v>26.74</v>
      </c>
      <c r="M118">
        <v>335048</v>
      </c>
      <c r="N118">
        <v>6.6</v>
      </c>
      <c r="O118" t="s">
        <v>2090</v>
      </c>
      <c r="P118" t="s">
        <v>2090</v>
      </c>
      <c r="Q118">
        <v>686655</v>
      </c>
      <c r="R118">
        <v>5.45</v>
      </c>
      <c r="S118">
        <v>106073</v>
      </c>
      <c r="T118">
        <v>2.78</v>
      </c>
      <c r="U118">
        <v>159083</v>
      </c>
      <c r="V118">
        <v>1</v>
      </c>
      <c r="W118">
        <v>1675444</v>
      </c>
      <c r="X118">
        <v>5.67</v>
      </c>
      <c r="Y118">
        <v>832025</v>
      </c>
      <c r="Z118">
        <v>5.51</v>
      </c>
      <c r="AA118">
        <v>82534</v>
      </c>
      <c r="AB118">
        <v>1</v>
      </c>
      <c r="AC118">
        <v>255423</v>
      </c>
      <c r="AD118">
        <v>3.04</v>
      </c>
      <c r="AE118">
        <v>476364</v>
      </c>
      <c r="AF118">
        <v>5.07</v>
      </c>
      <c r="AG118">
        <v>426270</v>
      </c>
      <c r="AH118">
        <v>5.63</v>
      </c>
      <c r="AI118">
        <v>1292329</v>
      </c>
      <c r="AJ118">
        <v>21.32</v>
      </c>
      <c r="AK118">
        <v>9030217</v>
      </c>
      <c r="AL118">
        <v>98.38</v>
      </c>
      <c r="AM118">
        <v>35</v>
      </c>
      <c r="AN118">
        <v>364174</v>
      </c>
      <c r="AO118">
        <v>8.57</v>
      </c>
    </row>
    <row r="119" spans="1:41" x14ac:dyDescent="0.2">
      <c r="A119">
        <v>171</v>
      </c>
      <c r="B119">
        <v>4720299</v>
      </c>
      <c r="C119">
        <v>3007988</v>
      </c>
      <c r="D119">
        <v>53481</v>
      </c>
      <c r="E119">
        <v>20075262</v>
      </c>
      <c r="F119">
        <v>27857030</v>
      </c>
      <c r="G119">
        <v>16744</v>
      </c>
      <c r="H119">
        <v>2787</v>
      </c>
      <c r="I119">
        <v>5</v>
      </c>
      <c r="J119">
        <v>19536</v>
      </c>
      <c r="K119">
        <v>1862780</v>
      </c>
      <c r="L119">
        <v>22.48</v>
      </c>
      <c r="M119">
        <v>180853</v>
      </c>
      <c r="N119">
        <v>3.43</v>
      </c>
      <c r="O119" t="s">
        <v>2090</v>
      </c>
      <c r="P119" t="s">
        <v>2090</v>
      </c>
      <c r="Q119">
        <v>839089</v>
      </c>
      <c r="R119">
        <v>4.99</v>
      </c>
      <c r="S119">
        <v>125578</v>
      </c>
      <c r="T119">
        <v>2.99</v>
      </c>
      <c r="U119">
        <v>155196</v>
      </c>
      <c r="V119">
        <v>0.97</v>
      </c>
      <c r="W119">
        <v>1151947</v>
      </c>
      <c r="X119">
        <v>3.7</v>
      </c>
      <c r="Y119">
        <v>628131</v>
      </c>
      <c r="Z119">
        <v>4.33</v>
      </c>
      <c r="AA119" t="s">
        <v>2090</v>
      </c>
      <c r="AB119" t="s">
        <v>2090</v>
      </c>
      <c r="AC119" t="s">
        <v>2090</v>
      </c>
      <c r="AD119" t="s">
        <v>2090</v>
      </c>
      <c r="AE119">
        <v>405958</v>
      </c>
      <c r="AF119">
        <v>4.04</v>
      </c>
      <c r="AG119">
        <v>344032</v>
      </c>
      <c r="AH119">
        <v>5.07</v>
      </c>
      <c r="AI119">
        <v>1092581</v>
      </c>
      <c r="AJ119">
        <v>20.54</v>
      </c>
      <c r="AK119">
        <v>7178398</v>
      </c>
      <c r="AL119">
        <v>81.03</v>
      </c>
      <c r="AM119">
        <v>25</v>
      </c>
      <c r="AN119">
        <v>392253</v>
      </c>
      <c r="AO119">
        <v>8.49</v>
      </c>
    </row>
    <row r="120" spans="1:41" x14ac:dyDescent="0.2">
      <c r="A120">
        <v>172</v>
      </c>
      <c r="B120">
        <v>7900791</v>
      </c>
      <c r="C120">
        <v>9497091</v>
      </c>
      <c r="D120">
        <v>18590992</v>
      </c>
      <c r="E120">
        <v>103429287</v>
      </c>
      <c r="F120">
        <v>139418161</v>
      </c>
      <c r="G120">
        <v>37055</v>
      </c>
      <c r="H120">
        <v>7053</v>
      </c>
      <c r="I120">
        <v>2206</v>
      </c>
      <c r="J120">
        <v>46314</v>
      </c>
      <c r="K120">
        <v>6030149</v>
      </c>
      <c r="L120">
        <v>71.23</v>
      </c>
      <c r="M120">
        <v>161931</v>
      </c>
      <c r="N120">
        <v>3.48</v>
      </c>
      <c r="O120">
        <v>1726222</v>
      </c>
      <c r="P120">
        <v>6.33</v>
      </c>
      <c r="Q120">
        <v>516730</v>
      </c>
      <c r="R120">
        <v>3.59</v>
      </c>
      <c r="S120">
        <v>617093</v>
      </c>
      <c r="T120">
        <v>14.23</v>
      </c>
      <c r="U120">
        <v>411007</v>
      </c>
      <c r="V120">
        <v>3.06</v>
      </c>
      <c r="W120">
        <v>5991550</v>
      </c>
      <c r="X120">
        <v>13.1</v>
      </c>
      <c r="Y120">
        <v>511782</v>
      </c>
      <c r="Z120">
        <v>3.66</v>
      </c>
      <c r="AA120" t="s">
        <v>2090</v>
      </c>
      <c r="AB120" t="s">
        <v>2090</v>
      </c>
      <c r="AC120" t="s">
        <v>2090</v>
      </c>
      <c r="AD120" t="s">
        <v>2090</v>
      </c>
      <c r="AE120">
        <v>929491</v>
      </c>
      <c r="AF120">
        <v>12.72</v>
      </c>
      <c r="AG120">
        <v>529589</v>
      </c>
      <c r="AH120">
        <v>10.16</v>
      </c>
      <c r="AI120">
        <v>10078768</v>
      </c>
      <c r="AJ120">
        <v>158.74</v>
      </c>
      <c r="AK120">
        <v>27515838</v>
      </c>
      <c r="AL120">
        <v>300.45</v>
      </c>
      <c r="AM120">
        <v>49</v>
      </c>
      <c r="AN120">
        <v>11526</v>
      </c>
      <c r="AO120">
        <v>0.15</v>
      </c>
    </row>
    <row r="121" spans="1:41" x14ac:dyDescent="0.2">
      <c r="A121">
        <v>174</v>
      </c>
      <c r="B121">
        <v>1050825</v>
      </c>
      <c r="C121">
        <v>514933</v>
      </c>
      <c r="D121">
        <v>619139</v>
      </c>
      <c r="E121">
        <v>4499160</v>
      </c>
      <c r="F121">
        <v>6684057</v>
      </c>
      <c r="G121">
        <v>12572</v>
      </c>
      <c r="H121">
        <v>813</v>
      </c>
      <c r="I121">
        <v>203</v>
      </c>
      <c r="J121">
        <v>13588</v>
      </c>
      <c r="K121">
        <v>634939</v>
      </c>
      <c r="L121">
        <v>8.59</v>
      </c>
      <c r="M121">
        <v>73694</v>
      </c>
      <c r="N121">
        <v>1.48</v>
      </c>
      <c r="O121" t="s">
        <v>2090</v>
      </c>
      <c r="P121" t="s">
        <v>2090</v>
      </c>
      <c r="Q121">
        <v>194633</v>
      </c>
      <c r="R121">
        <v>1.63</v>
      </c>
      <c r="S121" t="s">
        <v>2090</v>
      </c>
      <c r="T121" t="s">
        <v>2090</v>
      </c>
      <c r="U121">
        <v>109381</v>
      </c>
      <c r="V121">
        <v>0.77</v>
      </c>
      <c r="W121">
        <v>60965</v>
      </c>
      <c r="X121">
        <v>0.33</v>
      </c>
      <c r="Y121">
        <v>148980</v>
      </c>
      <c r="Z121">
        <v>1.25</v>
      </c>
      <c r="AA121" t="s">
        <v>2090</v>
      </c>
      <c r="AB121" t="s">
        <v>2090</v>
      </c>
      <c r="AC121" t="s">
        <v>2090</v>
      </c>
      <c r="AD121" t="s">
        <v>2090</v>
      </c>
      <c r="AE121">
        <v>125929</v>
      </c>
      <c r="AF121">
        <v>1.6</v>
      </c>
      <c r="AG121">
        <v>193772</v>
      </c>
      <c r="AH121">
        <v>2.44</v>
      </c>
      <c r="AI121">
        <v>541023</v>
      </c>
      <c r="AJ121">
        <v>12.52</v>
      </c>
      <c r="AK121">
        <v>2527861</v>
      </c>
      <c r="AL121">
        <v>38.01</v>
      </c>
      <c r="AM121">
        <v>25</v>
      </c>
      <c r="AN121">
        <v>444545</v>
      </c>
      <c r="AO121">
        <v>7.4</v>
      </c>
    </row>
    <row r="122" spans="1:41" x14ac:dyDescent="0.2">
      <c r="A122">
        <v>175</v>
      </c>
      <c r="B122">
        <v>8930544</v>
      </c>
      <c r="C122">
        <v>4505139</v>
      </c>
      <c r="D122">
        <v>476958</v>
      </c>
      <c r="E122">
        <v>1529530</v>
      </c>
      <c r="F122">
        <v>15442171</v>
      </c>
      <c r="G122">
        <v>21224</v>
      </c>
      <c r="H122">
        <v>2994</v>
      </c>
      <c r="I122">
        <v>113</v>
      </c>
      <c r="J122">
        <v>24331</v>
      </c>
      <c r="K122">
        <v>1249485</v>
      </c>
      <c r="L122">
        <v>14.39</v>
      </c>
      <c r="M122">
        <v>113382</v>
      </c>
      <c r="N122">
        <v>2.33</v>
      </c>
      <c r="O122">
        <v>17464</v>
      </c>
      <c r="P122">
        <v>0.08</v>
      </c>
      <c r="Q122">
        <v>337027</v>
      </c>
      <c r="R122">
        <v>1.99</v>
      </c>
      <c r="S122">
        <v>1314</v>
      </c>
      <c r="T122" t="s">
        <v>2090</v>
      </c>
      <c r="U122">
        <v>163285</v>
      </c>
      <c r="V122">
        <v>1.07</v>
      </c>
      <c r="W122">
        <v>559241</v>
      </c>
      <c r="X122">
        <v>1.63</v>
      </c>
      <c r="Y122">
        <v>106191</v>
      </c>
      <c r="Z122">
        <v>0.6</v>
      </c>
      <c r="AA122">
        <v>108968</v>
      </c>
      <c r="AB122">
        <v>1.37</v>
      </c>
      <c r="AC122">
        <v>137997</v>
      </c>
      <c r="AD122">
        <v>1.41</v>
      </c>
      <c r="AE122">
        <v>219372</v>
      </c>
      <c r="AF122">
        <v>2.33</v>
      </c>
      <c r="AG122">
        <v>346626</v>
      </c>
      <c r="AH122">
        <v>4.45</v>
      </c>
      <c r="AI122">
        <v>1570223</v>
      </c>
      <c r="AJ122">
        <v>33.67</v>
      </c>
      <c r="AK122">
        <v>5181815</v>
      </c>
      <c r="AL122">
        <v>69.94</v>
      </c>
      <c r="AM122">
        <v>16</v>
      </c>
      <c r="AN122">
        <v>251240</v>
      </c>
      <c r="AO122">
        <v>4.62</v>
      </c>
    </row>
    <row r="123" spans="1:41" x14ac:dyDescent="0.2">
      <c r="A123">
        <v>176</v>
      </c>
      <c r="B123">
        <v>12806224</v>
      </c>
      <c r="C123">
        <v>3252248</v>
      </c>
      <c r="D123">
        <v>3315356</v>
      </c>
      <c r="E123">
        <v>7737006</v>
      </c>
      <c r="F123">
        <v>27110834</v>
      </c>
      <c r="G123">
        <v>13660</v>
      </c>
      <c r="H123">
        <v>3735</v>
      </c>
      <c r="I123">
        <v>891</v>
      </c>
      <c r="J123">
        <v>18286</v>
      </c>
      <c r="K123">
        <v>2484314</v>
      </c>
      <c r="L123">
        <v>30.2</v>
      </c>
      <c r="M123">
        <v>80114</v>
      </c>
      <c r="N123">
        <v>1.9</v>
      </c>
      <c r="O123" t="s">
        <v>2090</v>
      </c>
      <c r="P123" t="s">
        <v>2090</v>
      </c>
      <c r="Q123">
        <v>214737</v>
      </c>
      <c r="R123">
        <v>1.75</v>
      </c>
      <c r="S123">
        <v>108724</v>
      </c>
      <c r="T123">
        <v>3.42</v>
      </c>
      <c r="U123">
        <v>148636</v>
      </c>
      <c r="V123">
        <v>0.9</v>
      </c>
      <c r="W123" t="s">
        <v>2090</v>
      </c>
      <c r="X123" t="s">
        <v>2090</v>
      </c>
      <c r="Y123" t="s">
        <v>2090</v>
      </c>
      <c r="Z123" t="s">
        <v>2090</v>
      </c>
      <c r="AA123">
        <v>86848</v>
      </c>
      <c r="AB123">
        <v>1</v>
      </c>
      <c r="AC123">
        <v>308960</v>
      </c>
      <c r="AD123">
        <v>3.65</v>
      </c>
      <c r="AE123">
        <v>343531</v>
      </c>
      <c r="AF123">
        <v>5.16</v>
      </c>
      <c r="AG123">
        <v>471691</v>
      </c>
      <c r="AH123">
        <v>7.15</v>
      </c>
      <c r="AI123">
        <v>3154897</v>
      </c>
      <c r="AJ123">
        <v>59.81</v>
      </c>
      <c r="AK123">
        <v>7502952</v>
      </c>
      <c r="AL123">
        <v>116.44</v>
      </c>
      <c r="AM123">
        <v>18</v>
      </c>
      <c r="AN123">
        <v>100500</v>
      </c>
      <c r="AO123">
        <v>1.5</v>
      </c>
    </row>
    <row r="124" spans="1:41" x14ac:dyDescent="0.2">
      <c r="A124">
        <v>177</v>
      </c>
      <c r="B124">
        <v>9978144</v>
      </c>
      <c r="C124">
        <v>7994281</v>
      </c>
      <c r="D124">
        <v>5030685</v>
      </c>
      <c r="E124">
        <v>62064025</v>
      </c>
      <c r="F124">
        <v>85067135</v>
      </c>
      <c r="G124">
        <v>33909</v>
      </c>
      <c r="H124">
        <v>5776</v>
      </c>
      <c r="I124">
        <v>811</v>
      </c>
      <c r="J124">
        <v>40496</v>
      </c>
      <c r="K124">
        <v>5252707</v>
      </c>
      <c r="L124">
        <v>63.98</v>
      </c>
      <c r="M124">
        <v>516994</v>
      </c>
      <c r="N124">
        <v>11.02</v>
      </c>
      <c r="O124">
        <v>913053</v>
      </c>
      <c r="P124">
        <v>2.4</v>
      </c>
      <c r="Q124">
        <v>552183</v>
      </c>
      <c r="R124">
        <v>4.99</v>
      </c>
      <c r="S124" t="s">
        <v>2090</v>
      </c>
      <c r="T124" t="s">
        <v>2090</v>
      </c>
      <c r="U124">
        <v>639084</v>
      </c>
      <c r="V124">
        <v>4.62</v>
      </c>
      <c r="W124">
        <v>5506650</v>
      </c>
      <c r="X124">
        <v>12.54</v>
      </c>
      <c r="Y124">
        <v>397396</v>
      </c>
      <c r="Z124">
        <v>3.42</v>
      </c>
      <c r="AA124">
        <v>59726</v>
      </c>
      <c r="AB124">
        <v>0.99</v>
      </c>
      <c r="AC124">
        <v>99114</v>
      </c>
      <c r="AD124">
        <v>1.32</v>
      </c>
      <c r="AE124">
        <v>610369</v>
      </c>
      <c r="AF124">
        <v>8.4</v>
      </c>
      <c r="AG124">
        <v>638818</v>
      </c>
      <c r="AH124">
        <v>11.78</v>
      </c>
      <c r="AI124">
        <v>4831658</v>
      </c>
      <c r="AJ124">
        <v>82.59</v>
      </c>
      <c r="AK124">
        <v>20791528</v>
      </c>
      <c r="AL124">
        <v>223.4</v>
      </c>
      <c r="AM124">
        <v>48</v>
      </c>
      <c r="AN124">
        <v>773776</v>
      </c>
      <c r="AO124">
        <v>15.35</v>
      </c>
    </row>
    <row r="125" spans="1:41" x14ac:dyDescent="0.2">
      <c r="A125">
        <v>180</v>
      </c>
      <c r="B125">
        <v>149039973</v>
      </c>
      <c r="C125">
        <v>43415995</v>
      </c>
      <c r="D125">
        <v>85570905</v>
      </c>
      <c r="E125">
        <v>188185964</v>
      </c>
      <c r="F125">
        <v>466212837</v>
      </c>
      <c r="G125">
        <v>48477</v>
      </c>
      <c r="H125">
        <v>40348</v>
      </c>
      <c r="I125">
        <v>2966</v>
      </c>
      <c r="J125">
        <v>91791</v>
      </c>
      <c r="K125">
        <v>59617128</v>
      </c>
      <c r="L125">
        <v>478.24</v>
      </c>
      <c r="M125">
        <v>95671</v>
      </c>
      <c r="N125">
        <v>1.47</v>
      </c>
      <c r="O125" t="s">
        <v>2090</v>
      </c>
      <c r="P125" t="s">
        <v>2090</v>
      </c>
      <c r="Q125">
        <v>790041</v>
      </c>
      <c r="R125">
        <v>4.5</v>
      </c>
      <c r="S125">
        <v>5046746</v>
      </c>
      <c r="T125">
        <v>96.33</v>
      </c>
      <c r="U125">
        <v>3582624</v>
      </c>
      <c r="V125">
        <v>24.22</v>
      </c>
      <c r="W125">
        <v>7385455</v>
      </c>
      <c r="X125">
        <v>19.68</v>
      </c>
      <c r="Y125">
        <v>84022</v>
      </c>
      <c r="Z125">
        <v>0.62</v>
      </c>
      <c r="AA125">
        <v>630777</v>
      </c>
      <c r="AB125">
        <v>6.87</v>
      </c>
      <c r="AC125">
        <v>636656</v>
      </c>
      <c r="AD125">
        <v>6.04</v>
      </c>
      <c r="AE125">
        <v>5340751</v>
      </c>
      <c r="AF125">
        <v>55.15</v>
      </c>
      <c r="AG125">
        <v>2622872</v>
      </c>
      <c r="AH125">
        <v>38.4</v>
      </c>
      <c r="AI125">
        <v>19444691</v>
      </c>
      <c r="AJ125">
        <v>260.3</v>
      </c>
      <c r="AK125">
        <v>112887736</v>
      </c>
      <c r="AL125">
        <v>1092.69</v>
      </c>
      <c r="AM125">
        <v>184</v>
      </c>
      <c r="AN125">
        <v>7610302</v>
      </c>
      <c r="AO125">
        <v>100.87</v>
      </c>
    </row>
    <row r="126" spans="1:41" x14ac:dyDescent="0.2">
      <c r="A126">
        <v>183</v>
      </c>
      <c r="B126">
        <v>0</v>
      </c>
      <c r="C126" t="s">
        <v>2090</v>
      </c>
      <c r="D126" t="s">
        <v>2090</v>
      </c>
      <c r="E126" t="s">
        <v>2090</v>
      </c>
      <c r="F126">
        <v>0</v>
      </c>
      <c r="G126" t="s">
        <v>2090</v>
      </c>
      <c r="H126" t="s">
        <v>2090</v>
      </c>
      <c r="I126" t="s">
        <v>2090</v>
      </c>
      <c r="J126" t="s">
        <v>2090</v>
      </c>
      <c r="K126">
        <v>7217954</v>
      </c>
      <c r="L126">
        <v>74.209999999999994</v>
      </c>
      <c r="M126">
        <v>0</v>
      </c>
      <c r="N126">
        <v>0</v>
      </c>
      <c r="O126" t="s">
        <v>2090</v>
      </c>
      <c r="P126" t="s">
        <v>2090</v>
      </c>
      <c r="Q126" t="s">
        <v>2090</v>
      </c>
      <c r="R126" t="s">
        <v>2090</v>
      </c>
      <c r="S126">
        <v>2173901</v>
      </c>
      <c r="T126">
        <v>45.74</v>
      </c>
      <c r="U126">
        <v>452155</v>
      </c>
      <c r="V126">
        <v>3.15</v>
      </c>
      <c r="W126" t="s">
        <v>2090</v>
      </c>
      <c r="X126" t="s">
        <v>2090</v>
      </c>
      <c r="Y126" t="s">
        <v>2090</v>
      </c>
      <c r="Z126" t="s">
        <v>2090</v>
      </c>
      <c r="AA126">
        <v>341713</v>
      </c>
      <c r="AB126">
        <v>5.2</v>
      </c>
      <c r="AC126">
        <v>360357</v>
      </c>
      <c r="AD126">
        <v>4.76</v>
      </c>
      <c r="AE126">
        <v>0</v>
      </c>
      <c r="AF126">
        <v>0</v>
      </c>
      <c r="AG126" t="s">
        <v>2090</v>
      </c>
      <c r="AH126" t="s">
        <v>2090</v>
      </c>
      <c r="AI126">
        <v>8987853</v>
      </c>
      <c r="AJ126">
        <v>103.45</v>
      </c>
      <c r="AK126">
        <v>19533933</v>
      </c>
      <c r="AL126">
        <v>236.51</v>
      </c>
      <c r="AM126">
        <v>92</v>
      </c>
      <c r="AN126" t="s">
        <v>2090</v>
      </c>
      <c r="AO126" t="s">
        <v>2090</v>
      </c>
    </row>
    <row r="127" spans="1:41" x14ac:dyDescent="0.2">
      <c r="A127">
        <v>184</v>
      </c>
      <c r="B127" t="s">
        <v>2170</v>
      </c>
      <c r="C127" t="s">
        <v>2170</v>
      </c>
      <c r="D127" t="s">
        <v>2170</v>
      </c>
      <c r="E127" t="s">
        <v>2170</v>
      </c>
      <c r="F127" t="s">
        <v>2170</v>
      </c>
      <c r="G127" t="s">
        <v>2170</v>
      </c>
      <c r="H127" t="s">
        <v>2170</v>
      </c>
      <c r="I127" t="s">
        <v>2170</v>
      </c>
      <c r="J127" t="s">
        <v>2170</v>
      </c>
      <c r="K127" t="s">
        <v>2170</v>
      </c>
      <c r="L127" t="s">
        <v>2170</v>
      </c>
      <c r="M127" t="s">
        <v>2170</v>
      </c>
      <c r="N127" t="s">
        <v>2170</v>
      </c>
      <c r="O127" t="s">
        <v>2170</v>
      </c>
      <c r="P127" t="s">
        <v>2170</v>
      </c>
      <c r="Q127" t="s">
        <v>2170</v>
      </c>
      <c r="R127" t="s">
        <v>2170</v>
      </c>
      <c r="S127" t="s">
        <v>2170</v>
      </c>
      <c r="T127" t="s">
        <v>2170</v>
      </c>
      <c r="U127" t="s">
        <v>2170</v>
      </c>
      <c r="V127" t="s">
        <v>2170</v>
      </c>
      <c r="W127" t="s">
        <v>2170</v>
      </c>
      <c r="X127" t="s">
        <v>2170</v>
      </c>
      <c r="Y127" t="s">
        <v>2170</v>
      </c>
      <c r="Z127" t="s">
        <v>2170</v>
      </c>
      <c r="AA127" t="s">
        <v>2170</v>
      </c>
      <c r="AB127" t="s">
        <v>2170</v>
      </c>
      <c r="AC127" t="s">
        <v>2170</v>
      </c>
      <c r="AD127" t="s">
        <v>2170</v>
      </c>
      <c r="AE127" t="s">
        <v>2170</v>
      </c>
      <c r="AF127" t="s">
        <v>2170</v>
      </c>
      <c r="AG127" t="s">
        <v>2170</v>
      </c>
      <c r="AH127" t="s">
        <v>2170</v>
      </c>
      <c r="AI127" t="s">
        <v>2170</v>
      </c>
      <c r="AJ127" t="s">
        <v>2170</v>
      </c>
      <c r="AK127" t="s">
        <v>2170</v>
      </c>
      <c r="AL127" t="s">
        <v>2170</v>
      </c>
      <c r="AM127" t="s">
        <v>2170</v>
      </c>
      <c r="AN127" t="s">
        <v>2170</v>
      </c>
      <c r="AO127" t="s">
        <v>2170</v>
      </c>
    </row>
    <row r="128" spans="1:41" x14ac:dyDescent="0.2">
      <c r="A128">
        <v>185</v>
      </c>
      <c r="B128">
        <v>1064004110</v>
      </c>
      <c r="C128">
        <v>57957001</v>
      </c>
      <c r="D128">
        <v>188125047</v>
      </c>
      <c r="E128">
        <v>619771572</v>
      </c>
      <c r="F128">
        <v>1929857730</v>
      </c>
      <c r="G128">
        <v>342540</v>
      </c>
      <c r="H128">
        <v>40537</v>
      </c>
      <c r="I128">
        <v>11692</v>
      </c>
      <c r="J128">
        <v>394769</v>
      </c>
      <c r="K128">
        <v>210466715</v>
      </c>
      <c r="L128">
        <v>1952.01</v>
      </c>
      <c r="M128">
        <v>434532</v>
      </c>
      <c r="N128">
        <v>7.57</v>
      </c>
      <c r="O128">
        <v>15850609</v>
      </c>
      <c r="P128">
        <v>75.97</v>
      </c>
      <c r="Q128">
        <v>11418351</v>
      </c>
      <c r="R128">
        <v>64.95</v>
      </c>
      <c r="S128">
        <v>2920153</v>
      </c>
      <c r="T128">
        <v>62.29</v>
      </c>
      <c r="U128">
        <v>13672904</v>
      </c>
      <c r="V128">
        <v>103.32</v>
      </c>
      <c r="W128">
        <v>28954079</v>
      </c>
      <c r="X128">
        <v>70.33</v>
      </c>
      <c r="Y128">
        <v>3620996</v>
      </c>
      <c r="Z128">
        <v>26.98</v>
      </c>
      <c r="AA128">
        <v>4267679</v>
      </c>
      <c r="AB128">
        <v>54.15</v>
      </c>
      <c r="AC128">
        <v>3920431</v>
      </c>
      <c r="AD128">
        <v>45.06</v>
      </c>
      <c r="AE128">
        <v>10823620</v>
      </c>
      <c r="AF128">
        <v>120.01</v>
      </c>
      <c r="AG128">
        <v>32693178</v>
      </c>
      <c r="AH128">
        <v>475.89</v>
      </c>
      <c r="AI128">
        <v>84917186</v>
      </c>
      <c r="AJ128">
        <v>1202.79</v>
      </c>
      <c r="AK128">
        <v>487256878</v>
      </c>
      <c r="AL128">
        <v>5277.81</v>
      </c>
      <c r="AM128">
        <v>1700</v>
      </c>
      <c r="AN128">
        <v>63296445</v>
      </c>
      <c r="AO128">
        <v>1016.49</v>
      </c>
    </row>
    <row r="129" spans="1:41" x14ac:dyDescent="0.2">
      <c r="A129">
        <v>186</v>
      </c>
      <c r="B129">
        <v>55581925</v>
      </c>
      <c r="C129">
        <v>35194365</v>
      </c>
      <c r="D129">
        <v>39787842</v>
      </c>
      <c r="E129">
        <v>55676385</v>
      </c>
      <c r="F129">
        <v>186240517</v>
      </c>
      <c r="G129">
        <v>58399</v>
      </c>
      <c r="H129">
        <v>23062</v>
      </c>
      <c r="I129">
        <v>5246</v>
      </c>
      <c r="J129">
        <v>86707</v>
      </c>
      <c r="K129">
        <v>14179548</v>
      </c>
      <c r="L129">
        <v>126.77</v>
      </c>
      <c r="M129">
        <v>85490</v>
      </c>
      <c r="N129">
        <v>1.58</v>
      </c>
      <c r="O129" t="s">
        <v>2090</v>
      </c>
      <c r="P129" t="s">
        <v>2090</v>
      </c>
      <c r="Q129">
        <v>623314</v>
      </c>
      <c r="R129">
        <v>4.5999999999999996</v>
      </c>
      <c r="S129">
        <v>186899</v>
      </c>
      <c r="T129">
        <v>4.1500000000000004</v>
      </c>
      <c r="U129">
        <v>1287731</v>
      </c>
      <c r="V129">
        <v>8.5</v>
      </c>
      <c r="W129">
        <v>8168281</v>
      </c>
      <c r="X129">
        <v>25.58</v>
      </c>
      <c r="Y129" t="s">
        <v>2090</v>
      </c>
      <c r="Z129" t="s">
        <v>2090</v>
      </c>
      <c r="AA129">
        <v>181311</v>
      </c>
      <c r="AB129">
        <v>2.23</v>
      </c>
      <c r="AC129">
        <v>1027590</v>
      </c>
      <c r="AD129">
        <v>12.26</v>
      </c>
      <c r="AE129">
        <v>2186909</v>
      </c>
      <c r="AF129">
        <v>26.27</v>
      </c>
      <c r="AG129">
        <v>1143140</v>
      </c>
      <c r="AH129">
        <v>17.920000000000002</v>
      </c>
      <c r="AI129">
        <v>7132524</v>
      </c>
      <c r="AJ129">
        <v>110.56</v>
      </c>
      <c r="AK129">
        <v>39815781</v>
      </c>
      <c r="AL129">
        <v>406.52</v>
      </c>
      <c r="AM129">
        <v>61</v>
      </c>
      <c r="AN129">
        <v>3613044</v>
      </c>
      <c r="AO129">
        <v>66.099999999999994</v>
      </c>
    </row>
    <row r="130" spans="1:41" x14ac:dyDescent="0.2">
      <c r="A130">
        <v>187</v>
      </c>
      <c r="B130">
        <v>41127793</v>
      </c>
      <c r="C130">
        <v>36951522</v>
      </c>
      <c r="D130">
        <v>69942690</v>
      </c>
      <c r="E130">
        <v>135235907</v>
      </c>
      <c r="F130">
        <v>283257912</v>
      </c>
      <c r="G130">
        <v>25374</v>
      </c>
      <c r="H130">
        <v>29866</v>
      </c>
      <c r="I130">
        <v>2524</v>
      </c>
      <c r="J130">
        <v>57764</v>
      </c>
      <c r="K130">
        <v>27524469</v>
      </c>
      <c r="L130">
        <v>238.55</v>
      </c>
      <c r="M130" t="s">
        <v>2090</v>
      </c>
      <c r="N130" t="s">
        <v>2090</v>
      </c>
      <c r="O130" t="s">
        <v>2090</v>
      </c>
      <c r="P130" t="s">
        <v>2090</v>
      </c>
      <c r="Q130">
        <v>876890</v>
      </c>
      <c r="R130">
        <v>4.57</v>
      </c>
      <c r="S130">
        <v>1839285</v>
      </c>
      <c r="T130">
        <v>39.450000000000003</v>
      </c>
      <c r="U130">
        <v>2227858</v>
      </c>
      <c r="V130">
        <v>15.18</v>
      </c>
      <c r="W130">
        <v>3930338</v>
      </c>
      <c r="X130">
        <v>11.71</v>
      </c>
      <c r="Y130" t="s">
        <v>2090</v>
      </c>
      <c r="Z130" t="s">
        <v>2090</v>
      </c>
      <c r="AA130">
        <v>285144</v>
      </c>
      <c r="AB130">
        <v>3.29</v>
      </c>
      <c r="AC130">
        <v>336070</v>
      </c>
      <c r="AD130">
        <v>3.5</v>
      </c>
      <c r="AE130">
        <v>3108044</v>
      </c>
      <c r="AF130">
        <v>35.47</v>
      </c>
      <c r="AG130">
        <v>1539793</v>
      </c>
      <c r="AH130">
        <v>22.34</v>
      </c>
      <c r="AI130">
        <v>10437365</v>
      </c>
      <c r="AJ130">
        <v>137.5</v>
      </c>
      <c r="AK130">
        <v>57568771</v>
      </c>
      <c r="AL130">
        <v>594.46</v>
      </c>
      <c r="AM130">
        <v>86</v>
      </c>
      <c r="AN130">
        <v>5463515</v>
      </c>
      <c r="AO130">
        <v>82.9</v>
      </c>
    </row>
    <row r="131" spans="1:41" x14ac:dyDescent="0.2">
      <c r="A131">
        <v>191</v>
      </c>
      <c r="B131">
        <v>33393288</v>
      </c>
      <c r="C131">
        <v>42809705</v>
      </c>
      <c r="D131">
        <v>51609236</v>
      </c>
      <c r="E131">
        <v>44488487</v>
      </c>
      <c r="F131">
        <v>172300716</v>
      </c>
      <c r="G131">
        <v>9629</v>
      </c>
      <c r="H131">
        <v>39314</v>
      </c>
      <c r="I131">
        <v>3782</v>
      </c>
      <c r="J131">
        <v>52725</v>
      </c>
      <c r="K131">
        <v>33792762</v>
      </c>
      <c r="L131">
        <v>309.97000000000003</v>
      </c>
      <c r="M131" t="s">
        <v>2090</v>
      </c>
      <c r="N131" t="s">
        <v>2090</v>
      </c>
      <c r="O131" t="s">
        <v>2090</v>
      </c>
      <c r="P131" t="s">
        <v>2090</v>
      </c>
      <c r="Q131" t="s">
        <v>2090</v>
      </c>
      <c r="R131" t="s">
        <v>2090</v>
      </c>
      <c r="S131">
        <v>2753896</v>
      </c>
      <c r="T131">
        <v>58.16</v>
      </c>
      <c r="U131">
        <v>2125821</v>
      </c>
      <c r="V131">
        <v>14.45</v>
      </c>
      <c r="W131" t="s">
        <v>2090</v>
      </c>
      <c r="X131" t="s">
        <v>2090</v>
      </c>
      <c r="Y131" t="s">
        <v>2090</v>
      </c>
      <c r="Z131" t="s">
        <v>2090</v>
      </c>
      <c r="AA131">
        <v>5774</v>
      </c>
      <c r="AB131">
        <v>0.05</v>
      </c>
      <c r="AC131">
        <v>2953</v>
      </c>
      <c r="AD131">
        <v>0.02</v>
      </c>
      <c r="AE131">
        <v>2260406</v>
      </c>
      <c r="AF131">
        <v>24.55</v>
      </c>
      <c r="AG131">
        <v>1691663</v>
      </c>
      <c r="AH131">
        <v>23.15</v>
      </c>
      <c r="AI131">
        <v>24491877</v>
      </c>
      <c r="AJ131">
        <v>335.04</v>
      </c>
      <c r="AK131">
        <v>76701640</v>
      </c>
      <c r="AL131">
        <v>875.44</v>
      </c>
      <c r="AM131">
        <v>130</v>
      </c>
      <c r="AN131">
        <v>9576488</v>
      </c>
      <c r="AO131">
        <v>110.05</v>
      </c>
    </row>
    <row r="132" spans="1:41" x14ac:dyDescent="0.2">
      <c r="A132">
        <v>200</v>
      </c>
      <c r="B132" t="s">
        <v>2090</v>
      </c>
      <c r="C132" t="s">
        <v>2090</v>
      </c>
      <c r="D132" t="s">
        <v>2090</v>
      </c>
      <c r="E132" t="s">
        <v>2090</v>
      </c>
      <c r="F132">
        <v>0</v>
      </c>
      <c r="G132" t="s">
        <v>2090</v>
      </c>
      <c r="H132" t="s">
        <v>2090</v>
      </c>
      <c r="I132" t="s">
        <v>2090</v>
      </c>
      <c r="J132">
        <v>0</v>
      </c>
      <c r="K132">
        <v>9306747</v>
      </c>
      <c r="L132">
        <v>96.12</v>
      </c>
      <c r="M132">
        <v>2913250</v>
      </c>
      <c r="N132">
        <v>43.58</v>
      </c>
      <c r="O132" t="s">
        <v>2090</v>
      </c>
      <c r="P132" t="s">
        <v>2090</v>
      </c>
      <c r="Q132">
        <v>1049426</v>
      </c>
      <c r="R132">
        <v>7.48</v>
      </c>
      <c r="S132">
        <v>3885377</v>
      </c>
      <c r="T132">
        <v>68.63</v>
      </c>
      <c r="U132">
        <v>669294</v>
      </c>
      <c r="V132">
        <v>4.96</v>
      </c>
      <c r="W132">
        <v>2089420</v>
      </c>
      <c r="X132">
        <v>5.76</v>
      </c>
      <c r="Y132" t="s">
        <v>2090</v>
      </c>
      <c r="Z132" t="s">
        <v>2090</v>
      </c>
      <c r="AA132">
        <v>210886</v>
      </c>
      <c r="AB132">
        <v>2.4300000000000002</v>
      </c>
      <c r="AC132" t="s">
        <v>2090</v>
      </c>
      <c r="AD132" t="s">
        <v>2090</v>
      </c>
      <c r="AE132">
        <v>0</v>
      </c>
      <c r="AF132">
        <v>0</v>
      </c>
      <c r="AG132" t="s">
        <v>2090</v>
      </c>
      <c r="AH132" t="s">
        <v>2090</v>
      </c>
      <c r="AI132">
        <v>9835018</v>
      </c>
      <c r="AJ132">
        <v>162.4</v>
      </c>
      <c r="AK132">
        <v>33408873</v>
      </c>
      <c r="AL132">
        <v>455.83</v>
      </c>
      <c r="AM132">
        <v>175</v>
      </c>
      <c r="AN132">
        <v>3449456</v>
      </c>
      <c r="AO132">
        <v>64.47</v>
      </c>
    </row>
    <row r="133" spans="1:41" x14ac:dyDescent="0.2">
      <c r="A133">
        <v>209</v>
      </c>
      <c r="B133" t="s">
        <v>2090</v>
      </c>
      <c r="C133" t="s">
        <v>2090</v>
      </c>
      <c r="D133" t="s">
        <v>2090</v>
      </c>
      <c r="E133" t="s">
        <v>2090</v>
      </c>
      <c r="F133">
        <v>0</v>
      </c>
      <c r="G133" t="s">
        <v>2090</v>
      </c>
      <c r="H133" t="s">
        <v>2090</v>
      </c>
      <c r="I133" t="s">
        <v>2090</v>
      </c>
      <c r="J133">
        <v>0</v>
      </c>
      <c r="K133">
        <v>1056153</v>
      </c>
      <c r="L133">
        <v>11.14</v>
      </c>
      <c r="M133">
        <v>82520</v>
      </c>
      <c r="N133">
        <v>1.48</v>
      </c>
      <c r="O133" t="s">
        <v>2090</v>
      </c>
      <c r="P133" t="s">
        <v>2090</v>
      </c>
      <c r="Q133">
        <v>225079</v>
      </c>
      <c r="R133">
        <v>0.98</v>
      </c>
      <c r="S133">
        <v>172082</v>
      </c>
      <c r="T133">
        <v>3.33</v>
      </c>
      <c r="U133" t="s">
        <v>2090</v>
      </c>
      <c r="V133" t="s">
        <v>2090</v>
      </c>
      <c r="W133">
        <v>369359</v>
      </c>
      <c r="X133">
        <v>0.81</v>
      </c>
      <c r="Y133" t="s">
        <v>2090</v>
      </c>
      <c r="Z133" t="s">
        <v>2090</v>
      </c>
      <c r="AA133">
        <v>121066</v>
      </c>
      <c r="AB133">
        <v>1.37</v>
      </c>
      <c r="AC133" t="s">
        <v>2090</v>
      </c>
      <c r="AD133" t="s">
        <v>2090</v>
      </c>
      <c r="AE133">
        <v>0</v>
      </c>
      <c r="AF133">
        <v>0</v>
      </c>
      <c r="AG133" t="s">
        <v>2090</v>
      </c>
      <c r="AH133" t="s">
        <v>2090</v>
      </c>
      <c r="AI133">
        <v>868483</v>
      </c>
      <c r="AJ133">
        <v>12.44</v>
      </c>
      <c r="AK133">
        <v>3318269</v>
      </c>
      <c r="AL133">
        <v>40.58</v>
      </c>
      <c r="AM133">
        <v>16</v>
      </c>
      <c r="AN133">
        <v>423528</v>
      </c>
      <c r="AO133">
        <v>9.0299999999999994</v>
      </c>
    </row>
    <row r="134" spans="1:41" x14ac:dyDescent="0.2">
      <c r="A134">
        <v>210</v>
      </c>
      <c r="B134" t="s">
        <v>2170</v>
      </c>
      <c r="C134" t="s">
        <v>2170</v>
      </c>
      <c r="D134" t="s">
        <v>2170</v>
      </c>
      <c r="E134" t="s">
        <v>2170</v>
      </c>
      <c r="F134" t="s">
        <v>2170</v>
      </c>
      <c r="G134" t="s">
        <v>2170</v>
      </c>
      <c r="H134" t="s">
        <v>2170</v>
      </c>
      <c r="I134" t="s">
        <v>2170</v>
      </c>
      <c r="J134" t="s">
        <v>2170</v>
      </c>
      <c r="K134" t="s">
        <v>2170</v>
      </c>
      <c r="L134" t="s">
        <v>2170</v>
      </c>
      <c r="M134" t="s">
        <v>2170</v>
      </c>
      <c r="N134" t="s">
        <v>2170</v>
      </c>
      <c r="O134" t="s">
        <v>2170</v>
      </c>
      <c r="P134" t="s">
        <v>2170</v>
      </c>
      <c r="Q134" t="s">
        <v>2170</v>
      </c>
      <c r="R134" t="s">
        <v>2170</v>
      </c>
      <c r="S134" t="s">
        <v>2170</v>
      </c>
      <c r="T134" t="s">
        <v>2170</v>
      </c>
      <c r="U134" t="s">
        <v>2170</v>
      </c>
      <c r="V134" t="s">
        <v>2170</v>
      </c>
      <c r="W134" t="s">
        <v>2170</v>
      </c>
      <c r="X134" t="s">
        <v>2170</v>
      </c>
      <c r="Y134" t="s">
        <v>2170</v>
      </c>
      <c r="Z134" t="s">
        <v>2170</v>
      </c>
      <c r="AA134" t="s">
        <v>2170</v>
      </c>
      <c r="AB134" t="s">
        <v>2170</v>
      </c>
      <c r="AC134" t="s">
        <v>2170</v>
      </c>
      <c r="AD134" t="s">
        <v>2170</v>
      </c>
      <c r="AE134" t="s">
        <v>2170</v>
      </c>
      <c r="AF134" t="s">
        <v>2170</v>
      </c>
      <c r="AG134" t="s">
        <v>2170</v>
      </c>
      <c r="AH134" t="s">
        <v>2170</v>
      </c>
      <c r="AI134" t="s">
        <v>2170</v>
      </c>
      <c r="AJ134" t="s">
        <v>2170</v>
      </c>
      <c r="AK134" t="s">
        <v>2170</v>
      </c>
      <c r="AL134" t="s">
        <v>2170</v>
      </c>
      <c r="AM134" t="s">
        <v>2170</v>
      </c>
      <c r="AN134" t="s">
        <v>2170</v>
      </c>
      <c r="AO134" t="s">
        <v>2170</v>
      </c>
    </row>
    <row r="135" spans="1:41" x14ac:dyDescent="0.2">
      <c r="A135">
        <v>248</v>
      </c>
      <c r="B135" t="s">
        <v>2090</v>
      </c>
      <c r="C135" t="s">
        <v>2090</v>
      </c>
      <c r="D135" t="s">
        <v>2090</v>
      </c>
      <c r="E135" t="s">
        <v>2090</v>
      </c>
      <c r="F135">
        <v>0</v>
      </c>
      <c r="G135" t="s">
        <v>2090</v>
      </c>
      <c r="H135" t="s">
        <v>2090</v>
      </c>
      <c r="I135" t="s">
        <v>2090</v>
      </c>
      <c r="J135">
        <v>0</v>
      </c>
      <c r="K135">
        <v>1358875</v>
      </c>
      <c r="L135">
        <v>14.72</v>
      </c>
      <c r="M135">
        <v>637957</v>
      </c>
      <c r="N135">
        <v>10.39</v>
      </c>
      <c r="O135" t="s">
        <v>2090</v>
      </c>
      <c r="P135" t="s">
        <v>2090</v>
      </c>
      <c r="Q135">
        <v>395843</v>
      </c>
      <c r="R135">
        <v>2.2000000000000002</v>
      </c>
      <c r="S135">
        <v>645551</v>
      </c>
      <c r="T135">
        <v>13.83</v>
      </c>
      <c r="U135" t="s">
        <v>2090</v>
      </c>
      <c r="V135" t="s">
        <v>2090</v>
      </c>
      <c r="W135" t="s">
        <v>2090</v>
      </c>
      <c r="X135" t="s">
        <v>2090</v>
      </c>
      <c r="Y135" t="s">
        <v>2090</v>
      </c>
      <c r="Z135" t="s">
        <v>2090</v>
      </c>
      <c r="AA135">
        <v>90150</v>
      </c>
      <c r="AB135">
        <v>1.01</v>
      </c>
      <c r="AC135" t="s">
        <v>2090</v>
      </c>
      <c r="AD135" t="s">
        <v>2090</v>
      </c>
      <c r="AE135" t="s">
        <v>2090</v>
      </c>
      <c r="AF135" t="s">
        <v>2090</v>
      </c>
      <c r="AG135" t="s">
        <v>2090</v>
      </c>
      <c r="AH135" t="s">
        <v>2090</v>
      </c>
      <c r="AI135">
        <v>1111086</v>
      </c>
      <c r="AJ135">
        <v>18.13</v>
      </c>
      <c r="AK135">
        <v>4507005</v>
      </c>
      <c r="AL135">
        <v>65.5</v>
      </c>
      <c r="AM135">
        <v>16</v>
      </c>
      <c r="AN135">
        <v>267542</v>
      </c>
      <c r="AO135">
        <v>5.22</v>
      </c>
    </row>
    <row r="136" spans="1:41" x14ac:dyDescent="0.2">
      <c r="A136">
        <v>249</v>
      </c>
      <c r="B136" t="s">
        <v>2090</v>
      </c>
      <c r="C136" t="s">
        <v>2090</v>
      </c>
      <c r="D136" t="s">
        <v>2090</v>
      </c>
      <c r="E136" t="s">
        <v>2090</v>
      </c>
      <c r="F136">
        <v>0</v>
      </c>
      <c r="G136" t="s">
        <v>2090</v>
      </c>
      <c r="H136" t="s">
        <v>2090</v>
      </c>
      <c r="I136" t="s">
        <v>2090</v>
      </c>
      <c r="J136">
        <v>0</v>
      </c>
      <c r="K136">
        <v>1321924</v>
      </c>
      <c r="L136">
        <v>14.67</v>
      </c>
      <c r="M136">
        <v>594854</v>
      </c>
      <c r="N136">
        <v>9.91</v>
      </c>
      <c r="O136" t="s">
        <v>2090</v>
      </c>
      <c r="P136" t="s">
        <v>2090</v>
      </c>
      <c r="Q136">
        <v>263226</v>
      </c>
      <c r="R136">
        <v>1.81</v>
      </c>
      <c r="S136">
        <v>664908</v>
      </c>
      <c r="T136">
        <v>14.72</v>
      </c>
      <c r="U136" t="s">
        <v>2090</v>
      </c>
      <c r="V136" t="s">
        <v>2090</v>
      </c>
      <c r="W136">
        <v>79935</v>
      </c>
      <c r="X136">
        <v>0.15</v>
      </c>
      <c r="Y136" t="s">
        <v>2090</v>
      </c>
      <c r="Z136" t="s">
        <v>2090</v>
      </c>
      <c r="AA136">
        <v>70481</v>
      </c>
      <c r="AB136">
        <v>1</v>
      </c>
      <c r="AC136" t="s">
        <v>2090</v>
      </c>
      <c r="AD136" t="s">
        <v>2090</v>
      </c>
      <c r="AE136">
        <v>0</v>
      </c>
      <c r="AF136">
        <v>0</v>
      </c>
      <c r="AG136" t="s">
        <v>2090</v>
      </c>
      <c r="AH136" t="s">
        <v>2090</v>
      </c>
      <c r="AI136">
        <v>1131006</v>
      </c>
      <c r="AJ136">
        <v>17.54</v>
      </c>
      <c r="AK136">
        <v>4454869</v>
      </c>
      <c r="AL136">
        <v>66.84</v>
      </c>
      <c r="AM136">
        <v>16</v>
      </c>
      <c r="AN136">
        <v>328535</v>
      </c>
      <c r="AO136">
        <v>7.04</v>
      </c>
    </row>
    <row r="137" spans="1:41" x14ac:dyDescent="0.2">
      <c r="A137">
        <v>250</v>
      </c>
      <c r="B137" t="s">
        <v>2090</v>
      </c>
      <c r="C137" t="s">
        <v>2090</v>
      </c>
      <c r="D137" t="s">
        <v>2090</v>
      </c>
      <c r="E137" t="s">
        <v>2090</v>
      </c>
      <c r="F137">
        <v>0</v>
      </c>
      <c r="G137" t="s">
        <v>2090</v>
      </c>
      <c r="H137" t="s">
        <v>2090</v>
      </c>
      <c r="I137" t="s">
        <v>2090</v>
      </c>
      <c r="J137">
        <v>0</v>
      </c>
      <c r="K137">
        <v>1308631</v>
      </c>
      <c r="L137">
        <v>13.94</v>
      </c>
      <c r="M137">
        <v>471387</v>
      </c>
      <c r="N137">
        <v>7.29</v>
      </c>
      <c r="O137" t="s">
        <v>2090</v>
      </c>
      <c r="P137" t="s">
        <v>2090</v>
      </c>
      <c r="Q137">
        <v>176935</v>
      </c>
      <c r="R137">
        <v>1.23</v>
      </c>
      <c r="S137">
        <v>724902</v>
      </c>
      <c r="T137">
        <v>15.43</v>
      </c>
      <c r="U137" t="s">
        <v>2090</v>
      </c>
      <c r="V137" t="s">
        <v>2090</v>
      </c>
      <c r="W137">
        <v>83736</v>
      </c>
      <c r="X137">
        <v>0.28999999999999998</v>
      </c>
      <c r="Y137" t="s">
        <v>2090</v>
      </c>
      <c r="Z137" t="s">
        <v>2090</v>
      </c>
      <c r="AA137">
        <v>89686</v>
      </c>
      <c r="AB137">
        <v>1.01</v>
      </c>
      <c r="AC137" t="s">
        <v>2090</v>
      </c>
      <c r="AD137" t="s">
        <v>2090</v>
      </c>
      <c r="AE137">
        <v>0</v>
      </c>
      <c r="AF137">
        <v>0</v>
      </c>
      <c r="AG137" t="s">
        <v>2090</v>
      </c>
      <c r="AH137" t="s">
        <v>2090</v>
      </c>
      <c r="AI137">
        <v>1132810</v>
      </c>
      <c r="AJ137">
        <v>16.77</v>
      </c>
      <c r="AK137">
        <v>4348535</v>
      </c>
      <c r="AL137">
        <v>63.26</v>
      </c>
      <c r="AM137">
        <v>16</v>
      </c>
      <c r="AN137">
        <v>360447</v>
      </c>
      <c r="AO137">
        <v>7.3</v>
      </c>
    </row>
    <row r="138" spans="1:41" x14ac:dyDescent="0.2">
      <c r="A138">
        <v>251</v>
      </c>
      <c r="B138" t="s">
        <v>2090</v>
      </c>
      <c r="C138" t="s">
        <v>2090</v>
      </c>
      <c r="D138" t="s">
        <v>2090</v>
      </c>
      <c r="E138" t="s">
        <v>2090</v>
      </c>
      <c r="F138">
        <v>0</v>
      </c>
      <c r="G138" t="s">
        <v>2090</v>
      </c>
      <c r="H138" t="s">
        <v>2090</v>
      </c>
      <c r="I138" t="s">
        <v>2090</v>
      </c>
      <c r="J138">
        <v>0</v>
      </c>
      <c r="K138">
        <v>1272462</v>
      </c>
      <c r="L138">
        <v>14.22</v>
      </c>
      <c r="M138">
        <v>602179</v>
      </c>
      <c r="N138">
        <v>9.7799999999999994</v>
      </c>
      <c r="O138" t="s">
        <v>2090</v>
      </c>
      <c r="P138" t="s">
        <v>2090</v>
      </c>
      <c r="Q138">
        <v>289500</v>
      </c>
      <c r="R138">
        <v>2.02</v>
      </c>
      <c r="S138">
        <v>617755</v>
      </c>
      <c r="T138">
        <v>13.75</v>
      </c>
      <c r="U138" t="s">
        <v>2090</v>
      </c>
      <c r="V138" t="s">
        <v>2090</v>
      </c>
      <c r="W138">
        <v>520583</v>
      </c>
      <c r="X138">
        <v>1.27</v>
      </c>
      <c r="Y138" t="s">
        <v>2090</v>
      </c>
      <c r="Z138" t="s">
        <v>2090</v>
      </c>
      <c r="AA138">
        <v>44253</v>
      </c>
      <c r="AB138">
        <v>0.52</v>
      </c>
      <c r="AC138" t="s">
        <v>2090</v>
      </c>
      <c r="AD138" t="s">
        <v>2090</v>
      </c>
      <c r="AE138">
        <v>0</v>
      </c>
      <c r="AF138">
        <v>0</v>
      </c>
      <c r="AG138" t="s">
        <v>2090</v>
      </c>
      <c r="AH138" t="s">
        <v>2090</v>
      </c>
      <c r="AI138">
        <v>1022973</v>
      </c>
      <c r="AJ138">
        <v>14.56</v>
      </c>
      <c r="AK138">
        <v>4756093</v>
      </c>
      <c r="AL138">
        <v>63.67</v>
      </c>
      <c r="AM138">
        <v>16</v>
      </c>
      <c r="AN138">
        <v>386387</v>
      </c>
      <c r="AO138">
        <v>7.55</v>
      </c>
    </row>
    <row r="139" spans="1:41" x14ac:dyDescent="0.2">
      <c r="A139">
        <v>254</v>
      </c>
      <c r="B139" t="s">
        <v>2090</v>
      </c>
      <c r="C139" t="s">
        <v>2090</v>
      </c>
      <c r="D139" t="s">
        <v>2090</v>
      </c>
      <c r="E139" t="s">
        <v>2090</v>
      </c>
      <c r="F139">
        <v>0</v>
      </c>
      <c r="G139" t="s">
        <v>2090</v>
      </c>
      <c r="H139" t="s">
        <v>2090</v>
      </c>
      <c r="I139" t="s">
        <v>2090</v>
      </c>
      <c r="J139">
        <v>0</v>
      </c>
      <c r="K139">
        <v>1216235</v>
      </c>
      <c r="L139">
        <v>14.32</v>
      </c>
      <c r="M139">
        <v>649409</v>
      </c>
      <c r="N139">
        <v>10.7</v>
      </c>
      <c r="O139" t="s">
        <v>2090</v>
      </c>
      <c r="P139" t="s">
        <v>2090</v>
      </c>
      <c r="Q139">
        <v>320449</v>
      </c>
      <c r="R139">
        <v>2.41</v>
      </c>
      <c r="S139">
        <v>711915</v>
      </c>
      <c r="T139">
        <v>14.97</v>
      </c>
      <c r="U139" t="s">
        <v>2090</v>
      </c>
      <c r="V139" t="s">
        <v>2090</v>
      </c>
      <c r="W139">
        <v>492806</v>
      </c>
      <c r="X139">
        <v>1.05</v>
      </c>
      <c r="Y139" t="s">
        <v>2090</v>
      </c>
      <c r="Z139" t="s">
        <v>2090</v>
      </c>
      <c r="AA139">
        <v>62167</v>
      </c>
      <c r="AB139">
        <v>0.93</v>
      </c>
      <c r="AC139" t="s">
        <v>2090</v>
      </c>
      <c r="AD139" t="s">
        <v>2090</v>
      </c>
      <c r="AE139">
        <v>0</v>
      </c>
      <c r="AF139">
        <v>0</v>
      </c>
      <c r="AG139" t="s">
        <v>2090</v>
      </c>
      <c r="AH139" t="s">
        <v>2090</v>
      </c>
      <c r="AI139">
        <v>1201152</v>
      </c>
      <c r="AJ139">
        <v>18.78</v>
      </c>
      <c r="AK139">
        <v>4920524</v>
      </c>
      <c r="AL139">
        <v>68.38</v>
      </c>
      <c r="AM139">
        <v>16</v>
      </c>
      <c r="AN139">
        <v>266389</v>
      </c>
      <c r="AO139">
        <v>5.22</v>
      </c>
    </row>
    <row r="140" spans="1:41" x14ac:dyDescent="0.2">
      <c r="A140">
        <v>256</v>
      </c>
      <c r="B140" t="s">
        <v>2090</v>
      </c>
      <c r="C140" t="s">
        <v>2090</v>
      </c>
      <c r="D140" t="s">
        <v>2090</v>
      </c>
      <c r="E140" t="s">
        <v>2090</v>
      </c>
      <c r="F140">
        <v>0</v>
      </c>
      <c r="G140" t="s">
        <v>2090</v>
      </c>
      <c r="H140" t="s">
        <v>2090</v>
      </c>
      <c r="I140" t="s">
        <v>2090</v>
      </c>
      <c r="J140">
        <v>0</v>
      </c>
      <c r="K140">
        <v>1229459</v>
      </c>
      <c r="L140">
        <v>14.08</v>
      </c>
      <c r="M140">
        <v>558777</v>
      </c>
      <c r="N140">
        <v>9.42</v>
      </c>
      <c r="O140" t="s">
        <v>2090</v>
      </c>
      <c r="P140" t="s">
        <v>2090</v>
      </c>
      <c r="Q140">
        <v>352575</v>
      </c>
      <c r="R140">
        <v>2.11</v>
      </c>
      <c r="S140">
        <v>737217</v>
      </c>
      <c r="T140">
        <v>15.73</v>
      </c>
      <c r="U140" t="s">
        <v>2090</v>
      </c>
      <c r="V140" t="s">
        <v>2090</v>
      </c>
      <c r="W140">
        <v>8076</v>
      </c>
      <c r="X140">
        <v>0.03</v>
      </c>
      <c r="Y140" t="s">
        <v>2090</v>
      </c>
      <c r="Z140" t="s">
        <v>2090</v>
      </c>
      <c r="AA140">
        <v>74618</v>
      </c>
      <c r="AB140">
        <v>0.84</v>
      </c>
      <c r="AC140" t="s">
        <v>2090</v>
      </c>
      <c r="AD140" t="s">
        <v>2090</v>
      </c>
      <c r="AE140">
        <v>0</v>
      </c>
      <c r="AF140">
        <v>0</v>
      </c>
      <c r="AG140" t="s">
        <v>2090</v>
      </c>
      <c r="AH140" t="s">
        <v>2090</v>
      </c>
      <c r="AI140">
        <v>1175739</v>
      </c>
      <c r="AJ140">
        <v>17.96</v>
      </c>
      <c r="AK140">
        <v>4422083</v>
      </c>
      <c r="AL140">
        <v>66.040000000000006</v>
      </c>
      <c r="AM140">
        <v>16</v>
      </c>
      <c r="AN140">
        <v>285623</v>
      </c>
      <c r="AO140">
        <v>5.87</v>
      </c>
    </row>
    <row r="141" spans="1:41" x14ac:dyDescent="0.2">
      <c r="A141">
        <v>259</v>
      </c>
      <c r="B141" t="s">
        <v>2090</v>
      </c>
      <c r="C141" t="s">
        <v>2090</v>
      </c>
      <c r="D141" t="s">
        <v>2090</v>
      </c>
      <c r="E141" t="s">
        <v>2090</v>
      </c>
      <c r="F141">
        <v>0</v>
      </c>
      <c r="G141" t="s">
        <v>2090</v>
      </c>
      <c r="H141" t="s">
        <v>2090</v>
      </c>
      <c r="I141" t="s">
        <v>2090</v>
      </c>
      <c r="J141">
        <v>0</v>
      </c>
      <c r="K141" t="s">
        <v>2090</v>
      </c>
      <c r="L141">
        <v>37.25</v>
      </c>
      <c r="M141" t="s">
        <v>2090</v>
      </c>
      <c r="N141" t="s">
        <v>2090</v>
      </c>
      <c r="O141" t="s">
        <v>2090</v>
      </c>
      <c r="P141" t="s">
        <v>2090</v>
      </c>
      <c r="Q141" t="s">
        <v>2090</v>
      </c>
      <c r="R141" t="s">
        <v>2090</v>
      </c>
      <c r="S141" t="s">
        <v>2090</v>
      </c>
      <c r="T141" t="s">
        <v>2090</v>
      </c>
      <c r="U141" t="s">
        <v>2090</v>
      </c>
      <c r="V141" t="s">
        <v>2090</v>
      </c>
      <c r="W141" t="s">
        <v>2090</v>
      </c>
      <c r="X141" t="s">
        <v>2090</v>
      </c>
      <c r="Y141" t="s">
        <v>2090</v>
      </c>
      <c r="Z141" t="s">
        <v>2090</v>
      </c>
      <c r="AA141" t="s">
        <v>2090</v>
      </c>
      <c r="AB141" t="s">
        <v>2090</v>
      </c>
      <c r="AC141" t="s">
        <v>2090</v>
      </c>
      <c r="AD141" t="s">
        <v>2090</v>
      </c>
      <c r="AE141" t="s">
        <v>2090</v>
      </c>
      <c r="AF141" t="s">
        <v>2090</v>
      </c>
      <c r="AG141" t="s">
        <v>2090</v>
      </c>
      <c r="AH141" t="s">
        <v>2090</v>
      </c>
      <c r="AI141">
        <v>0</v>
      </c>
      <c r="AJ141">
        <v>44.89</v>
      </c>
      <c r="AK141">
        <v>0</v>
      </c>
      <c r="AL141">
        <v>184.14</v>
      </c>
      <c r="AM141">
        <v>71</v>
      </c>
      <c r="AN141" t="s">
        <v>2090</v>
      </c>
      <c r="AO141">
        <v>102</v>
      </c>
    </row>
    <row r="142" spans="1:41" x14ac:dyDescent="0.2">
      <c r="A142">
        <v>260</v>
      </c>
      <c r="B142" t="s">
        <v>2090</v>
      </c>
      <c r="C142" t="s">
        <v>2090</v>
      </c>
      <c r="D142" t="s">
        <v>2090</v>
      </c>
      <c r="E142">
        <v>8428330</v>
      </c>
      <c r="F142">
        <v>8428330</v>
      </c>
      <c r="G142">
        <v>155</v>
      </c>
      <c r="H142" t="s">
        <v>2090</v>
      </c>
      <c r="I142" t="s">
        <v>2090</v>
      </c>
      <c r="J142">
        <v>155</v>
      </c>
      <c r="K142">
        <v>955374</v>
      </c>
      <c r="L142">
        <v>11.38</v>
      </c>
      <c r="M142">
        <v>306792</v>
      </c>
      <c r="N142">
        <v>6.24</v>
      </c>
      <c r="O142" t="s">
        <v>2090</v>
      </c>
      <c r="P142" t="s">
        <v>2090</v>
      </c>
      <c r="Q142">
        <v>235697</v>
      </c>
      <c r="R142">
        <v>1.51</v>
      </c>
      <c r="S142" t="s">
        <v>2090</v>
      </c>
      <c r="T142" t="s">
        <v>2090</v>
      </c>
      <c r="U142" t="s">
        <v>2090</v>
      </c>
      <c r="V142" t="s">
        <v>2090</v>
      </c>
      <c r="W142">
        <v>1253117</v>
      </c>
      <c r="X142">
        <v>5.4</v>
      </c>
      <c r="Y142" t="s">
        <v>2090</v>
      </c>
      <c r="Z142" t="s">
        <v>2090</v>
      </c>
      <c r="AA142">
        <v>63237</v>
      </c>
      <c r="AB142">
        <v>0.99</v>
      </c>
      <c r="AC142">
        <v>20003</v>
      </c>
      <c r="AD142">
        <v>0.24</v>
      </c>
      <c r="AE142" t="s">
        <v>2090</v>
      </c>
      <c r="AF142" t="s">
        <v>2090</v>
      </c>
      <c r="AG142" t="s">
        <v>2090</v>
      </c>
      <c r="AH142" t="s">
        <v>2090</v>
      </c>
      <c r="AI142">
        <v>555003</v>
      </c>
      <c r="AJ142">
        <v>7.65</v>
      </c>
      <c r="AK142">
        <v>3931733</v>
      </c>
      <c r="AL142">
        <v>43.25</v>
      </c>
      <c r="AM142">
        <v>16</v>
      </c>
      <c r="AN142">
        <v>542510</v>
      </c>
      <c r="AO142">
        <v>9.84</v>
      </c>
    </row>
    <row r="146" spans="1:39" x14ac:dyDescent="0.2">
      <c r="A146" s="443"/>
      <c r="B146" s="443"/>
      <c r="C146" s="443"/>
      <c r="D146" s="443"/>
      <c r="E146" s="443"/>
      <c r="F146" s="443"/>
      <c r="G146" s="443"/>
      <c r="H146" s="443"/>
      <c r="I146" s="443"/>
      <c r="J146" s="443"/>
      <c r="K146" s="443"/>
      <c r="L146" s="443"/>
      <c r="M146" s="443"/>
      <c r="N146" s="443"/>
      <c r="O146" s="443"/>
      <c r="P146" s="443"/>
      <c r="Q146" s="443"/>
      <c r="R146" s="443"/>
      <c r="S146" s="443"/>
      <c r="T146" s="443"/>
      <c r="U146" s="443"/>
      <c r="V146" s="443"/>
      <c r="W146" s="443"/>
      <c r="X146" s="443"/>
      <c r="Y146" s="443"/>
      <c r="Z146" s="443"/>
      <c r="AA146" s="443"/>
      <c r="AB146" s="443"/>
      <c r="AC146" s="443"/>
      <c r="AD146" s="443"/>
      <c r="AE146" s="443"/>
      <c r="AF146" s="443"/>
      <c r="AG146" s="443"/>
      <c r="AH146" s="443"/>
      <c r="AI146" s="443"/>
      <c r="AJ146" s="443"/>
      <c r="AK146" s="443"/>
      <c r="AL146" s="443"/>
      <c r="AM146" s="443"/>
    </row>
    <row r="147" spans="1:39" x14ac:dyDescent="0.2">
      <c r="A147" s="443"/>
      <c r="B147" s="443"/>
      <c r="C147" s="443"/>
      <c r="D147" s="443"/>
      <c r="E147" s="443"/>
      <c r="F147" s="443"/>
      <c r="G147" s="443"/>
      <c r="H147" s="443"/>
      <c r="I147" s="443"/>
      <c r="J147" s="443"/>
      <c r="K147" s="443"/>
      <c r="L147" s="443"/>
      <c r="M147" s="443"/>
      <c r="N147" s="443"/>
      <c r="O147" s="443"/>
      <c r="P147" s="443"/>
      <c r="Q147" s="443"/>
      <c r="R147" s="443"/>
      <c r="S147" s="443"/>
      <c r="T147" s="443"/>
      <c r="U147" s="443"/>
      <c r="V147" s="443"/>
      <c r="W147" s="443"/>
      <c r="X147" s="443"/>
      <c r="Y147" s="443"/>
      <c r="Z147" s="443"/>
      <c r="AA147" s="443"/>
      <c r="AB147" s="443"/>
      <c r="AC147" s="443"/>
      <c r="AD147" s="443"/>
      <c r="AE147" s="443"/>
      <c r="AF147" s="443"/>
      <c r="AG147" s="443"/>
      <c r="AH147" s="443"/>
      <c r="AI147" s="443"/>
      <c r="AJ147" s="443"/>
      <c r="AK147" s="443"/>
      <c r="AL147" s="443"/>
      <c r="AM147" s="443"/>
    </row>
    <row r="148" spans="1:39" x14ac:dyDescent="0.2">
      <c r="A148" s="443"/>
      <c r="B148" s="443"/>
      <c r="C148" s="443"/>
      <c r="D148" s="443"/>
      <c r="E148" s="443"/>
      <c r="F148" s="443"/>
      <c r="G148" s="443"/>
      <c r="H148" s="443"/>
      <c r="I148" s="443"/>
      <c r="J148" s="443"/>
      <c r="K148" s="443"/>
      <c r="L148" s="443"/>
      <c r="M148" s="443"/>
      <c r="N148" s="443"/>
      <c r="O148" s="443"/>
      <c r="P148" s="443"/>
      <c r="Q148" s="443"/>
      <c r="R148" s="443"/>
      <c r="S148" s="443"/>
      <c r="T148" s="443"/>
      <c r="U148" s="443"/>
      <c r="V148" s="443"/>
      <c r="W148" s="443"/>
      <c r="X148" s="443"/>
      <c r="Y148" s="443"/>
      <c r="Z148" s="443"/>
      <c r="AA148" s="443"/>
      <c r="AB148" s="443"/>
      <c r="AC148" s="443"/>
      <c r="AD148" s="443"/>
      <c r="AE148" s="443"/>
      <c r="AF148" s="443"/>
      <c r="AG148" s="443"/>
      <c r="AH148" s="443"/>
      <c r="AI148" s="443"/>
      <c r="AJ148" s="443"/>
      <c r="AK148" s="443"/>
      <c r="AL148" s="443"/>
      <c r="AM148" s="443"/>
    </row>
    <row r="149" spans="1:39" x14ac:dyDescent="0.2">
      <c r="A149" s="443"/>
      <c r="B149" s="443"/>
      <c r="C149" s="443"/>
      <c r="D149" s="443"/>
      <c r="E149" s="443"/>
      <c r="F149" s="443"/>
      <c r="G149" s="443"/>
      <c r="H149" s="443"/>
      <c r="I149" s="443"/>
      <c r="J149" s="443"/>
      <c r="K149" s="443"/>
      <c r="L149" s="443"/>
      <c r="M149" s="443"/>
      <c r="N149" s="443"/>
      <c r="O149" s="443"/>
      <c r="P149" s="443"/>
      <c r="Q149" s="443"/>
      <c r="R149" s="443"/>
      <c r="S149" s="443"/>
      <c r="T149" s="443"/>
      <c r="U149" s="443"/>
      <c r="V149" s="443"/>
      <c r="W149" s="443"/>
      <c r="X149" s="443"/>
      <c r="Y149" s="443"/>
      <c r="Z149" s="443"/>
      <c r="AA149" s="443"/>
      <c r="AB149" s="443"/>
      <c r="AC149" s="443"/>
      <c r="AD149" s="443"/>
      <c r="AE149" s="443"/>
      <c r="AF149" s="443"/>
      <c r="AG149" s="443"/>
      <c r="AH149" s="443"/>
      <c r="AI149" s="443"/>
      <c r="AJ149" s="443"/>
      <c r="AK149" s="443"/>
      <c r="AL149" s="443"/>
      <c r="AM149" s="443"/>
    </row>
    <row r="150" spans="1:39" x14ac:dyDescent="0.2">
      <c r="A150" s="443"/>
      <c r="B150" s="443"/>
      <c r="C150" s="443"/>
      <c r="D150" s="443"/>
      <c r="E150" s="443"/>
      <c r="F150" s="443"/>
      <c r="G150" s="443"/>
      <c r="H150" s="443"/>
      <c r="I150" s="443"/>
      <c r="J150" s="443"/>
      <c r="K150" s="443"/>
      <c r="L150" s="443"/>
      <c r="M150" s="443"/>
      <c r="N150" s="443"/>
      <c r="O150" s="443"/>
      <c r="P150" s="443"/>
      <c r="Q150" s="443"/>
      <c r="R150" s="443"/>
      <c r="S150" s="443"/>
      <c r="T150" s="443"/>
      <c r="U150" s="443"/>
      <c r="V150" s="443"/>
      <c r="W150" s="443"/>
      <c r="X150" s="443"/>
      <c r="Y150" s="443"/>
      <c r="Z150" s="443"/>
      <c r="AA150" s="443"/>
      <c r="AB150" s="443"/>
      <c r="AC150" s="443"/>
      <c r="AD150" s="443"/>
      <c r="AE150" s="443"/>
      <c r="AF150" s="443"/>
      <c r="AG150" s="443"/>
      <c r="AH150" s="443"/>
      <c r="AI150" s="443"/>
      <c r="AJ150" s="443"/>
      <c r="AK150" s="443"/>
      <c r="AL150" s="443"/>
      <c r="AM150" s="443"/>
    </row>
    <row r="151" spans="1:39" x14ac:dyDescent="0.2">
      <c r="A151" s="443"/>
      <c r="B151" s="443"/>
      <c r="C151" s="443"/>
      <c r="D151" s="443"/>
      <c r="E151" s="443"/>
      <c r="F151" s="443"/>
      <c r="G151" s="443"/>
      <c r="H151" s="443"/>
      <c r="I151" s="443"/>
      <c r="J151" s="443"/>
      <c r="K151" s="443"/>
      <c r="L151" s="443"/>
      <c r="M151" s="443"/>
      <c r="N151" s="443"/>
      <c r="O151" s="443"/>
      <c r="P151" s="443"/>
      <c r="Q151" s="443"/>
      <c r="R151" s="443"/>
      <c r="S151" s="443"/>
      <c r="T151" s="443"/>
      <c r="U151" s="443"/>
      <c r="V151" s="443"/>
      <c r="W151" s="443"/>
      <c r="X151" s="443"/>
      <c r="Y151" s="443"/>
      <c r="Z151" s="443"/>
      <c r="AA151" s="443"/>
      <c r="AB151" s="443"/>
      <c r="AC151" s="443"/>
      <c r="AD151" s="443"/>
      <c r="AE151" s="443"/>
      <c r="AF151" s="443"/>
      <c r="AG151" s="443"/>
      <c r="AH151" s="443"/>
      <c r="AI151" s="443"/>
      <c r="AJ151" s="443"/>
      <c r="AK151" s="443"/>
      <c r="AL151" s="443"/>
      <c r="AM151" s="443"/>
    </row>
  </sheetData>
  <sheetProtection algorithmName="SHA-512" hashValue="qSSQXjuTSotuF/5k3JJm95Suf/O0lvnHD+wToV/9ZV6825mxM8EFW5DH+X451rhSvRXB8dUGrrQMcfa0Juqwog==" saltValue="bikgKAquRwpIc7kFfIHTDg==" spinCount="100000" sheet="1" objects="1" scenarios="1"/>
  <phoneticPr fontId="21" type="noConversion"/>
  <pageMargins left="0.75" right="0.75" top="1" bottom="1" header="0.5" footer="0.5"/>
  <pageSetup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pageSetUpPr fitToPage="1"/>
  </sheetPr>
  <dimension ref="A1:S69"/>
  <sheetViews>
    <sheetView zoomScaleNormal="100" workbookViewId="0">
      <selection activeCell="E26" sqref="E26"/>
    </sheetView>
  </sheetViews>
  <sheetFormatPr defaultColWidth="8.85546875" defaultRowHeight="12.75" x14ac:dyDescent="0.2"/>
  <cols>
    <col min="1" max="1" width="8.85546875" style="330"/>
    <col min="2" max="2" width="41" style="330" customWidth="1"/>
    <col min="3" max="3" width="8.85546875" style="326"/>
    <col min="4" max="4" width="8.85546875" style="330"/>
    <col min="5" max="5" width="22.7109375" style="330" customWidth="1"/>
    <col min="6" max="6" width="8.85546875" style="326"/>
    <col min="7" max="7" width="36.42578125" style="356" customWidth="1"/>
    <col min="8" max="8" width="8.85546875" style="326"/>
    <col min="9" max="9" width="39.7109375" style="330" customWidth="1"/>
    <col min="10" max="10" width="8.85546875" style="326"/>
    <col min="11" max="12" width="8.85546875" style="330"/>
    <col min="13" max="13" width="27.7109375" style="332" customWidth="1"/>
    <col min="14" max="14" width="8.85546875" style="332"/>
    <col min="15" max="15" width="32.28515625" style="332" customWidth="1"/>
    <col min="16" max="16" width="8.85546875" style="332"/>
    <col min="17" max="16384" width="8.85546875" style="330"/>
  </cols>
  <sheetData>
    <row r="1" spans="2:19" x14ac:dyDescent="0.2">
      <c r="B1" s="354" t="s">
        <v>1762</v>
      </c>
      <c r="D1" s="332"/>
      <c r="E1" s="355"/>
      <c r="S1" s="332"/>
    </row>
    <row r="2" spans="2:19" x14ac:dyDescent="0.2">
      <c r="B2" s="354" t="s">
        <v>1763</v>
      </c>
      <c r="D2" s="329"/>
      <c r="F2" s="357"/>
      <c r="S2" s="332"/>
    </row>
    <row r="3" spans="2:19" x14ac:dyDescent="0.2">
      <c r="B3" s="337"/>
      <c r="D3" s="329"/>
      <c r="F3" s="357"/>
      <c r="S3" s="332"/>
    </row>
    <row r="4" spans="2:19" x14ac:dyDescent="0.2">
      <c r="B4" s="358"/>
      <c r="C4" s="359"/>
      <c r="D4" s="329"/>
      <c r="E4" s="360" t="s">
        <v>1764</v>
      </c>
      <c r="F4" s="361"/>
      <c r="G4" s="362" t="s">
        <v>1765</v>
      </c>
      <c r="H4" s="363"/>
      <c r="I4" s="323" t="s">
        <v>1766</v>
      </c>
      <c r="J4" s="324"/>
      <c r="M4" s="364"/>
      <c r="N4" s="364"/>
      <c r="O4" s="364"/>
      <c r="P4" s="365"/>
      <c r="Q4" s="356"/>
      <c r="S4" s="332"/>
    </row>
    <row r="5" spans="2:19" x14ac:dyDescent="0.2">
      <c r="B5" s="366"/>
      <c r="C5" s="367"/>
      <c r="D5" s="329"/>
      <c r="E5" s="325" t="s">
        <v>795</v>
      </c>
      <c r="F5" s="326">
        <v>54</v>
      </c>
      <c r="G5" s="327" t="s">
        <v>1767</v>
      </c>
      <c r="H5" s="328">
        <v>166</v>
      </c>
      <c r="I5" s="329" t="s">
        <v>1768</v>
      </c>
      <c r="J5" s="328">
        <v>183</v>
      </c>
      <c r="M5" s="335"/>
      <c r="N5" s="368"/>
      <c r="O5" s="335"/>
      <c r="P5" s="365"/>
      <c r="Q5" s="356"/>
      <c r="S5" s="332"/>
    </row>
    <row r="6" spans="2:19" x14ac:dyDescent="0.2">
      <c r="B6" s="366"/>
      <c r="C6" s="367"/>
      <c r="D6" s="332"/>
      <c r="E6" s="325" t="s">
        <v>794</v>
      </c>
      <c r="F6" s="326">
        <v>58</v>
      </c>
      <c r="G6" s="327" t="s">
        <v>1769</v>
      </c>
      <c r="H6" s="328">
        <v>167</v>
      </c>
      <c r="I6" s="331" t="s">
        <v>1770</v>
      </c>
      <c r="J6" s="328">
        <v>184</v>
      </c>
      <c r="M6" s="335"/>
      <c r="N6" s="368"/>
      <c r="O6" s="335"/>
      <c r="P6" s="365"/>
      <c r="Q6" s="356"/>
      <c r="S6" s="332"/>
    </row>
    <row r="7" spans="2:19" x14ac:dyDescent="0.2">
      <c r="B7" s="337"/>
      <c r="D7" s="332"/>
      <c r="E7" s="325" t="s">
        <v>1771</v>
      </c>
      <c r="F7" s="326">
        <v>164</v>
      </c>
      <c r="G7" s="327" t="s">
        <v>1772</v>
      </c>
      <c r="H7" s="328">
        <v>168</v>
      </c>
      <c r="I7" s="330" t="s">
        <v>1773</v>
      </c>
      <c r="J7" s="328">
        <v>185</v>
      </c>
      <c r="M7" s="335"/>
      <c r="N7" s="368"/>
      <c r="O7" s="1540"/>
      <c r="P7" s="368"/>
      <c r="Q7" s="369"/>
      <c r="S7" s="332"/>
    </row>
    <row r="8" spans="2:19" x14ac:dyDescent="0.2">
      <c r="B8" s="337"/>
      <c r="D8" s="332"/>
      <c r="E8" s="325" t="s">
        <v>1774</v>
      </c>
      <c r="F8" s="326">
        <v>165</v>
      </c>
      <c r="G8" s="327" t="s">
        <v>1775</v>
      </c>
      <c r="H8" s="328">
        <v>169</v>
      </c>
      <c r="I8" s="331" t="s">
        <v>1776</v>
      </c>
      <c r="J8" s="328">
        <v>63</v>
      </c>
      <c r="K8" s="332"/>
      <c r="L8" s="332"/>
      <c r="M8" s="335"/>
      <c r="N8" s="368"/>
      <c r="O8" s="1540"/>
      <c r="P8" s="365"/>
      <c r="Q8" s="356"/>
      <c r="S8" s="332"/>
    </row>
    <row r="9" spans="2:19" x14ac:dyDescent="0.2">
      <c r="B9" s="337"/>
      <c r="D9" s="332"/>
      <c r="E9" s="327" t="s">
        <v>1777</v>
      </c>
      <c r="F9" s="326">
        <v>120</v>
      </c>
      <c r="G9" s="333" t="s">
        <v>1778</v>
      </c>
      <c r="H9" s="334">
        <v>123</v>
      </c>
      <c r="I9" s="331" t="s">
        <v>1779</v>
      </c>
      <c r="J9" s="328">
        <v>64</v>
      </c>
      <c r="K9" s="332"/>
      <c r="L9" s="332"/>
      <c r="M9" s="335"/>
      <c r="N9" s="368"/>
      <c r="O9" s="365"/>
      <c r="P9" s="365"/>
      <c r="Q9" s="356"/>
      <c r="S9" s="332"/>
    </row>
    <row r="10" spans="2:19" x14ac:dyDescent="0.2">
      <c r="B10" s="360" t="s">
        <v>1780</v>
      </c>
      <c r="C10" s="363"/>
      <c r="D10" s="332"/>
      <c r="G10" s="333" t="s">
        <v>1781</v>
      </c>
      <c r="H10" s="334">
        <v>170</v>
      </c>
      <c r="I10" s="335" t="s">
        <v>1782</v>
      </c>
      <c r="J10" s="328">
        <v>53</v>
      </c>
      <c r="K10" s="332"/>
      <c r="L10" s="332"/>
      <c r="M10" s="365"/>
      <c r="N10" s="365"/>
      <c r="O10" s="365"/>
      <c r="P10" s="365"/>
      <c r="Q10" s="356"/>
      <c r="S10" s="332"/>
    </row>
    <row r="11" spans="2:19" x14ac:dyDescent="0.2">
      <c r="B11" s="337" t="s">
        <v>1783</v>
      </c>
      <c r="C11" s="326">
        <v>200</v>
      </c>
      <c r="D11" s="332"/>
      <c r="G11" s="333"/>
      <c r="H11" s="334"/>
      <c r="I11" s="330" t="s">
        <v>1784</v>
      </c>
      <c r="J11" s="328">
        <v>186</v>
      </c>
      <c r="M11" s="365"/>
      <c r="N11" s="365"/>
      <c r="O11" s="365"/>
      <c r="P11" s="365"/>
      <c r="Q11" s="356"/>
      <c r="S11" s="332"/>
    </row>
    <row r="12" spans="2:19" x14ac:dyDescent="0.2">
      <c r="B12" s="337" t="s">
        <v>1785</v>
      </c>
      <c r="C12" s="326">
        <v>201</v>
      </c>
      <c r="D12" s="332"/>
      <c r="G12" s="370"/>
      <c r="H12" s="328"/>
      <c r="I12" s="335" t="s">
        <v>819</v>
      </c>
      <c r="J12" s="328">
        <v>57</v>
      </c>
      <c r="K12" s="332"/>
      <c r="L12" s="332"/>
      <c r="M12" s="364"/>
      <c r="N12" s="364"/>
      <c r="O12" s="364"/>
      <c r="P12" s="364"/>
      <c r="Q12" s="356"/>
      <c r="S12" s="332"/>
    </row>
    <row r="13" spans="2:19" x14ac:dyDescent="0.2">
      <c r="B13" s="337"/>
      <c r="D13" s="332"/>
      <c r="G13" s="371"/>
      <c r="H13" s="372"/>
      <c r="I13" s="329" t="s">
        <v>1786</v>
      </c>
      <c r="J13" s="328">
        <v>187</v>
      </c>
      <c r="K13" s="332"/>
      <c r="L13" s="332"/>
      <c r="M13" s="373"/>
      <c r="N13" s="365"/>
      <c r="O13" s="335"/>
      <c r="P13" s="335"/>
      <c r="Q13" s="356"/>
      <c r="S13" s="332"/>
    </row>
    <row r="14" spans="2:19" x14ac:dyDescent="0.2">
      <c r="B14" s="374" t="s">
        <v>1787</v>
      </c>
      <c r="C14" s="375"/>
      <c r="D14" s="332"/>
      <c r="G14" s="376" t="s">
        <v>1788</v>
      </c>
      <c r="H14" s="328"/>
      <c r="I14" s="330" t="s">
        <v>1789</v>
      </c>
      <c r="J14" s="328">
        <v>188</v>
      </c>
      <c r="M14" s="331"/>
      <c r="N14" s="365"/>
      <c r="O14" s="335"/>
      <c r="P14" s="365"/>
      <c r="Q14" s="356"/>
      <c r="S14" s="332"/>
    </row>
    <row r="15" spans="2:19" x14ac:dyDescent="0.2">
      <c r="B15" s="329" t="s">
        <v>1790</v>
      </c>
      <c r="C15" s="357">
        <v>55</v>
      </c>
      <c r="D15" s="332"/>
      <c r="G15" s="340" t="s">
        <v>1791</v>
      </c>
      <c r="H15" s="328">
        <v>171</v>
      </c>
      <c r="I15" s="330" t="s">
        <v>1792</v>
      </c>
      <c r="J15" s="328">
        <v>189</v>
      </c>
      <c r="M15" s="331"/>
      <c r="N15" s="365"/>
      <c r="O15" s="331"/>
      <c r="P15" s="368"/>
      <c r="Q15" s="356"/>
      <c r="S15" s="332"/>
    </row>
    <row r="16" spans="2:19" x14ac:dyDescent="0.2">
      <c r="B16" s="329" t="s">
        <v>1793</v>
      </c>
      <c r="C16" s="357">
        <v>203</v>
      </c>
      <c r="D16" s="332"/>
      <c r="G16" s="325" t="s">
        <v>799</v>
      </c>
      <c r="H16" s="328">
        <v>92</v>
      </c>
      <c r="I16" s="331" t="s">
        <v>1794</v>
      </c>
      <c r="J16" s="328">
        <v>59</v>
      </c>
      <c r="M16" s="365"/>
      <c r="N16" s="365"/>
      <c r="O16" s="365"/>
      <c r="P16" s="365"/>
      <c r="Q16" s="356"/>
      <c r="S16" s="332"/>
    </row>
    <row r="17" spans="1:19" x14ac:dyDescent="0.2">
      <c r="B17" s="329"/>
      <c r="C17" s="357"/>
      <c r="D17" s="332"/>
      <c r="G17" s="336" t="s">
        <v>1795</v>
      </c>
      <c r="H17" s="328">
        <v>93</v>
      </c>
      <c r="I17" s="331" t="s">
        <v>1796</v>
      </c>
      <c r="J17" s="328">
        <v>60</v>
      </c>
      <c r="M17" s="365"/>
      <c r="N17" s="365"/>
      <c r="O17" s="365"/>
      <c r="P17" s="365"/>
      <c r="Q17" s="356"/>
      <c r="S17" s="332"/>
    </row>
    <row r="18" spans="1:19" x14ac:dyDescent="0.2">
      <c r="B18" s="377" t="s">
        <v>1797</v>
      </c>
      <c r="C18" s="378"/>
      <c r="D18" s="332"/>
      <c r="G18" s="336" t="s">
        <v>1798</v>
      </c>
      <c r="H18" s="328">
        <v>95</v>
      </c>
      <c r="I18" s="337" t="s">
        <v>1799</v>
      </c>
      <c r="J18" s="328">
        <v>190</v>
      </c>
      <c r="M18" s="365"/>
      <c r="N18" s="365"/>
      <c r="O18" s="365"/>
      <c r="P18" s="365"/>
      <c r="Q18" s="356"/>
      <c r="S18" s="332"/>
    </row>
    <row r="19" spans="1:19" x14ac:dyDescent="0.2">
      <c r="B19" s="338" t="s">
        <v>1800</v>
      </c>
      <c r="C19" s="367">
        <v>204</v>
      </c>
      <c r="D19" s="332"/>
      <c r="G19" s="339" t="s">
        <v>1801</v>
      </c>
      <c r="H19" s="328">
        <v>94</v>
      </c>
      <c r="I19" s="337" t="s">
        <v>1802</v>
      </c>
      <c r="J19" s="328">
        <v>191</v>
      </c>
      <c r="M19" s="365"/>
      <c r="N19" s="365"/>
      <c r="O19" s="365"/>
      <c r="P19" s="365"/>
      <c r="Q19" s="356"/>
      <c r="S19" s="332"/>
    </row>
    <row r="20" spans="1:19" x14ac:dyDescent="0.2">
      <c r="B20" s="338" t="s">
        <v>1803</v>
      </c>
      <c r="C20" s="367">
        <v>205</v>
      </c>
      <c r="D20" s="332"/>
      <c r="G20" s="327" t="s">
        <v>1804</v>
      </c>
      <c r="H20" s="328">
        <v>172</v>
      </c>
      <c r="I20" s="331" t="s">
        <v>815</v>
      </c>
      <c r="J20" s="328">
        <v>89</v>
      </c>
      <c r="M20" s="365"/>
      <c r="N20" s="365"/>
      <c r="O20" s="365"/>
      <c r="P20" s="365"/>
      <c r="Q20" s="356"/>
      <c r="S20" s="332"/>
    </row>
    <row r="21" spans="1:19" x14ac:dyDescent="0.2">
      <c r="B21" s="338" t="s">
        <v>1805</v>
      </c>
      <c r="C21" s="367">
        <v>206</v>
      </c>
      <c r="D21" s="332"/>
      <c r="G21" s="327" t="s">
        <v>1806</v>
      </c>
      <c r="H21" s="328">
        <v>56</v>
      </c>
      <c r="I21" s="331" t="s">
        <v>1807</v>
      </c>
      <c r="J21" s="334">
        <v>192</v>
      </c>
      <c r="M21" s="365"/>
      <c r="N21" s="365"/>
      <c r="O21" s="365"/>
      <c r="P21" s="365"/>
      <c r="Q21" s="356"/>
      <c r="S21" s="332"/>
    </row>
    <row r="22" spans="1:19" x14ac:dyDescent="0.2">
      <c r="B22" s="338" t="s">
        <v>1808</v>
      </c>
      <c r="C22" s="367">
        <v>207</v>
      </c>
      <c r="D22" s="332"/>
      <c r="G22" s="340" t="s">
        <v>1809</v>
      </c>
      <c r="H22" s="328">
        <v>108</v>
      </c>
      <c r="I22" s="331" t="s">
        <v>1810</v>
      </c>
      <c r="J22" s="328">
        <v>67</v>
      </c>
      <c r="O22" s="365"/>
      <c r="P22" s="365"/>
      <c r="Q22" s="356"/>
      <c r="S22" s="332"/>
    </row>
    <row r="23" spans="1:19" x14ac:dyDescent="0.2">
      <c r="B23" s="379"/>
      <c r="C23" s="367"/>
      <c r="D23" s="332"/>
      <c r="G23" s="336" t="s">
        <v>803</v>
      </c>
      <c r="H23" s="328">
        <v>97</v>
      </c>
      <c r="I23" s="331" t="s">
        <v>1811</v>
      </c>
      <c r="J23" s="328">
        <v>68</v>
      </c>
      <c r="S23" s="332"/>
    </row>
    <row r="24" spans="1:19" x14ac:dyDescent="0.2">
      <c r="B24" s="379"/>
      <c r="C24" s="367"/>
      <c r="E24" s="352"/>
      <c r="F24" s="380"/>
      <c r="G24" s="336" t="s">
        <v>1812</v>
      </c>
      <c r="H24" s="328">
        <v>173</v>
      </c>
      <c r="I24" s="337" t="s">
        <v>1813</v>
      </c>
      <c r="J24" s="328">
        <v>61</v>
      </c>
    </row>
    <row r="25" spans="1:19" s="352" customFormat="1" x14ac:dyDescent="0.2">
      <c r="A25" s="358"/>
      <c r="B25" s="379"/>
      <c r="C25" s="367"/>
      <c r="E25" s="330"/>
      <c r="F25" s="326"/>
      <c r="G25" s="325" t="s">
        <v>804</v>
      </c>
      <c r="H25" s="328">
        <v>98</v>
      </c>
      <c r="I25" s="337" t="s">
        <v>1814</v>
      </c>
      <c r="J25" s="328">
        <v>62</v>
      </c>
      <c r="K25" s="332"/>
      <c r="L25" s="332"/>
      <c r="M25" s="332"/>
      <c r="N25" s="332"/>
      <c r="O25" s="332"/>
      <c r="P25" s="332"/>
      <c r="Q25" s="330"/>
      <c r="R25" s="330"/>
    </row>
    <row r="26" spans="1:19" ht="13.15" customHeight="1" x14ac:dyDescent="0.2">
      <c r="A26" s="332"/>
      <c r="B26" s="341" t="s">
        <v>1815</v>
      </c>
      <c r="C26" s="342"/>
      <c r="G26" s="325" t="s">
        <v>772</v>
      </c>
      <c r="H26" s="328">
        <v>174</v>
      </c>
      <c r="I26" s="330" t="s">
        <v>807</v>
      </c>
      <c r="J26" s="328">
        <v>102</v>
      </c>
      <c r="K26" s="332"/>
      <c r="L26" s="332"/>
    </row>
    <row r="27" spans="1:19" ht="27" customHeight="1" x14ac:dyDescent="0.2">
      <c r="A27" s="332"/>
      <c r="B27" s="343" t="s">
        <v>1816</v>
      </c>
      <c r="C27" s="344">
        <v>208</v>
      </c>
      <c r="G27" s="325" t="s">
        <v>805</v>
      </c>
      <c r="H27" s="328">
        <v>100</v>
      </c>
      <c r="I27" s="330" t="s">
        <v>1817</v>
      </c>
      <c r="J27" s="328">
        <v>193</v>
      </c>
      <c r="K27" s="332"/>
      <c r="L27" s="332"/>
    </row>
    <row r="28" spans="1:19" ht="27" customHeight="1" x14ac:dyDescent="0.2">
      <c r="A28" s="332"/>
      <c r="B28" s="343" t="s">
        <v>1818</v>
      </c>
      <c r="C28" s="344">
        <v>209</v>
      </c>
      <c r="G28" s="339" t="s">
        <v>1819</v>
      </c>
      <c r="H28" s="328">
        <v>175</v>
      </c>
      <c r="I28" s="337" t="s">
        <v>1820</v>
      </c>
      <c r="J28" s="328">
        <v>65</v>
      </c>
      <c r="K28" s="332"/>
      <c r="L28" s="332"/>
    </row>
    <row r="29" spans="1:19" ht="13.15" customHeight="1" x14ac:dyDescent="0.2">
      <c r="A29" s="332"/>
      <c r="B29" s="343"/>
      <c r="C29" s="344"/>
      <c r="G29" s="336" t="s">
        <v>806</v>
      </c>
      <c r="H29" s="328">
        <v>101</v>
      </c>
      <c r="I29" s="337" t="s">
        <v>1821</v>
      </c>
      <c r="J29" s="328">
        <v>66</v>
      </c>
      <c r="K29" s="332"/>
      <c r="L29" s="332"/>
    </row>
    <row r="30" spans="1:19" ht="13.15" customHeight="1" x14ac:dyDescent="0.2">
      <c r="A30" s="332"/>
      <c r="B30" s="341" t="s">
        <v>1822</v>
      </c>
      <c r="C30" s="345"/>
      <c r="G30" s="339" t="s">
        <v>1823</v>
      </c>
      <c r="H30" s="328">
        <v>176</v>
      </c>
      <c r="I30" s="331" t="s">
        <v>1824</v>
      </c>
      <c r="J30" s="328">
        <v>69</v>
      </c>
      <c r="K30" s="331"/>
      <c r="L30" s="365"/>
      <c r="M30" s="331"/>
      <c r="N30" s="335"/>
    </row>
    <row r="31" spans="1:19" ht="30.6" customHeight="1" x14ac:dyDescent="0.2">
      <c r="A31" s="332"/>
      <c r="B31" s="346" t="s">
        <v>1825</v>
      </c>
      <c r="C31" s="344">
        <v>210</v>
      </c>
      <c r="G31" s="336" t="s">
        <v>1826</v>
      </c>
      <c r="H31" s="334">
        <v>105</v>
      </c>
      <c r="I31" s="331" t="s">
        <v>1827</v>
      </c>
      <c r="J31" s="328">
        <v>70</v>
      </c>
      <c r="K31" s="373"/>
      <c r="L31" s="365"/>
      <c r="M31" s="331"/>
      <c r="N31" s="335"/>
    </row>
    <row r="32" spans="1:19" ht="30.6" customHeight="1" x14ac:dyDescent="0.2">
      <c r="A32" s="332"/>
      <c r="B32" s="346" t="s">
        <v>1828</v>
      </c>
      <c r="C32" s="344">
        <v>211</v>
      </c>
      <c r="G32" s="339" t="s">
        <v>1829</v>
      </c>
      <c r="H32" s="328">
        <v>177</v>
      </c>
      <c r="J32" s="328"/>
      <c r="K32" s="373"/>
      <c r="L32" s="365"/>
      <c r="M32" s="331"/>
      <c r="N32" s="335"/>
    </row>
    <row r="33" spans="1:14" ht="13.15" customHeight="1" x14ac:dyDescent="0.2">
      <c r="A33" s="332"/>
      <c r="B33" s="366"/>
      <c r="C33" s="367"/>
      <c r="G33" s="339" t="s">
        <v>1830</v>
      </c>
      <c r="H33" s="328">
        <v>178</v>
      </c>
      <c r="J33" s="328"/>
      <c r="K33" s="373"/>
      <c r="L33" s="365"/>
      <c r="M33" s="331"/>
      <c r="N33" s="335"/>
    </row>
    <row r="34" spans="1:14" ht="13.15" customHeight="1" x14ac:dyDescent="0.2">
      <c r="A34" s="332"/>
      <c r="B34" s="347"/>
      <c r="C34" s="348"/>
      <c r="D34" s="332"/>
      <c r="G34" s="325" t="s">
        <v>1831</v>
      </c>
      <c r="H34" s="328">
        <v>179</v>
      </c>
      <c r="J34" s="328"/>
      <c r="K34" s="373"/>
      <c r="L34" s="365"/>
      <c r="M34" s="331"/>
      <c r="N34" s="335"/>
    </row>
    <row r="35" spans="1:14" ht="13.15" customHeight="1" x14ac:dyDescent="0.2">
      <c r="A35" s="332"/>
      <c r="B35" s="349"/>
      <c r="C35" s="350"/>
      <c r="D35" s="332"/>
      <c r="G35" s="339" t="s">
        <v>1832</v>
      </c>
      <c r="H35" s="328">
        <v>180</v>
      </c>
      <c r="J35" s="328"/>
      <c r="K35" s="373"/>
      <c r="L35" s="365"/>
      <c r="M35" s="331"/>
      <c r="N35" s="335"/>
    </row>
    <row r="36" spans="1:14" ht="13.15" customHeight="1" x14ac:dyDescent="0.2">
      <c r="A36" s="332"/>
      <c r="B36" s="349"/>
      <c r="C36" s="351"/>
      <c r="D36" s="332"/>
      <c r="G36" s="339" t="s">
        <v>1833</v>
      </c>
      <c r="H36" s="328">
        <v>181</v>
      </c>
      <c r="J36" s="328"/>
      <c r="K36" s="335"/>
      <c r="L36" s="365"/>
      <c r="M36" s="331"/>
      <c r="N36" s="335"/>
    </row>
    <row r="37" spans="1:14" x14ac:dyDescent="0.2">
      <c r="A37" s="332"/>
      <c r="B37" s="366"/>
      <c r="C37" s="367"/>
      <c r="G37" s="339" t="s">
        <v>1834</v>
      </c>
      <c r="H37" s="328">
        <v>122</v>
      </c>
      <c r="J37" s="328"/>
      <c r="K37" s="373"/>
      <c r="L37" s="365"/>
    </row>
    <row r="38" spans="1:14" ht="13.15" customHeight="1" x14ac:dyDescent="0.2">
      <c r="A38" s="332"/>
      <c r="B38" s="366"/>
      <c r="C38" s="367"/>
      <c r="G38" s="339" t="s">
        <v>1835</v>
      </c>
      <c r="H38" s="328">
        <v>110</v>
      </c>
      <c r="J38" s="328"/>
      <c r="K38" s="332"/>
      <c r="L38" s="332"/>
    </row>
    <row r="39" spans="1:14" ht="13.15" customHeight="1" x14ac:dyDescent="0.2">
      <c r="A39" s="332"/>
      <c r="B39" s="366"/>
      <c r="C39" s="367"/>
      <c r="G39" s="339" t="s">
        <v>808</v>
      </c>
      <c r="H39" s="328">
        <v>103</v>
      </c>
      <c r="J39" s="328"/>
      <c r="K39" s="332"/>
      <c r="L39" s="332"/>
    </row>
    <row r="40" spans="1:14" ht="13.15" customHeight="1" x14ac:dyDescent="0.2">
      <c r="A40" s="332"/>
      <c r="B40" s="366"/>
      <c r="C40" s="367"/>
      <c r="G40" s="370" t="s">
        <v>809</v>
      </c>
      <c r="H40" s="328">
        <v>104</v>
      </c>
      <c r="J40" s="328"/>
      <c r="K40" s="332"/>
      <c r="L40" s="332"/>
    </row>
    <row r="41" spans="1:14" ht="13.15" customHeight="1" x14ac:dyDescent="0.2">
      <c r="A41" s="332"/>
      <c r="B41" s="366"/>
      <c r="C41" s="367"/>
      <c r="G41" s="339" t="s">
        <v>1836</v>
      </c>
      <c r="H41" s="328">
        <v>182</v>
      </c>
      <c r="J41" s="328"/>
      <c r="K41" s="332"/>
      <c r="L41" s="332"/>
    </row>
    <row r="42" spans="1:14" x14ac:dyDescent="0.2">
      <c r="A42" s="329"/>
      <c r="B42" s="366"/>
      <c r="C42" s="367"/>
      <c r="G42" s="370"/>
      <c r="H42" s="328"/>
      <c r="J42" s="328"/>
      <c r="K42" s="331"/>
      <c r="L42" s="365"/>
    </row>
    <row r="43" spans="1:14" x14ac:dyDescent="0.2">
      <c r="A43" s="329"/>
      <c r="B43" s="366"/>
      <c r="C43" s="367"/>
      <c r="G43" s="370"/>
      <c r="H43" s="328"/>
      <c r="J43" s="328"/>
      <c r="K43" s="335"/>
      <c r="L43" s="365"/>
    </row>
    <row r="44" spans="1:14" x14ac:dyDescent="0.2">
      <c r="A44" s="329"/>
      <c r="B44" s="366"/>
      <c r="C44" s="367"/>
      <c r="G44" s="325"/>
      <c r="H44" s="328"/>
      <c r="I44" s="352"/>
      <c r="J44" s="353"/>
      <c r="K44" s="331"/>
      <c r="L44" s="332"/>
    </row>
    <row r="45" spans="1:14" ht="41.25" customHeight="1" x14ac:dyDescent="0.2">
      <c r="A45" s="329"/>
      <c r="B45" s="331"/>
      <c r="C45" s="381"/>
      <c r="G45" s="325"/>
      <c r="H45" s="328"/>
      <c r="J45" s="328"/>
      <c r="K45" s="332"/>
      <c r="L45" s="332"/>
    </row>
    <row r="46" spans="1:14" x14ac:dyDescent="0.2">
      <c r="A46" s="329"/>
      <c r="B46" s="332"/>
      <c r="C46" s="381"/>
      <c r="G46" s="330"/>
      <c r="K46" s="332"/>
      <c r="L46" s="332"/>
    </row>
    <row r="47" spans="1:14" x14ac:dyDescent="0.2">
      <c r="A47" s="329"/>
      <c r="G47" s="330"/>
      <c r="K47" s="332"/>
      <c r="L47" s="332"/>
    </row>
    <row r="48" spans="1:14" x14ac:dyDescent="0.2">
      <c r="A48" s="329"/>
      <c r="G48" s="330"/>
      <c r="K48" s="332"/>
      <c r="L48" s="332"/>
    </row>
    <row r="49" spans="1:12" x14ac:dyDescent="0.2">
      <c r="A49" s="329"/>
      <c r="G49" s="330"/>
      <c r="K49" s="332"/>
      <c r="L49" s="332"/>
    </row>
    <row r="50" spans="1:12" x14ac:dyDescent="0.2">
      <c r="A50" s="329"/>
      <c r="G50" s="330"/>
      <c r="K50" s="332"/>
      <c r="L50" s="332"/>
    </row>
    <row r="51" spans="1:12" x14ac:dyDescent="0.2">
      <c r="A51" s="329"/>
      <c r="G51" s="330"/>
    </row>
    <row r="52" spans="1:12" ht="13.15" customHeight="1" x14ac:dyDescent="0.2">
      <c r="A52" s="329"/>
      <c r="G52" s="330"/>
    </row>
    <row r="53" spans="1:12" ht="13.15" customHeight="1" x14ac:dyDescent="0.2">
      <c r="A53" s="329"/>
      <c r="G53" s="330"/>
    </row>
    <row r="54" spans="1:12" ht="13.15" customHeight="1" x14ac:dyDescent="0.2">
      <c r="A54" s="329"/>
      <c r="G54" s="330"/>
    </row>
    <row r="55" spans="1:12" ht="14.45" customHeight="1" x14ac:dyDescent="0.2">
      <c r="A55" s="329"/>
      <c r="G55" s="330"/>
    </row>
    <row r="56" spans="1:12" x14ac:dyDescent="0.2">
      <c r="A56" s="332"/>
      <c r="G56" s="330"/>
    </row>
    <row r="57" spans="1:12" x14ac:dyDescent="0.2">
      <c r="G57" s="330"/>
    </row>
    <row r="58" spans="1:12" x14ac:dyDescent="0.2">
      <c r="G58" s="330"/>
    </row>
    <row r="59" spans="1:12" x14ac:dyDescent="0.2">
      <c r="G59" s="330"/>
    </row>
    <row r="60" spans="1:12" x14ac:dyDescent="0.2">
      <c r="G60" s="330"/>
      <c r="K60" s="332"/>
      <c r="L60" s="332"/>
    </row>
    <row r="61" spans="1:12" x14ac:dyDescent="0.2">
      <c r="G61" s="330"/>
    </row>
    <row r="62" spans="1:12" x14ac:dyDescent="0.2">
      <c r="G62" s="330"/>
    </row>
    <row r="63" spans="1:12" x14ac:dyDescent="0.2">
      <c r="G63" s="330"/>
    </row>
    <row r="64" spans="1:12" x14ac:dyDescent="0.2">
      <c r="G64" s="330"/>
    </row>
    <row r="65" spans="7:10" x14ac:dyDescent="0.2">
      <c r="G65" s="330"/>
      <c r="I65" s="332"/>
      <c r="J65" s="381"/>
    </row>
    <row r="66" spans="7:10" x14ac:dyDescent="0.2">
      <c r="G66" s="330"/>
    </row>
    <row r="67" spans="7:10" x14ac:dyDescent="0.2">
      <c r="G67" s="330"/>
    </row>
    <row r="68" spans="7:10" x14ac:dyDescent="0.2">
      <c r="G68" s="330"/>
    </row>
    <row r="69" spans="7:10" x14ac:dyDescent="0.2">
      <c r="G69" s="330"/>
    </row>
  </sheetData>
  <sheetProtection algorithmName="SHA-512" hashValue="Ccto06dyeJBeD3jEeKIjc2I8b+bge9XfJ+ur0iaZg9uOBVHaGHdKyLnQ6HthYs600cAwDW5XZ1CA1d3kdCMOhw==" saltValue="pBUxexF1jHdO7ZWqnW/2CA==" spinCount="100000" sheet="1" objects="1" scenarios="1"/>
  <mergeCells count="1">
    <mergeCell ref="O7:O8"/>
  </mergeCells>
  <dataValidations count="1">
    <dataValidation allowBlank="1" showInputMessage="1" showErrorMessage="1" promptTitle="Description" prompt="Please enter a brief Description of the Project" sqref="C44" xr:uid="{00000000-0002-0000-0A00-000000000000}"/>
  </dataValidations>
  <pageMargins left="0.45" right="0.45" top="0.75" bottom="0.75" header="0.3" footer="0.3"/>
  <pageSetup scale="71"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tabColor rgb="FFFFFF00"/>
  </sheetPr>
  <dimension ref="A1:Q276"/>
  <sheetViews>
    <sheetView zoomScaleNormal="100" workbookViewId="0">
      <selection activeCell="W6" sqref="W6"/>
    </sheetView>
  </sheetViews>
  <sheetFormatPr defaultColWidth="9.140625" defaultRowHeight="15" x14ac:dyDescent="0.25"/>
  <cols>
    <col min="1" max="3" width="9.140625" style="430"/>
    <col min="4" max="4" width="28.140625" style="432" customWidth="1"/>
    <col min="5" max="5" width="10.85546875" style="430" customWidth="1"/>
    <col min="6" max="6" width="10.28515625" style="430" customWidth="1"/>
    <col min="7" max="7" width="9.140625" style="430"/>
    <col min="8" max="8" width="34.7109375" style="430" customWidth="1"/>
    <col min="9" max="9" width="16.5703125" style="430" customWidth="1"/>
    <col min="10" max="10" width="24" style="431" hidden="1" customWidth="1"/>
    <col min="11" max="11" width="12.5703125" style="430" hidden="1" customWidth="1"/>
    <col min="12" max="12" width="12" style="430" hidden="1" customWidth="1"/>
    <col min="13" max="13" width="12.7109375" style="432" hidden="1" customWidth="1"/>
    <col min="14" max="14" width="41.85546875" style="430" hidden="1" customWidth="1"/>
    <col min="15" max="15" width="35.140625" style="430" hidden="1" customWidth="1"/>
    <col min="16" max="16" width="31.28515625" style="430" hidden="1" customWidth="1"/>
    <col min="17" max="17" width="80.140625" style="430" hidden="1" customWidth="1"/>
    <col min="18" max="16384" width="9.140625" style="430"/>
  </cols>
  <sheetData>
    <row r="1" spans="1:17" x14ac:dyDescent="0.25">
      <c r="C1" s="430">
        <v>1</v>
      </c>
      <c r="D1" s="432">
        <v>2</v>
      </c>
      <c r="E1" s="430">
        <v>3</v>
      </c>
      <c r="F1" s="432">
        <v>4</v>
      </c>
      <c r="G1" s="430">
        <v>5</v>
      </c>
      <c r="H1" s="432">
        <v>6</v>
      </c>
      <c r="I1" s="430">
        <v>7</v>
      </c>
      <c r="J1" s="432">
        <v>8</v>
      </c>
      <c r="K1" s="430">
        <v>9</v>
      </c>
      <c r="L1" s="432">
        <v>10</v>
      </c>
      <c r="M1" s="430">
        <v>11</v>
      </c>
      <c r="N1" s="432">
        <v>12</v>
      </c>
      <c r="O1" s="430">
        <v>13</v>
      </c>
      <c r="P1" s="432">
        <v>14</v>
      </c>
      <c r="Q1" s="430">
        <v>15</v>
      </c>
    </row>
    <row r="2" spans="1:17" s="428" customFormat="1" ht="43.15" customHeight="1" x14ac:dyDescent="0.25">
      <c r="A2" s="428" t="s">
        <v>75</v>
      </c>
      <c r="B2" s="428" t="s">
        <v>1977</v>
      </c>
      <c r="C2" s="428" t="s">
        <v>1978</v>
      </c>
      <c r="D2" s="427" t="s">
        <v>1948</v>
      </c>
      <c r="E2" s="428" t="s">
        <v>1949</v>
      </c>
      <c r="F2" s="428" t="s">
        <v>1950</v>
      </c>
      <c r="G2" s="428" t="s">
        <v>1943</v>
      </c>
      <c r="H2" s="428" t="s">
        <v>1951</v>
      </c>
      <c r="I2" s="428" t="s">
        <v>1952</v>
      </c>
      <c r="J2" s="429" t="s">
        <v>1953</v>
      </c>
      <c r="K2" s="428" t="s">
        <v>1954</v>
      </c>
      <c r="L2" s="428" t="s">
        <v>1955</v>
      </c>
      <c r="M2" s="427" t="s">
        <v>1956</v>
      </c>
      <c r="N2" s="428" t="s">
        <v>1957</v>
      </c>
      <c r="O2" s="428" t="s">
        <v>1958</v>
      </c>
      <c r="P2" s="428" t="s">
        <v>1959</v>
      </c>
      <c r="Q2" s="428" t="s">
        <v>1960</v>
      </c>
    </row>
    <row r="3" spans="1:17" x14ac:dyDescent="0.25">
      <c r="A3" s="453">
        <v>2</v>
      </c>
      <c r="B3" s="453">
        <v>1</v>
      </c>
      <c r="C3" s="453" t="str">
        <f>CONCATENATE(A3,B3)</f>
        <v>21</v>
      </c>
      <c r="D3" s="453" t="s">
        <v>1961</v>
      </c>
      <c r="E3" s="453">
        <v>74</v>
      </c>
      <c r="F3" s="453">
        <v>408</v>
      </c>
      <c r="G3" s="453">
        <v>2020</v>
      </c>
      <c r="H3" s="453" t="s">
        <v>1156</v>
      </c>
      <c r="I3" s="453" t="s">
        <v>125</v>
      </c>
      <c r="J3" s="453" t="s">
        <v>1453</v>
      </c>
      <c r="K3" s="453">
        <v>1</v>
      </c>
      <c r="L3" s="454">
        <v>43893</v>
      </c>
      <c r="M3" s="455">
        <v>10000000</v>
      </c>
      <c r="N3" s="453" t="s">
        <v>1156</v>
      </c>
      <c r="O3" s="453" t="s">
        <v>1962</v>
      </c>
      <c r="P3" s="453" t="s">
        <v>119</v>
      </c>
      <c r="Q3" s="453" t="s">
        <v>3258</v>
      </c>
    </row>
    <row r="4" spans="1:17" x14ac:dyDescent="0.25">
      <c r="A4" s="453">
        <v>2</v>
      </c>
      <c r="B4" s="453">
        <v>2</v>
      </c>
      <c r="C4" s="453" t="str">
        <f t="shared" ref="C4:C67" si="0">CONCATENATE(A4,B4)</f>
        <v>22</v>
      </c>
      <c r="D4" s="453" t="s">
        <v>1961</v>
      </c>
      <c r="E4" s="453">
        <v>74</v>
      </c>
      <c r="F4" s="453">
        <v>409</v>
      </c>
      <c r="G4" s="453">
        <v>2020</v>
      </c>
      <c r="H4" s="453" t="s">
        <v>1156</v>
      </c>
      <c r="I4" s="453" t="s">
        <v>125</v>
      </c>
      <c r="J4" s="453" t="s">
        <v>1453</v>
      </c>
      <c r="K4" s="453">
        <v>2</v>
      </c>
      <c r="L4" s="454">
        <v>43880</v>
      </c>
      <c r="M4" s="455">
        <v>4266386</v>
      </c>
      <c r="N4" s="453" t="s">
        <v>1156</v>
      </c>
      <c r="O4" s="453" t="s">
        <v>1962</v>
      </c>
      <c r="P4" s="453" t="s">
        <v>119</v>
      </c>
      <c r="Q4" s="453" t="s">
        <v>3259</v>
      </c>
    </row>
    <row r="5" spans="1:17" x14ac:dyDescent="0.25">
      <c r="A5" s="453">
        <v>2</v>
      </c>
      <c r="B5" s="453">
        <v>3</v>
      </c>
      <c r="C5" s="453" t="str">
        <f t="shared" si="0"/>
        <v>23</v>
      </c>
      <c r="D5" s="453" t="s">
        <v>1961</v>
      </c>
      <c r="E5" s="453">
        <v>74</v>
      </c>
      <c r="F5" s="453">
        <v>410</v>
      </c>
      <c r="G5" s="453">
        <v>2020</v>
      </c>
      <c r="H5" s="453" t="s">
        <v>1156</v>
      </c>
      <c r="I5" s="453" t="s">
        <v>125</v>
      </c>
      <c r="J5" s="453" t="s">
        <v>1453</v>
      </c>
      <c r="K5" s="453">
        <v>3</v>
      </c>
      <c r="L5" s="454">
        <v>44153</v>
      </c>
      <c r="M5" s="455">
        <v>1319008</v>
      </c>
      <c r="N5" s="453" t="s">
        <v>1156</v>
      </c>
      <c r="O5" s="453" t="s">
        <v>1962</v>
      </c>
      <c r="P5" s="453" t="s">
        <v>119</v>
      </c>
      <c r="Q5" s="453" t="s">
        <v>3260</v>
      </c>
    </row>
    <row r="6" spans="1:17" x14ac:dyDescent="0.25">
      <c r="A6" s="453">
        <v>2</v>
      </c>
      <c r="B6" s="453">
        <v>4</v>
      </c>
      <c r="C6" s="453" t="str">
        <f t="shared" si="0"/>
        <v>24</v>
      </c>
      <c r="D6" s="453" t="s">
        <v>1961</v>
      </c>
      <c r="E6" s="453">
        <v>74</v>
      </c>
      <c r="F6" s="453">
        <v>411</v>
      </c>
      <c r="G6" s="453">
        <v>2020</v>
      </c>
      <c r="H6" s="453" t="s">
        <v>1156</v>
      </c>
      <c r="I6" s="453" t="s">
        <v>125</v>
      </c>
      <c r="J6" s="453" t="s">
        <v>1453</v>
      </c>
      <c r="K6" s="453">
        <v>4</v>
      </c>
      <c r="L6" s="454">
        <v>44040</v>
      </c>
      <c r="M6" s="455">
        <v>2300000</v>
      </c>
      <c r="N6" s="453" t="s">
        <v>1156</v>
      </c>
      <c r="O6" s="453" t="s">
        <v>1962</v>
      </c>
      <c r="P6" s="453" t="s">
        <v>119</v>
      </c>
      <c r="Q6" s="453" t="s">
        <v>3261</v>
      </c>
    </row>
    <row r="7" spans="1:17" x14ac:dyDescent="0.25">
      <c r="A7" s="453">
        <v>2</v>
      </c>
      <c r="B7" s="453">
        <v>5</v>
      </c>
      <c r="C7" s="453" t="str">
        <f t="shared" si="0"/>
        <v>25</v>
      </c>
      <c r="D7" s="453" t="s">
        <v>1961</v>
      </c>
      <c r="E7" s="453">
        <v>74</v>
      </c>
      <c r="F7" s="453">
        <v>412</v>
      </c>
      <c r="G7" s="453">
        <v>2020</v>
      </c>
      <c r="H7" s="453" t="s">
        <v>1156</v>
      </c>
      <c r="I7" s="453" t="s">
        <v>125</v>
      </c>
      <c r="J7" s="453" t="s">
        <v>1453</v>
      </c>
      <c r="K7" s="453">
        <v>5</v>
      </c>
      <c r="L7" s="454">
        <v>44153</v>
      </c>
      <c r="M7" s="455">
        <v>2449025</v>
      </c>
      <c r="N7" s="453" t="s">
        <v>1156</v>
      </c>
      <c r="O7" s="453" t="s">
        <v>1962</v>
      </c>
      <c r="P7" s="453" t="s">
        <v>119</v>
      </c>
      <c r="Q7" s="453" t="s">
        <v>3262</v>
      </c>
    </row>
    <row r="8" spans="1:17" x14ac:dyDescent="0.25">
      <c r="A8" s="453">
        <v>2</v>
      </c>
      <c r="B8" s="453">
        <v>6</v>
      </c>
      <c r="C8" s="453" t="str">
        <f t="shared" si="0"/>
        <v>26</v>
      </c>
      <c r="D8" s="453" t="s">
        <v>1961</v>
      </c>
      <c r="E8" s="453">
        <v>74</v>
      </c>
      <c r="F8" s="453">
        <v>413</v>
      </c>
      <c r="G8" s="453">
        <v>2020</v>
      </c>
      <c r="H8" s="453" t="s">
        <v>1156</v>
      </c>
      <c r="I8" s="453" t="s">
        <v>125</v>
      </c>
      <c r="J8" s="453" t="s">
        <v>1453</v>
      </c>
      <c r="K8" s="453">
        <v>6</v>
      </c>
      <c r="L8" s="454">
        <v>43858</v>
      </c>
      <c r="M8" s="455">
        <v>2336054</v>
      </c>
      <c r="N8" s="453" t="s">
        <v>1156</v>
      </c>
      <c r="O8" s="453" t="s">
        <v>1962</v>
      </c>
      <c r="P8" s="453" t="s">
        <v>119</v>
      </c>
      <c r="Q8" s="453" t="s">
        <v>3263</v>
      </c>
    </row>
    <row r="9" spans="1:17" x14ac:dyDescent="0.25">
      <c r="A9" s="453">
        <v>2</v>
      </c>
      <c r="B9" s="453">
        <v>7</v>
      </c>
      <c r="C9" s="453" t="str">
        <f t="shared" si="0"/>
        <v>27</v>
      </c>
      <c r="D9" s="453" t="s">
        <v>1961</v>
      </c>
      <c r="E9" s="453">
        <v>74</v>
      </c>
      <c r="F9" s="453">
        <v>388</v>
      </c>
      <c r="G9" s="453">
        <v>2019</v>
      </c>
      <c r="H9" s="453" t="s">
        <v>1156</v>
      </c>
      <c r="I9" s="453" t="s">
        <v>125</v>
      </c>
      <c r="J9" s="453" t="s">
        <v>1453</v>
      </c>
      <c r="K9" s="453">
        <v>1</v>
      </c>
      <c r="L9" s="454">
        <v>43641</v>
      </c>
      <c r="M9" s="455">
        <v>1800000</v>
      </c>
      <c r="N9" s="453" t="s">
        <v>1156</v>
      </c>
      <c r="O9" s="453" t="s">
        <v>1962</v>
      </c>
      <c r="P9" s="453" t="s">
        <v>119</v>
      </c>
      <c r="Q9" s="453" t="s">
        <v>3264</v>
      </c>
    </row>
    <row r="10" spans="1:17" x14ac:dyDescent="0.25">
      <c r="A10" s="453">
        <v>2</v>
      </c>
      <c r="B10" s="453">
        <v>8</v>
      </c>
      <c r="C10" s="453" t="str">
        <f t="shared" si="0"/>
        <v>28</v>
      </c>
      <c r="D10" s="453" t="s">
        <v>1961</v>
      </c>
      <c r="E10" s="453">
        <v>74</v>
      </c>
      <c r="F10" s="453">
        <v>389</v>
      </c>
      <c r="G10" s="453">
        <v>2019</v>
      </c>
      <c r="H10" s="453" t="s">
        <v>1156</v>
      </c>
      <c r="I10" s="453" t="s">
        <v>125</v>
      </c>
      <c r="J10" s="453" t="s">
        <v>1453</v>
      </c>
      <c r="K10" s="453">
        <v>2</v>
      </c>
      <c r="L10" s="454">
        <v>43641</v>
      </c>
      <c r="M10" s="455">
        <v>3751732</v>
      </c>
      <c r="N10" s="453" t="s">
        <v>1156</v>
      </c>
      <c r="O10" s="453" t="s">
        <v>1962</v>
      </c>
      <c r="P10" s="453" t="s">
        <v>119</v>
      </c>
      <c r="Q10" s="453" t="s">
        <v>3265</v>
      </c>
    </row>
    <row r="11" spans="1:17" x14ac:dyDescent="0.25">
      <c r="A11" s="453">
        <v>2</v>
      </c>
      <c r="B11" s="453">
        <v>9</v>
      </c>
      <c r="C11" s="453" t="str">
        <f t="shared" si="0"/>
        <v>29</v>
      </c>
      <c r="D11" s="453" t="s">
        <v>1961</v>
      </c>
      <c r="E11" s="453">
        <v>74</v>
      </c>
      <c r="F11" s="453">
        <v>390</v>
      </c>
      <c r="G11" s="453">
        <v>2019</v>
      </c>
      <c r="H11" s="453" t="s">
        <v>1156</v>
      </c>
      <c r="I11" s="453" t="s">
        <v>125</v>
      </c>
      <c r="J11" s="453" t="s">
        <v>1453</v>
      </c>
      <c r="K11" s="453">
        <v>3</v>
      </c>
      <c r="L11" s="454">
        <v>43795</v>
      </c>
      <c r="M11" s="455">
        <v>1335263</v>
      </c>
      <c r="N11" s="453" t="s">
        <v>1156</v>
      </c>
      <c r="O11" s="453" t="s">
        <v>1962</v>
      </c>
      <c r="P11" s="453" t="s">
        <v>119</v>
      </c>
      <c r="Q11" s="453" t="s">
        <v>3266</v>
      </c>
    </row>
    <row r="12" spans="1:17" x14ac:dyDescent="0.25">
      <c r="A12" s="453">
        <v>2</v>
      </c>
      <c r="B12" s="453">
        <v>10</v>
      </c>
      <c r="C12" s="453" t="str">
        <f t="shared" si="0"/>
        <v>210</v>
      </c>
      <c r="D12" s="453" t="s">
        <v>1961</v>
      </c>
      <c r="E12" s="453">
        <v>74</v>
      </c>
      <c r="F12" s="453">
        <v>391</v>
      </c>
      <c r="G12" s="453">
        <v>2019</v>
      </c>
      <c r="H12" s="453" t="s">
        <v>1156</v>
      </c>
      <c r="I12" s="453" t="s">
        <v>125</v>
      </c>
      <c r="J12" s="453" t="s">
        <v>1453</v>
      </c>
      <c r="K12" s="453">
        <v>4</v>
      </c>
      <c r="L12" s="454">
        <v>43795</v>
      </c>
      <c r="M12" s="455">
        <v>1265383</v>
      </c>
      <c r="N12" s="453" t="s">
        <v>1156</v>
      </c>
      <c r="O12" s="453" t="s">
        <v>1962</v>
      </c>
      <c r="P12" s="453" t="s">
        <v>119</v>
      </c>
      <c r="Q12" s="453" t="s">
        <v>3267</v>
      </c>
    </row>
    <row r="13" spans="1:17" x14ac:dyDescent="0.25">
      <c r="A13" s="453">
        <v>2</v>
      </c>
      <c r="B13" s="453">
        <v>11</v>
      </c>
      <c r="C13" s="453" t="str">
        <f t="shared" si="0"/>
        <v>211</v>
      </c>
      <c r="D13" s="453" t="s">
        <v>1961</v>
      </c>
      <c r="E13" s="453">
        <v>74</v>
      </c>
      <c r="F13" s="453">
        <v>392</v>
      </c>
      <c r="G13" s="453">
        <v>2019</v>
      </c>
      <c r="H13" s="453" t="s">
        <v>1156</v>
      </c>
      <c r="I13" s="453" t="s">
        <v>125</v>
      </c>
      <c r="J13" s="453" t="s">
        <v>1453</v>
      </c>
      <c r="K13" s="453">
        <v>5</v>
      </c>
      <c r="L13" s="454">
        <v>43809</v>
      </c>
      <c r="M13" s="455">
        <v>12843000</v>
      </c>
      <c r="N13" s="453" t="s">
        <v>1156</v>
      </c>
      <c r="O13" s="453" t="s">
        <v>1962</v>
      </c>
      <c r="P13" s="453" t="s">
        <v>119</v>
      </c>
      <c r="Q13" s="453" t="s">
        <v>3268</v>
      </c>
    </row>
    <row r="14" spans="1:17" x14ac:dyDescent="0.25">
      <c r="A14" s="453">
        <v>2</v>
      </c>
      <c r="B14" s="453">
        <v>12</v>
      </c>
      <c r="C14" s="453" t="str">
        <f t="shared" si="0"/>
        <v>212</v>
      </c>
      <c r="D14" s="453" t="s">
        <v>1961</v>
      </c>
      <c r="E14" s="453">
        <v>74</v>
      </c>
      <c r="F14" s="453">
        <v>393</v>
      </c>
      <c r="G14" s="453">
        <v>2019</v>
      </c>
      <c r="H14" s="453" t="s">
        <v>1156</v>
      </c>
      <c r="I14" s="453" t="s">
        <v>125</v>
      </c>
      <c r="J14" s="453" t="s">
        <v>1453</v>
      </c>
      <c r="K14" s="453">
        <v>6</v>
      </c>
      <c r="L14" s="454">
        <v>43613</v>
      </c>
      <c r="M14" s="455">
        <v>4000000</v>
      </c>
      <c r="N14" s="453" t="s">
        <v>1156</v>
      </c>
      <c r="O14" s="453" t="s">
        <v>1962</v>
      </c>
      <c r="P14" s="453" t="s">
        <v>119</v>
      </c>
      <c r="Q14" s="453" t="s">
        <v>3269</v>
      </c>
    </row>
    <row r="15" spans="1:17" x14ac:dyDescent="0.25">
      <c r="A15" s="453">
        <v>2</v>
      </c>
      <c r="B15" s="453">
        <v>13</v>
      </c>
      <c r="C15" s="453" t="str">
        <f t="shared" si="0"/>
        <v>213</v>
      </c>
      <c r="D15" s="453" t="s">
        <v>1961</v>
      </c>
      <c r="E15" s="453">
        <v>74</v>
      </c>
      <c r="F15" s="453">
        <v>394</v>
      </c>
      <c r="G15" s="453">
        <v>2019</v>
      </c>
      <c r="H15" s="453" t="s">
        <v>1156</v>
      </c>
      <c r="I15" s="453" t="s">
        <v>125</v>
      </c>
      <c r="J15" s="453" t="s">
        <v>1453</v>
      </c>
      <c r="K15" s="453">
        <v>7</v>
      </c>
      <c r="L15" s="454">
        <v>43487</v>
      </c>
      <c r="M15" s="455">
        <v>4200000</v>
      </c>
      <c r="N15" s="453" t="s">
        <v>1156</v>
      </c>
      <c r="O15" s="453" t="s">
        <v>1962</v>
      </c>
      <c r="P15" s="453" t="s">
        <v>119</v>
      </c>
      <c r="Q15" s="453" t="s">
        <v>3270</v>
      </c>
    </row>
    <row r="16" spans="1:17" x14ac:dyDescent="0.25">
      <c r="A16" s="453">
        <v>2</v>
      </c>
      <c r="B16" s="453">
        <v>14</v>
      </c>
      <c r="C16" s="453" t="str">
        <f t="shared" si="0"/>
        <v>214</v>
      </c>
      <c r="D16" s="453" t="s">
        <v>1961</v>
      </c>
      <c r="E16" s="453">
        <v>74</v>
      </c>
      <c r="F16" s="453">
        <v>395</v>
      </c>
      <c r="G16" s="453">
        <v>2019</v>
      </c>
      <c r="H16" s="453" t="s">
        <v>1156</v>
      </c>
      <c r="I16" s="453" t="s">
        <v>125</v>
      </c>
      <c r="J16" s="453" t="s">
        <v>1453</v>
      </c>
      <c r="K16" s="453">
        <v>8</v>
      </c>
      <c r="L16" s="454">
        <v>43487</v>
      </c>
      <c r="M16" s="455">
        <v>1400000</v>
      </c>
      <c r="N16" s="453" t="s">
        <v>1156</v>
      </c>
      <c r="O16" s="453" t="s">
        <v>1962</v>
      </c>
      <c r="P16" s="453" t="s">
        <v>119</v>
      </c>
      <c r="Q16" s="453" t="s">
        <v>3271</v>
      </c>
    </row>
    <row r="17" spans="1:17" x14ac:dyDescent="0.25">
      <c r="A17" s="453">
        <v>2</v>
      </c>
      <c r="B17" s="453">
        <v>15</v>
      </c>
      <c r="C17" s="453" t="str">
        <f t="shared" si="0"/>
        <v>215</v>
      </c>
      <c r="D17" s="453" t="s">
        <v>1961</v>
      </c>
      <c r="E17" s="453">
        <v>74</v>
      </c>
      <c r="F17" s="453">
        <v>369</v>
      </c>
      <c r="G17" s="453">
        <v>2018</v>
      </c>
      <c r="H17" s="453" t="s">
        <v>1156</v>
      </c>
      <c r="I17" s="453" t="s">
        <v>125</v>
      </c>
      <c r="J17" s="453" t="s">
        <v>1453</v>
      </c>
      <c r="K17" s="453">
        <v>1</v>
      </c>
      <c r="L17" s="454">
        <v>43214</v>
      </c>
      <c r="M17" s="455">
        <v>1100000</v>
      </c>
      <c r="N17" s="453" t="s">
        <v>1156</v>
      </c>
      <c r="O17" s="453" t="s">
        <v>1962</v>
      </c>
      <c r="P17" s="453" t="s">
        <v>119</v>
      </c>
      <c r="Q17" s="453" t="s">
        <v>2414</v>
      </c>
    </row>
    <row r="18" spans="1:17" x14ac:dyDescent="0.25">
      <c r="A18" s="453">
        <v>2</v>
      </c>
      <c r="B18" s="453">
        <v>16</v>
      </c>
      <c r="C18" s="453" t="str">
        <f t="shared" si="0"/>
        <v>216</v>
      </c>
      <c r="D18" s="453" t="s">
        <v>1961</v>
      </c>
      <c r="E18" s="453">
        <v>74</v>
      </c>
      <c r="F18" s="453">
        <v>370</v>
      </c>
      <c r="G18" s="453">
        <v>2018</v>
      </c>
      <c r="H18" s="453" t="s">
        <v>1156</v>
      </c>
      <c r="I18" s="453" t="s">
        <v>125</v>
      </c>
      <c r="J18" s="453" t="s">
        <v>1453</v>
      </c>
      <c r="K18" s="453">
        <v>2</v>
      </c>
      <c r="L18" s="454">
        <v>43342</v>
      </c>
      <c r="M18" s="455">
        <v>2769000</v>
      </c>
      <c r="N18" s="453" t="s">
        <v>1156</v>
      </c>
      <c r="O18" s="453" t="s">
        <v>1962</v>
      </c>
      <c r="P18" s="453" t="s">
        <v>119</v>
      </c>
      <c r="Q18" s="453" t="s">
        <v>2413</v>
      </c>
    </row>
    <row r="19" spans="1:17" x14ac:dyDescent="0.25">
      <c r="A19" s="453">
        <v>2</v>
      </c>
      <c r="B19" s="453">
        <v>17</v>
      </c>
      <c r="C19" s="453" t="str">
        <f t="shared" si="0"/>
        <v>217</v>
      </c>
      <c r="D19" s="453" t="s">
        <v>1961</v>
      </c>
      <c r="E19" s="453">
        <v>74</v>
      </c>
      <c r="F19" s="453">
        <v>371</v>
      </c>
      <c r="G19" s="453">
        <v>2018</v>
      </c>
      <c r="H19" s="453" t="s">
        <v>1156</v>
      </c>
      <c r="I19" s="453" t="s">
        <v>125</v>
      </c>
      <c r="J19" s="453" t="s">
        <v>1453</v>
      </c>
      <c r="K19" s="453">
        <v>3</v>
      </c>
      <c r="L19" s="454">
        <v>43431</v>
      </c>
      <c r="M19" s="455">
        <v>2000000</v>
      </c>
      <c r="N19" s="453" t="s">
        <v>1156</v>
      </c>
      <c r="O19" s="453" t="s">
        <v>1962</v>
      </c>
      <c r="P19" s="453" t="s">
        <v>119</v>
      </c>
      <c r="Q19" s="453" t="s">
        <v>2412</v>
      </c>
    </row>
    <row r="20" spans="1:17" x14ac:dyDescent="0.25">
      <c r="A20" s="453">
        <v>2</v>
      </c>
      <c r="B20" s="453">
        <v>18</v>
      </c>
      <c r="C20" s="453" t="str">
        <f t="shared" si="0"/>
        <v>218</v>
      </c>
      <c r="D20" s="453" t="s">
        <v>1961</v>
      </c>
      <c r="E20" s="453">
        <v>74</v>
      </c>
      <c r="F20" s="453">
        <v>372</v>
      </c>
      <c r="G20" s="453">
        <v>2018</v>
      </c>
      <c r="H20" s="453" t="s">
        <v>1156</v>
      </c>
      <c r="I20" s="453" t="s">
        <v>125</v>
      </c>
      <c r="J20" s="453" t="s">
        <v>1453</v>
      </c>
      <c r="K20" s="453">
        <v>4</v>
      </c>
      <c r="L20" s="454">
        <v>43340</v>
      </c>
      <c r="M20" s="455">
        <v>1300000</v>
      </c>
      <c r="N20" s="453" t="s">
        <v>1156</v>
      </c>
      <c r="O20" s="453" t="s">
        <v>1962</v>
      </c>
      <c r="P20" s="453" t="s">
        <v>119</v>
      </c>
      <c r="Q20" s="453" t="s">
        <v>2411</v>
      </c>
    </row>
    <row r="21" spans="1:17" x14ac:dyDescent="0.25">
      <c r="A21" s="453">
        <v>2</v>
      </c>
      <c r="B21" s="453">
        <v>19</v>
      </c>
      <c r="C21" s="453" t="str">
        <f t="shared" si="0"/>
        <v>219</v>
      </c>
      <c r="D21" s="453" t="s">
        <v>1961</v>
      </c>
      <c r="E21" s="453">
        <v>74</v>
      </c>
      <c r="F21" s="453">
        <v>373</v>
      </c>
      <c r="G21" s="453">
        <v>2018</v>
      </c>
      <c r="H21" s="453" t="s">
        <v>1156</v>
      </c>
      <c r="I21" s="453" t="s">
        <v>125</v>
      </c>
      <c r="J21" s="453" t="s">
        <v>1453</v>
      </c>
      <c r="K21" s="453">
        <v>5</v>
      </c>
      <c r="L21" s="454">
        <v>43431</v>
      </c>
      <c r="M21" s="455">
        <v>3284000</v>
      </c>
      <c r="N21" s="453" t="s">
        <v>1156</v>
      </c>
      <c r="O21" s="453" t="s">
        <v>1962</v>
      </c>
      <c r="P21" s="453" t="s">
        <v>119</v>
      </c>
      <c r="Q21" s="453" t="s">
        <v>2410</v>
      </c>
    </row>
    <row r="22" spans="1:17" x14ac:dyDescent="0.25">
      <c r="A22" s="453">
        <v>2</v>
      </c>
      <c r="B22" s="453">
        <v>20</v>
      </c>
      <c r="C22" s="453" t="str">
        <f t="shared" si="0"/>
        <v>220</v>
      </c>
      <c r="D22" s="453" t="s">
        <v>1961</v>
      </c>
      <c r="E22" s="453">
        <v>74</v>
      </c>
      <c r="F22" s="453">
        <v>374</v>
      </c>
      <c r="G22" s="453">
        <v>2018</v>
      </c>
      <c r="H22" s="453" t="s">
        <v>1156</v>
      </c>
      <c r="I22" s="453" t="s">
        <v>125</v>
      </c>
      <c r="J22" s="453" t="s">
        <v>1453</v>
      </c>
      <c r="K22" s="453">
        <v>6</v>
      </c>
      <c r="L22" s="454">
        <v>43607</v>
      </c>
      <c r="M22" s="455">
        <v>2745000</v>
      </c>
      <c r="N22" s="453" t="s">
        <v>1156</v>
      </c>
      <c r="O22" s="453" t="s">
        <v>1962</v>
      </c>
      <c r="P22" s="453" t="s">
        <v>119</v>
      </c>
      <c r="Q22" s="453" t="s">
        <v>2409</v>
      </c>
    </row>
    <row r="23" spans="1:17" x14ac:dyDescent="0.25">
      <c r="A23" s="453">
        <v>2</v>
      </c>
      <c r="B23" s="453">
        <v>21</v>
      </c>
      <c r="C23" s="453" t="str">
        <f t="shared" si="0"/>
        <v>221</v>
      </c>
      <c r="D23" s="456" t="s">
        <v>1961</v>
      </c>
      <c r="E23" s="453">
        <v>74</v>
      </c>
      <c r="F23" s="453">
        <v>375</v>
      </c>
      <c r="G23" s="453">
        <v>2018</v>
      </c>
      <c r="H23" s="453" t="s">
        <v>1156</v>
      </c>
      <c r="I23" s="453" t="s">
        <v>125</v>
      </c>
      <c r="J23" s="453" t="s">
        <v>1453</v>
      </c>
      <c r="K23" s="453">
        <v>7</v>
      </c>
      <c r="L23" s="454">
        <v>43242</v>
      </c>
      <c r="M23" s="455">
        <v>9543000</v>
      </c>
      <c r="N23" s="453" t="s">
        <v>1156</v>
      </c>
      <c r="O23" s="453" t="s">
        <v>1962</v>
      </c>
      <c r="P23" s="453" t="s">
        <v>119</v>
      </c>
      <c r="Q23" s="453" t="s">
        <v>2408</v>
      </c>
    </row>
    <row r="24" spans="1:17" x14ac:dyDescent="0.25">
      <c r="A24" s="453">
        <v>4</v>
      </c>
      <c r="B24" s="453">
        <v>1</v>
      </c>
      <c r="C24" s="453" t="str">
        <f t="shared" si="0"/>
        <v>41</v>
      </c>
      <c r="D24" s="453" t="s">
        <v>343</v>
      </c>
      <c r="E24" s="453">
        <v>45</v>
      </c>
      <c r="F24" s="453">
        <v>10</v>
      </c>
      <c r="G24" s="453">
        <v>2019</v>
      </c>
      <c r="H24" s="453" t="s">
        <v>2081</v>
      </c>
      <c r="I24" s="453" t="s">
        <v>344</v>
      </c>
      <c r="J24" s="453" t="s">
        <v>1453</v>
      </c>
      <c r="K24" s="453">
        <v>1</v>
      </c>
      <c r="L24" s="454">
        <v>43709</v>
      </c>
      <c r="M24" s="455">
        <v>1030339</v>
      </c>
      <c r="N24" s="453" t="s">
        <v>3272</v>
      </c>
      <c r="O24" s="453" t="s">
        <v>3273</v>
      </c>
      <c r="P24" s="453" t="s">
        <v>350</v>
      </c>
      <c r="Q24" s="453" t="s">
        <v>3274</v>
      </c>
    </row>
    <row r="25" spans="1:17" x14ac:dyDescent="0.25">
      <c r="A25" s="453">
        <v>4</v>
      </c>
      <c r="B25" s="453">
        <v>2</v>
      </c>
      <c r="C25" s="453" t="str">
        <f t="shared" si="0"/>
        <v>42</v>
      </c>
      <c r="D25" s="453" t="s">
        <v>343</v>
      </c>
      <c r="E25" s="453">
        <v>45</v>
      </c>
      <c r="F25" s="453">
        <v>9</v>
      </c>
      <c r="G25" s="453">
        <v>2018</v>
      </c>
      <c r="H25" s="453" t="s">
        <v>2081</v>
      </c>
      <c r="I25" s="453" t="s">
        <v>344</v>
      </c>
      <c r="J25" s="453" t="s">
        <v>1453</v>
      </c>
      <c r="K25" s="453">
        <v>1</v>
      </c>
      <c r="L25" s="454">
        <v>43381</v>
      </c>
      <c r="M25" s="455">
        <v>1858000</v>
      </c>
      <c r="N25" s="453" t="s">
        <v>2081</v>
      </c>
      <c r="O25" s="453" t="s">
        <v>1975</v>
      </c>
      <c r="P25" s="453" t="s">
        <v>350</v>
      </c>
      <c r="Q25" s="453" t="s">
        <v>2415</v>
      </c>
    </row>
    <row r="26" spans="1:17" x14ac:dyDescent="0.25">
      <c r="A26" s="453">
        <v>7</v>
      </c>
      <c r="B26" s="453">
        <v>1</v>
      </c>
      <c r="C26" s="453" t="str">
        <f t="shared" si="0"/>
        <v>71</v>
      </c>
      <c r="D26" s="453" t="s">
        <v>2339</v>
      </c>
      <c r="E26" s="453">
        <v>205</v>
      </c>
      <c r="F26" s="453">
        <v>4</v>
      </c>
      <c r="G26" s="453">
        <v>2019</v>
      </c>
      <c r="H26" s="453" t="s">
        <v>1996</v>
      </c>
      <c r="I26" s="453" t="s">
        <v>974</v>
      </c>
      <c r="J26" s="453" t="s">
        <v>1453</v>
      </c>
      <c r="K26" s="453">
        <v>1</v>
      </c>
      <c r="L26" s="454">
        <v>43040</v>
      </c>
      <c r="M26" s="455">
        <v>7874180</v>
      </c>
      <c r="N26" s="453" t="s">
        <v>3275</v>
      </c>
      <c r="O26" s="453" t="s">
        <v>3276</v>
      </c>
      <c r="P26" s="453" t="s">
        <v>3277</v>
      </c>
      <c r="Q26" s="453" t="s">
        <v>3278</v>
      </c>
    </row>
    <row r="27" spans="1:17" x14ac:dyDescent="0.25">
      <c r="A27" s="453">
        <v>10</v>
      </c>
      <c r="B27" s="453">
        <v>1</v>
      </c>
      <c r="C27" s="453" t="str">
        <f t="shared" si="0"/>
        <v>101</v>
      </c>
      <c r="D27" s="453" t="s">
        <v>2773</v>
      </c>
      <c r="E27" s="453">
        <v>43</v>
      </c>
      <c r="F27" s="453">
        <v>351</v>
      </c>
      <c r="G27" s="453">
        <v>2019</v>
      </c>
      <c r="H27" s="453" t="s">
        <v>2585</v>
      </c>
      <c r="I27" s="453" t="s">
        <v>360</v>
      </c>
      <c r="J27" s="453" t="s">
        <v>1453</v>
      </c>
      <c r="K27" s="453">
        <v>1</v>
      </c>
      <c r="L27" s="454">
        <v>43518</v>
      </c>
      <c r="M27" s="455">
        <v>1563565</v>
      </c>
      <c r="N27" s="453" t="s">
        <v>2585</v>
      </c>
      <c r="O27" s="453" t="s">
        <v>3279</v>
      </c>
      <c r="P27" s="453" t="s">
        <v>2177</v>
      </c>
      <c r="Q27" s="453" t="s">
        <v>3280</v>
      </c>
    </row>
    <row r="28" spans="1:17" x14ac:dyDescent="0.25">
      <c r="A28" s="453">
        <v>17</v>
      </c>
      <c r="B28" s="453">
        <v>1</v>
      </c>
      <c r="C28" s="453" t="str">
        <f t="shared" si="0"/>
        <v>171</v>
      </c>
      <c r="D28" s="453" t="s">
        <v>3281</v>
      </c>
      <c r="E28" s="453">
        <v>206</v>
      </c>
      <c r="F28" s="453">
        <v>3</v>
      </c>
      <c r="G28" s="453">
        <v>2020</v>
      </c>
      <c r="H28" s="453" t="s">
        <v>2599</v>
      </c>
      <c r="I28" s="453" t="s">
        <v>175</v>
      </c>
      <c r="J28" s="453" t="s">
        <v>1453</v>
      </c>
      <c r="K28" s="453">
        <v>1</v>
      </c>
      <c r="L28" s="454">
        <v>43983</v>
      </c>
      <c r="M28" s="455">
        <v>3182411</v>
      </c>
      <c r="N28" s="453" t="s">
        <v>3282</v>
      </c>
      <c r="O28" s="453" t="s">
        <v>3283</v>
      </c>
      <c r="P28" s="453" t="s">
        <v>3284</v>
      </c>
      <c r="Q28" s="453" t="s">
        <v>3285</v>
      </c>
    </row>
    <row r="29" spans="1:17" x14ac:dyDescent="0.25">
      <c r="A29" s="453">
        <v>24</v>
      </c>
      <c r="B29" s="453">
        <v>1</v>
      </c>
      <c r="C29" s="453" t="str">
        <f t="shared" si="0"/>
        <v>241</v>
      </c>
      <c r="D29" s="453" t="s">
        <v>3286</v>
      </c>
      <c r="E29" s="453">
        <v>58</v>
      </c>
      <c r="F29" s="453">
        <v>5</v>
      </c>
      <c r="G29" s="453">
        <v>2020</v>
      </c>
      <c r="H29" s="453" t="s">
        <v>2603</v>
      </c>
      <c r="I29" s="453" t="s">
        <v>143</v>
      </c>
      <c r="J29" s="453" t="s">
        <v>1453</v>
      </c>
      <c r="K29" s="453">
        <v>1</v>
      </c>
      <c r="L29" s="454">
        <v>43696</v>
      </c>
      <c r="M29" s="455">
        <v>5473043</v>
      </c>
      <c r="N29" s="453" t="s">
        <v>3287</v>
      </c>
      <c r="O29" s="453" t="s">
        <v>3288</v>
      </c>
      <c r="P29" s="453" t="s">
        <v>3289</v>
      </c>
      <c r="Q29" s="453" t="s">
        <v>3290</v>
      </c>
    </row>
    <row r="30" spans="1:17" x14ac:dyDescent="0.25">
      <c r="A30" s="453">
        <v>28</v>
      </c>
      <c r="B30" s="453">
        <v>1</v>
      </c>
      <c r="C30" s="453" t="str">
        <f t="shared" si="0"/>
        <v>281</v>
      </c>
      <c r="D30" s="453" t="s">
        <v>205</v>
      </c>
      <c r="E30" s="453">
        <v>20</v>
      </c>
      <c r="F30" s="453">
        <v>6</v>
      </c>
      <c r="G30" s="453">
        <v>2020</v>
      </c>
      <c r="H30" s="453" t="s">
        <v>205</v>
      </c>
      <c r="I30" s="453" t="s">
        <v>206</v>
      </c>
      <c r="J30" s="453" t="s">
        <v>1453</v>
      </c>
      <c r="K30" s="453">
        <v>1</v>
      </c>
      <c r="L30" s="454">
        <v>44013</v>
      </c>
      <c r="M30" s="455">
        <v>39450000</v>
      </c>
      <c r="N30" s="453" t="s">
        <v>3291</v>
      </c>
      <c r="O30" s="453" t="s">
        <v>3292</v>
      </c>
      <c r="P30" s="453" t="s">
        <v>3293</v>
      </c>
      <c r="Q30" s="453" t="s">
        <v>3294</v>
      </c>
    </row>
    <row r="31" spans="1:17" x14ac:dyDescent="0.25">
      <c r="A31" s="453">
        <v>31</v>
      </c>
      <c r="B31" s="453">
        <v>1</v>
      </c>
      <c r="C31" s="453" t="str">
        <f t="shared" si="0"/>
        <v>311</v>
      </c>
      <c r="D31" s="453" t="s">
        <v>160</v>
      </c>
      <c r="E31" s="453">
        <v>93</v>
      </c>
      <c r="F31" s="453">
        <v>6</v>
      </c>
      <c r="G31" s="453">
        <v>2019</v>
      </c>
      <c r="H31" s="453" t="s">
        <v>160</v>
      </c>
      <c r="I31" s="453" t="s">
        <v>161</v>
      </c>
      <c r="J31" s="453" t="s">
        <v>1453</v>
      </c>
      <c r="K31" s="453">
        <v>1</v>
      </c>
      <c r="L31" s="454">
        <v>43435</v>
      </c>
      <c r="M31" s="455">
        <v>17000000</v>
      </c>
      <c r="N31" s="453" t="s">
        <v>160</v>
      </c>
      <c r="O31" s="453" t="s">
        <v>1985</v>
      </c>
      <c r="P31" s="453" t="s">
        <v>163</v>
      </c>
      <c r="Q31" s="453" t="s">
        <v>3295</v>
      </c>
    </row>
    <row r="32" spans="1:17" x14ac:dyDescent="0.25">
      <c r="A32" s="453">
        <v>34</v>
      </c>
      <c r="B32" s="453">
        <v>1</v>
      </c>
      <c r="C32" s="453" t="str">
        <f t="shared" si="0"/>
        <v>341</v>
      </c>
      <c r="D32" s="453" t="s">
        <v>2330</v>
      </c>
      <c r="E32" s="453">
        <v>7</v>
      </c>
      <c r="F32" s="453">
        <v>10</v>
      </c>
      <c r="G32" s="453">
        <v>2019</v>
      </c>
      <c r="H32" s="453" t="s">
        <v>2330</v>
      </c>
      <c r="I32" s="453" t="s">
        <v>959</v>
      </c>
      <c r="J32" s="453" t="s">
        <v>1453</v>
      </c>
      <c r="K32" s="453">
        <v>1</v>
      </c>
      <c r="L32" s="454">
        <v>43556</v>
      </c>
      <c r="M32" s="455">
        <v>1111280</v>
      </c>
      <c r="N32" s="453" t="s">
        <v>3296</v>
      </c>
      <c r="O32" s="453" t="s">
        <v>3297</v>
      </c>
      <c r="P32" s="453" t="s">
        <v>959</v>
      </c>
      <c r="Q32" s="453" t="s">
        <v>3298</v>
      </c>
    </row>
    <row r="33" spans="1:17" x14ac:dyDescent="0.25">
      <c r="A33" s="453">
        <v>39</v>
      </c>
      <c r="B33" s="453">
        <v>1</v>
      </c>
      <c r="C33" s="453" t="str">
        <f t="shared" si="0"/>
        <v>391</v>
      </c>
      <c r="D33" s="453" t="s">
        <v>958</v>
      </c>
      <c r="E33" s="453">
        <v>46</v>
      </c>
      <c r="F33" s="453">
        <v>380</v>
      </c>
      <c r="G33" s="453">
        <v>2018</v>
      </c>
      <c r="H33" s="453" t="s">
        <v>1616</v>
      </c>
      <c r="I33" s="453" t="s">
        <v>416</v>
      </c>
      <c r="J33" s="453" t="s">
        <v>1453</v>
      </c>
      <c r="K33" s="453">
        <v>1</v>
      </c>
      <c r="L33" s="454">
        <v>43187</v>
      </c>
      <c r="M33" s="455">
        <v>1500000</v>
      </c>
      <c r="N33" s="453" t="s">
        <v>2416</v>
      </c>
      <c r="O33" s="453" t="s">
        <v>1868</v>
      </c>
      <c r="P33" s="453" t="s">
        <v>2417</v>
      </c>
      <c r="Q33" s="453" t="s">
        <v>2418</v>
      </c>
    </row>
    <row r="34" spans="1:17" x14ac:dyDescent="0.25">
      <c r="A34" s="453">
        <v>41</v>
      </c>
      <c r="B34" s="453">
        <v>1</v>
      </c>
      <c r="C34" s="453" t="str">
        <f t="shared" si="0"/>
        <v>411</v>
      </c>
      <c r="D34" s="453" t="s">
        <v>2773</v>
      </c>
      <c r="E34" s="453">
        <v>43</v>
      </c>
      <c r="F34" s="453">
        <v>326</v>
      </c>
      <c r="G34" s="453">
        <v>2018</v>
      </c>
      <c r="H34" s="453" t="s">
        <v>258</v>
      </c>
      <c r="I34" s="453" t="s">
        <v>259</v>
      </c>
      <c r="J34" s="453" t="s">
        <v>1453</v>
      </c>
      <c r="K34" s="453">
        <v>1</v>
      </c>
      <c r="L34" s="454">
        <v>43265</v>
      </c>
      <c r="M34" s="455">
        <v>1714797</v>
      </c>
      <c r="N34" s="453" t="s">
        <v>2419</v>
      </c>
      <c r="O34" s="453" t="s">
        <v>2420</v>
      </c>
      <c r="P34" s="453" t="s">
        <v>2421</v>
      </c>
      <c r="Q34" s="453" t="s">
        <v>2422</v>
      </c>
    </row>
    <row r="35" spans="1:17" x14ac:dyDescent="0.25">
      <c r="A35" s="453">
        <v>42</v>
      </c>
      <c r="B35" s="453">
        <v>1</v>
      </c>
      <c r="C35" s="453" t="str">
        <f t="shared" si="0"/>
        <v>421</v>
      </c>
      <c r="D35" s="453" t="s">
        <v>2773</v>
      </c>
      <c r="E35" s="453">
        <v>43</v>
      </c>
      <c r="F35" s="453">
        <v>377</v>
      </c>
      <c r="G35" s="453">
        <v>2020</v>
      </c>
      <c r="H35" s="453" t="s">
        <v>2618</v>
      </c>
      <c r="I35" s="453" t="s">
        <v>126</v>
      </c>
      <c r="J35" s="453" t="s">
        <v>1453</v>
      </c>
      <c r="K35" s="453">
        <v>1</v>
      </c>
      <c r="L35" s="454">
        <v>43882</v>
      </c>
      <c r="M35" s="455">
        <v>1151649</v>
      </c>
      <c r="N35" s="453" t="s">
        <v>2618</v>
      </c>
      <c r="O35" s="453" t="s">
        <v>3299</v>
      </c>
      <c r="P35" s="453" t="s">
        <v>3300</v>
      </c>
      <c r="Q35" s="453" t="s">
        <v>3301</v>
      </c>
    </row>
    <row r="36" spans="1:17" x14ac:dyDescent="0.25">
      <c r="A36" s="453">
        <v>42</v>
      </c>
      <c r="B36" s="453">
        <v>2</v>
      </c>
      <c r="C36" s="453" t="str">
        <f t="shared" si="0"/>
        <v>422</v>
      </c>
      <c r="D36" s="453" t="s">
        <v>2773</v>
      </c>
      <c r="E36" s="453">
        <v>43</v>
      </c>
      <c r="F36" s="453">
        <v>378</v>
      </c>
      <c r="G36" s="453">
        <v>2020</v>
      </c>
      <c r="H36" s="453" t="s">
        <v>2618</v>
      </c>
      <c r="I36" s="453" t="s">
        <v>126</v>
      </c>
      <c r="J36" s="453" t="s">
        <v>1453</v>
      </c>
      <c r="K36" s="453">
        <v>2</v>
      </c>
      <c r="L36" s="454">
        <v>44127</v>
      </c>
      <c r="M36" s="455">
        <v>2218903</v>
      </c>
      <c r="N36" s="453" t="s">
        <v>2618</v>
      </c>
      <c r="O36" s="453" t="s">
        <v>3299</v>
      </c>
      <c r="P36" s="453" t="s">
        <v>3300</v>
      </c>
      <c r="Q36" s="453" t="s">
        <v>3302</v>
      </c>
    </row>
    <row r="37" spans="1:17" x14ac:dyDescent="0.25">
      <c r="A37" s="453">
        <v>44</v>
      </c>
      <c r="B37" s="453">
        <v>1</v>
      </c>
      <c r="C37" s="453" t="str">
        <f t="shared" si="0"/>
        <v>441</v>
      </c>
      <c r="D37" s="453" t="s">
        <v>2773</v>
      </c>
      <c r="E37" s="453">
        <v>43</v>
      </c>
      <c r="F37" s="453">
        <v>379</v>
      </c>
      <c r="G37" s="453">
        <v>2020</v>
      </c>
      <c r="H37" s="453" t="s">
        <v>2623</v>
      </c>
      <c r="I37" s="453" t="s">
        <v>410</v>
      </c>
      <c r="J37" s="453" t="s">
        <v>1453</v>
      </c>
      <c r="K37" s="453">
        <v>1</v>
      </c>
      <c r="L37" s="454">
        <v>44127</v>
      </c>
      <c r="M37" s="455">
        <v>2218903</v>
      </c>
      <c r="N37" s="453" t="s">
        <v>2623</v>
      </c>
      <c r="O37" s="453" t="s">
        <v>2428</v>
      </c>
      <c r="P37" s="453" t="s">
        <v>2144</v>
      </c>
      <c r="Q37" s="453" t="s">
        <v>3302</v>
      </c>
    </row>
    <row r="38" spans="1:17" x14ac:dyDescent="0.25">
      <c r="A38" s="453">
        <v>44</v>
      </c>
      <c r="B38" s="453">
        <v>2</v>
      </c>
      <c r="C38" s="453" t="str">
        <f t="shared" si="0"/>
        <v>442</v>
      </c>
      <c r="D38" s="453" t="s">
        <v>2773</v>
      </c>
      <c r="E38" s="453">
        <v>43</v>
      </c>
      <c r="F38" s="453">
        <v>380</v>
      </c>
      <c r="G38" s="453">
        <v>2020</v>
      </c>
      <c r="H38" s="453" t="s">
        <v>2623</v>
      </c>
      <c r="I38" s="453" t="s">
        <v>410</v>
      </c>
      <c r="J38" s="453" t="s">
        <v>1453</v>
      </c>
      <c r="K38" s="453">
        <v>2</v>
      </c>
      <c r="L38" s="454">
        <v>43881</v>
      </c>
      <c r="M38" s="455">
        <v>10203295</v>
      </c>
      <c r="N38" s="453" t="s">
        <v>2623</v>
      </c>
      <c r="O38" s="453" t="s">
        <v>2428</v>
      </c>
      <c r="P38" s="453" t="s">
        <v>2144</v>
      </c>
      <c r="Q38" s="453" t="s">
        <v>3303</v>
      </c>
    </row>
    <row r="39" spans="1:17" x14ac:dyDescent="0.25">
      <c r="A39" s="453">
        <v>44</v>
      </c>
      <c r="B39" s="453">
        <v>3</v>
      </c>
      <c r="C39" s="453" t="str">
        <f t="shared" si="0"/>
        <v>443</v>
      </c>
      <c r="D39" s="453" t="s">
        <v>2773</v>
      </c>
      <c r="E39" s="453">
        <v>43</v>
      </c>
      <c r="F39" s="453">
        <v>381</v>
      </c>
      <c r="G39" s="453">
        <v>2020</v>
      </c>
      <c r="H39" s="453" t="s">
        <v>2623</v>
      </c>
      <c r="I39" s="453" t="s">
        <v>410</v>
      </c>
      <c r="J39" s="453" t="s">
        <v>1453</v>
      </c>
      <c r="K39" s="453">
        <v>3</v>
      </c>
      <c r="L39" s="454">
        <v>43909</v>
      </c>
      <c r="M39" s="455">
        <v>1946709</v>
      </c>
      <c r="N39" s="453" t="s">
        <v>2623</v>
      </c>
      <c r="O39" s="453" t="s">
        <v>2428</v>
      </c>
      <c r="P39" s="453" t="s">
        <v>2144</v>
      </c>
      <c r="Q39" s="453" t="s">
        <v>3304</v>
      </c>
    </row>
    <row r="40" spans="1:17" x14ac:dyDescent="0.25">
      <c r="A40" s="453">
        <v>44</v>
      </c>
      <c r="B40" s="453">
        <v>4</v>
      </c>
      <c r="C40" s="453" t="str">
        <f t="shared" si="0"/>
        <v>444</v>
      </c>
      <c r="D40" s="453" t="s">
        <v>2773</v>
      </c>
      <c r="E40" s="453">
        <v>43</v>
      </c>
      <c r="F40" s="453">
        <v>352</v>
      </c>
      <c r="G40" s="453">
        <v>2019</v>
      </c>
      <c r="H40" s="453" t="s">
        <v>2623</v>
      </c>
      <c r="I40" s="453" t="s">
        <v>410</v>
      </c>
      <c r="J40" s="453" t="s">
        <v>1453</v>
      </c>
      <c r="K40" s="453">
        <v>1</v>
      </c>
      <c r="L40" s="454">
        <v>43818</v>
      </c>
      <c r="M40" s="455">
        <v>1094175</v>
      </c>
      <c r="N40" s="453" t="s">
        <v>2623</v>
      </c>
      <c r="O40" s="453" t="s">
        <v>2428</v>
      </c>
      <c r="P40" s="453" t="s">
        <v>2144</v>
      </c>
      <c r="Q40" s="453" t="s">
        <v>3305</v>
      </c>
    </row>
    <row r="41" spans="1:17" x14ac:dyDescent="0.25">
      <c r="A41" s="453">
        <v>44</v>
      </c>
      <c r="B41" s="453">
        <v>5</v>
      </c>
      <c r="C41" s="453" t="str">
        <f t="shared" si="0"/>
        <v>445</v>
      </c>
      <c r="D41" s="453" t="s">
        <v>2773</v>
      </c>
      <c r="E41" s="453">
        <v>43</v>
      </c>
      <c r="F41" s="453">
        <v>321</v>
      </c>
      <c r="G41" s="453">
        <v>2018</v>
      </c>
      <c r="H41" s="453" t="s">
        <v>409</v>
      </c>
      <c r="I41" s="453" t="s">
        <v>410</v>
      </c>
      <c r="J41" s="453" t="s">
        <v>1453</v>
      </c>
      <c r="K41" s="453">
        <v>1</v>
      </c>
      <c r="L41" s="454">
        <v>43328</v>
      </c>
      <c r="M41" s="455">
        <v>2277103</v>
      </c>
      <c r="N41" s="453" t="s">
        <v>409</v>
      </c>
      <c r="O41" s="453" t="s">
        <v>2428</v>
      </c>
      <c r="P41" s="453" t="s">
        <v>2429</v>
      </c>
      <c r="Q41" s="453" t="s">
        <v>2430</v>
      </c>
    </row>
    <row r="42" spans="1:17" x14ac:dyDescent="0.25">
      <c r="A42" s="453">
        <v>44</v>
      </c>
      <c r="B42" s="453">
        <v>6</v>
      </c>
      <c r="C42" s="453" t="str">
        <f t="shared" si="0"/>
        <v>446</v>
      </c>
      <c r="D42" s="453" t="s">
        <v>2773</v>
      </c>
      <c r="E42" s="453">
        <v>43</v>
      </c>
      <c r="F42" s="453">
        <v>322</v>
      </c>
      <c r="G42" s="453">
        <v>2018</v>
      </c>
      <c r="H42" s="453" t="s">
        <v>409</v>
      </c>
      <c r="I42" s="453" t="s">
        <v>410</v>
      </c>
      <c r="J42" s="453" t="s">
        <v>1453</v>
      </c>
      <c r="K42" s="453">
        <v>2</v>
      </c>
      <c r="L42" s="454">
        <v>43265</v>
      </c>
      <c r="M42" s="455">
        <v>4079666</v>
      </c>
      <c r="N42" s="453" t="s">
        <v>409</v>
      </c>
      <c r="O42" s="453" t="s">
        <v>2423</v>
      </c>
      <c r="P42" s="453" t="s">
        <v>2424</v>
      </c>
      <c r="Q42" s="453" t="s">
        <v>2427</v>
      </c>
    </row>
    <row r="43" spans="1:17" x14ac:dyDescent="0.25">
      <c r="A43" s="453">
        <v>44</v>
      </c>
      <c r="B43" s="453">
        <v>7</v>
      </c>
      <c r="C43" s="453" t="str">
        <f t="shared" si="0"/>
        <v>447</v>
      </c>
      <c r="D43" s="453" t="s">
        <v>2773</v>
      </c>
      <c r="E43" s="453">
        <v>43</v>
      </c>
      <c r="F43" s="453">
        <v>323</v>
      </c>
      <c r="G43" s="453">
        <v>2018</v>
      </c>
      <c r="H43" s="453" t="s">
        <v>409</v>
      </c>
      <c r="I43" s="453" t="s">
        <v>410</v>
      </c>
      <c r="J43" s="453" t="s">
        <v>1453</v>
      </c>
      <c r="K43" s="453">
        <v>3</v>
      </c>
      <c r="L43" s="454">
        <v>43392</v>
      </c>
      <c r="M43" s="455">
        <v>2041570</v>
      </c>
      <c r="N43" s="453" t="s">
        <v>409</v>
      </c>
      <c r="O43" s="453" t="s">
        <v>2423</v>
      </c>
      <c r="P43" s="453" t="s">
        <v>2424</v>
      </c>
      <c r="Q43" s="453" t="s">
        <v>2426</v>
      </c>
    </row>
    <row r="44" spans="1:17" x14ac:dyDescent="0.25">
      <c r="A44" s="453">
        <v>44</v>
      </c>
      <c r="B44" s="453">
        <v>8</v>
      </c>
      <c r="C44" s="453" t="str">
        <f t="shared" si="0"/>
        <v>448</v>
      </c>
      <c r="D44" s="453" t="s">
        <v>2773</v>
      </c>
      <c r="E44" s="453">
        <v>43</v>
      </c>
      <c r="F44" s="453">
        <v>324</v>
      </c>
      <c r="G44" s="453">
        <v>2018</v>
      </c>
      <c r="H44" s="453" t="s">
        <v>409</v>
      </c>
      <c r="I44" s="453" t="s">
        <v>410</v>
      </c>
      <c r="J44" s="453" t="s">
        <v>1453</v>
      </c>
      <c r="K44" s="453">
        <v>4</v>
      </c>
      <c r="L44" s="454">
        <v>43332</v>
      </c>
      <c r="M44" s="455">
        <v>4361360</v>
      </c>
      <c r="N44" s="453" t="s">
        <v>409</v>
      </c>
      <c r="O44" s="453" t="s">
        <v>2423</v>
      </c>
      <c r="P44" s="453" t="s">
        <v>2424</v>
      </c>
      <c r="Q44" s="453" t="s">
        <v>2425</v>
      </c>
    </row>
    <row r="45" spans="1:17" x14ac:dyDescent="0.25">
      <c r="A45" s="453">
        <v>45</v>
      </c>
      <c r="B45" s="453">
        <v>1</v>
      </c>
      <c r="C45" s="453" t="str">
        <f t="shared" si="0"/>
        <v>451</v>
      </c>
      <c r="D45" s="453" t="s">
        <v>1494</v>
      </c>
      <c r="E45" s="453">
        <v>231</v>
      </c>
      <c r="F45" s="453">
        <v>4</v>
      </c>
      <c r="G45" s="453">
        <v>2018</v>
      </c>
      <c r="H45" s="453" t="s">
        <v>1494</v>
      </c>
      <c r="I45" s="453" t="s">
        <v>1355</v>
      </c>
      <c r="J45" s="453" t="s">
        <v>1453</v>
      </c>
      <c r="K45" s="453">
        <v>1</v>
      </c>
      <c r="L45" s="454">
        <v>43123</v>
      </c>
      <c r="M45" s="455">
        <v>1400000</v>
      </c>
      <c r="N45" s="453" t="s">
        <v>1494</v>
      </c>
      <c r="O45" s="453" t="s">
        <v>2241</v>
      </c>
      <c r="P45" s="453" t="s">
        <v>1359</v>
      </c>
      <c r="Q45" s="453" t="s">
        <v>2431</v>
      </c>
    </row>
    <row r="46" spans="1:17" x14ac:dyDescent="0.25">
      <c r="A46" s="453">
        <v>49</v>
      </c>
      <c r="B46" s="453">
        <v>1</v>
      </c>
      <c r="C46" s="453" t="str">
        <f t="shared" si="0"/>
        <v>491</v>
      </c>
      <c r="D46" s="453" t="s">
        <v>1969</v>
      </c>
      <c r="E46" s="453">
        <v>11</v>
      </c>
      <c r="F46" s="453">
        <v>29</v>
      </c>
      <c r="G46" s="453">
        <v>2020</v>
      </c>
      <c r="H46" s="453" t="s">
        <v>694</v>
      </c>
      <c r="I46" s="453" t="s">
        <v>360</v>
      </c>
      <c r="J46" s="453" t="s">
        <v>1453</v>
      </c>
      <c r="K46" s="453">
        <v>1</v>
      </c>
      <c r="L46" s="454">
        <v>43831</v>
      </c>
      <c r="M46" s="455">
        <v>3000000</v>
      </c>
      <c r="N46" s="453" t="s">
        <v>3306</v>
      </c>
      <c r="O46" s="453" t="s">
        <v>3307</v>
      </c>
      <c r="P46" s="453" t="s">
        <v>3308</v>
      </c>
      <c r="Q46" s="453" t="s">
        <v>3309</v>
      </c>
    </row>
    <row r="47" spans="1:17" x14ac:dyDescent="0.25">
      <c r="A47" s="453">
        <v>49</v>
      </c>
      <c r="B47" s="453">
        <v>2</v>
      </c>
      <c r="C47" s="453" t="str">
        <f t="shared" si="0"/>
        <v>492</v>
      </c>
      <c r="D47" s="453" t="s">
        <v>1969</v>
      </c>
      <c r="E47" s="453">
        <v>11</v>
      </c>
      <c r="F47" s="453">
        <v>28</v>
      </c>
      <c r="G47" s="453">
        <v>2019</v>
      </c>
      <c r="H47" s="453" t="s">
        <v>694</v>
      </c>
      <c r="I47" s="453" t="s">
        <v>360</v>
      </c>
      <c r="J47" s="453" t="s">
        <v>1453</v>
      </c>
      <c r="K47" s="453">
        <v>1</v>
      </c>
      <c r="L47" s="454">
        <v>43641</v>
      </c>
      <c r="M47" s="455">
        <v>30000000</v>
      </c>
      <c r="N47" s="453" t="s">
        <v>694</v>
      </c>
      <c r="O47" s="453" t="s">
        <v>2340</v>
      </c>
      <c r="P47" s="453" t="s">
        <v>2307</v>
      </c>
      <c r="Q47" s="453" t="s">
        <v>3310</v>
      </c>
    </row>
    <row r="48" spans="1:17" x14ac:dyDescent="0.25">
      <c r="A48" s="453">
        <v>50</v>
      </c>
      <c r="B48" s="453">
        <v>1</v>
      </c>
      <c r="C48" s="453" t="str">
        <f t="shared" si="0"/>
        <v>501</v>
      </c>
      <c r="D48" s="453" t="s">
        <v>428</v>
      </c>
      <c r="E48" s="453">
        <v>103</v>
      </c>
      <c r="F48" s="453">
        <v>6</v>
      </c>
      <c r="G48" s="453">
        <v>2018</v>
      </c>
      <c r="H48" s="453" t="s">
        <v>428</v>
      </c>
      <c r="I48" s="453" t="s">
        <v>429</v>
      </c>
      <c r="J48" s="453" t="s">
        <v>1453</v>
      </c>
      <c r="K48" s="453">
        <v>1</v>
      </c>
      <c r="L48" s="454">
        <v>43301</v>
      </c>
      <c r="M48" s="455">
        <v>2500000</v>
      </c>
      <c r="N48" s="453" t="s">
        <v>428</v>
      </c>
      <c r="O48" s="453" t="s">
        <v>1986</v>
      </c>
      <c r="P48" s="453" t="s">
        <v>2022</v>
      </c>
      <c r="Q48" s="453" t="s">
        <v>2432</v>
      </c>
    </row>
    <row r="49" spans="1:17" x14ac:dyDescent="0.25">
      <c r="A49" s="453">
        <v>59</v>
      </c>
      <c r="B49" s="453">
        <v>1</v>
      </c>
      <c r="C49" s="453" t="str">
        <f t="shared" si="0"/>
        <v>591</v>
      </c>
      <c r="D49" s="453" t="s">
        <v>1155</v>
      </c>
      <c r="E49" s="453">
        <v>75</v>
      </c>
      <c r="F49" s="453">
        <v>78</v>
      </c>
      <c r="G49" s="453">
        <v>2020</v>
      </c>
      <c r="H49" s="453" t="s">
        <v>2653</v>
      </c>
      <c r="I49" s="453" t="s">
        <v>125</v>
      </c>
      <c r="J49" s="453" t="s">
        <v>1453</v>
      </c>
      <c r="K49" s="453">
        <v>1</v>
      </c>
      <c r="L49" s="454">
        <v>43831</v>
      </c>
      <c r="M49" s="455">
        <v>2500000</v>
      </c>
      <c r="N49" s="453" t="s">
        <v>2653</v>
      </c>
      <c r="O49" s="453" t="s">
        <v>2433</v>
      </c>
      <c r="P49" s="453" t="s">
        <v>119</v>
      </c>
      <c r="Q49" s="453" t="s">
        <v>3311</v>
      </c>
    </row>
    <row r="50" spans="1:17" x14ac:dyDescent="0.25">
      <c r="A50" s="453">
        <v>59</v>
      </c>
      <c r="B50" s="453">
        <v>2</v>
      </c>
      <c r="C50" s="453" t="str">
        <f t="shared" si="0"/>
        <v>592</v>
      </c>
      <c r="D50" s="453" t="s">
        <v>1155</v>
      </c>
      <c r="E50" s="453">
        <v>75</v>
      </c>
      <c r="F50" s="453">
        <v>79</v>
      </c>
      <c r="G50" s="453">
        <v>2020</v>
      </c>
      <c r="H50" s="453" t="s">
        <v>2653</v>
      </c>
      <c r="I50" s="453" t="s">
        <v>125</v>
      </c>
      <c r="J50" s="453" t="s">
        <v>1453</v>
      </c>
      <c r="K50" s="453">
        <v>2</v>
      </c>
      <c r="L50" s="454">
        <v>43831</v>
      </c>
      <c r="M50" s="455">
        <v>1000000</v>
      </c>
      <c r="N50" s="453" t="s">
        <v>2653</v>
      </c>
      <c r="O50" s="453" t="s">
        <v>2433</v>
      </c>
      <c r="P50" s="453" t="s">
        <v>119</v>
      </c>
      <c r="Q50" s="453" t="s">
        <v>3312</v>
      </c>
    </row>
    <row r="51" spans="1:17" x14ac:dyDescent="0.25">
      <c r="A51" s="453">
        <v>59</v>
      </c>
      <c r="B51" s="453">
        <v>3</v>
      </c>
      <c r="C51" s="453" t="str">
        <f t="shared" si="0"/>
        <v>593</v>
      </c>
      <c r="D51" s="453" t="s">
        <v>1155</v>
      </c>
      <c r="E51" s="453">
        <v>75</v>
      </c>
      <c r="F51" s="453">
        <v>80</v>
      </c>
      <c r="G51" s="453">
        <v>2020</v>
      </c>
      <c r="H51" s="453" t="s">
        <v>2653</v>
      </c>
      <c r="I51" s="453" t="s">
        <v>125</v>
      </c>
      <c r="J51" s="453" t="s">
        <v>1453</v>
      </c>
      <c r="K51" s="453">
        <v>3</v>
      </c>
      <c r="L51" s="454">
        <v>44105</v>
      </c>
      <c r="M51" s="455">
        <v>1300000</v>
      </c>
      <c r="N51" s="453" t="s">
        <v>2653</v>
      </c>
      <c r="O51" s="453" t="s">
        <v>2433</v>
      </c>
      <c r="P51" s="453" t="s">
        <v>119</v>
      </c>
      <c r="Q51" s="453" t="s">
        <v>3313</v>
      </c>
    </row>
    <row r="52" spans="1:17" x14ac:dyDescent="0.25">
      <c r="A52" s="453">
        <v>59</v>
      </c>
      <c r="B52" s="453">
        <v>4</v>
      </c>
      <c r="C52" s="453" t="str">
        <f t="shared" si="0"/>
        <v>594</v>
      </c>
      <c r="D52" s="453" t="s">
        <v>1155</v>
      </c>
      <c r="E52" s="453">
        <v>75</v>
      </c>
      <c r="F52" s="453">
        <v>81</v>
      </c>
      <c r="G52" s="453">
        <v>2020</v>
      </c>
      <c r="H52" s="453" t="s">
        <v>2653</v>
      </c>
      <c r="I52" s="453" t="s">
        <v>125</v>
      </c>
      <c r="J52" s="453" t="s">
        <v>1453</v>
      </c>
      <c r="K52" s="453">
        <v>4</v>
      </c>
      <c r="L52" s="454">
        <v>43831</v>
      </c>
      <c r="M52" s="455">
        <v>1000000</v>
      </c>
      <c r="N52" s="453" t="s">
        <v>2653</v>
      </c>
      <c r="O52" s="453" t="s">
        <v>2433</v>
      </c>
      <c r="P52" s="453" t="s">
        <v>119</v>
      </c>
      <c r="Q52" s="453" t="s">
        <v>3314</v>
      </c>
    </row>
    <row r="53" spans="1:17" x14ac:dyDescent="0.25">
      <c r="A53" s="453">
        <v>59</v>
      </c>
      <c r="B53" s="453">
        <v>5</v>
      </c>
      <c r="C53" s="453" t="str">
        <f t="shared" si="0"/>
        <v>595</v>
      </c>
      <c r="D53" s="453" t="s">
        <v>1155</v>
      </c>
      <c r="E53" s="453">
        <v>75</v>
      </c>
      <c r="F53" s="453">
        <v>82</v>
      </c>
      <c r="G53" s="453">
        <v>2020</v>
      </c>
      <c r="H53" s="453" t="s">
        <v>2653</v>
      </c>
      <c r="I53" s="453" t="s">
        <v>125</v>
      </c>
      <c r="J53" s="453" t="s">
        <v>1453</v>
      </c>
      <c r="K53" s="453">
        <v>5</v>
      </c>
      <c r="L53" s="454">
        <v>43466</v>
      </c>
      <c r="M53" s="455">
        <v>5000000</v>
      </c>
      <c r="N53" s="453" t="s">
        <v>2653</v>
      </c>
      <c r="O53" s="453" t="s">
        <v>2433</v>
      </c>
      <c r="P53" s="453" t="s">
        <v>119</v>
      </c>
      <c r="Q53" s="453" t="s">
        <v>3315</v>
      </c>
    </row>
    <row r="54" spans="1:17" x14ac:dyDescent="0.25">
      <c r="A54" s="453">
        <v>59</v>
      </c>
      <c r="B54" s="453">
        <v>6</v>
      </c>
      <c r="C54" s="453" t="str">
        <f t="shared" si="0"/>
        <v>596</v>
      </c>
      <c r="D54" s="453" t="s">
        <v>1155</v>
      </c>
      <c r="E54" s="453">
        <v>75</v>
      </c>
      <c r="F54" s="453">
        <v>72</v>
      </c>
      <c r="G54" s="453">
        <v>2019</v>
      </c>
      <c r="H54" s="453" t="s">
        <v>2653</v>
      </c>
      <c r="I54" s="453" t="s">
        <v>125</v>
      </c>
      <c r="J54" s="453" t="s">
        <v>1453</v>
      </c>
      <c r="K54" s="453">
        <v>1</v>
      </c>
      <c r="L54" s="454">
        <v>43466</v>
      </c>
      <c r="M54" s="455">
        <v>1000000</v>
      </c>
      <c r="N54" s="453" t="s">
        <v>1155</v>
      </c>
      <c r="O54" s="453" t="s">
        <v>3316</v>
      </c>
      <c r="P54" s="453" t="s">
        <v>119</v>
      </c>
      <c r="Q54" s="453" t="s">
        <v>3317</v>
      </c>
    </row>
    <row r="55" spans="1:17" x14ac:dyDescent="0.25">
      <c r="A55" s="453">
        <v>59</v>
      </c>
      <c r="B55" s="453">
        <v>7</v>
      </c>
      <c r="C55" s="453" t="str">
        <f t="shared" si="0"/>
        <v>597</v>
      </c>
      <c r="D55" s="453" t="s">
        <v>1155</v>
      </c>
      <c r="E55" s="453">
        <v>75</v>
      </c>
      <c r="F55" s="453">
        <v>73</v>
      </c>
      <c r="G55" s="453">
        <v>2019</v>
      </c>
      <c r="H55" s="453" t="s">
        <v>2653</v>
      </c>
      <c r="I55" s="453" t="s">
        <v>125</v>
      </c>
      <c r="J55" s="453" t="s">
        <v>1453</v>
      </c>
      <c r="K55" s="453">
        <v>2</v>
      </c>
      <c r="L55" s="454">
        <v>43466</v>
      </c>
      <c r="M55" s="455">
        <v>2781783</v>
      </c>
      <c r="N55" s="453" t="s">
        <v>1155</v>
      </c>
      <c r="O55" s="453" t="s">
        <v>2433</v>
      </c>
      <c r="P55" s="453" t="s">
        <v>119</v>
      </c>
      <c r="Q55" s="453" t="s">
        <v>3318</v>
      </c>
    </row>
    <row r="56" spans="1:17" x14ac:dyDescent="0.25">
      <c r="A56" s="453">
        <v>59</v>
      </c>
      <c r="B56" s="453">
        <v>8</v>
      </c>
      <c r="C56" s="453" t="str">
        <f t="shared" si="0"/>
        <v>598</v>
      </c>
      <c r="D56" s="453" t="s">
        <v>1155</v>
      </c>
      <c r="E56" s="453">
        <v>75</v>
      </c>
      <c r="F56" s="453">
        <v>74</v>
      </c>
      <c r="G56" s="453">
        <v>2019</v>
      </c>
      <c r="H56" s="453" t="s">
        <v>2653</v>
      </c>
      <c r="I56" s="453" t="s">
        <v>125</v>
      </c>
      <c r="J56" s="453" t="s">
        <v>1453</v>
      </c>
      <c r="K56" s="453">
        <v>3</v>
      </c>
      <c r="L56" s="454">
        <v>43466</v>
      </c>
      <c r="M56" s="455">
        <v>1458000</v>
      </c>
      <c r="N56" s="453" t="s">
        <v>1155</v>
      </c>
      <c r="O56" s="453" t="s">
        <v>2433</v>
      </c>
      <c r="P56" s="453" t="s">
        <v>119</v>
      </c>
      <c r="Q56" s="453" t="s">
        <v>3319</v>
      </c>
    </row>
    <row r="57" spans="1:17" x14ac:dyDescent="0.25">
      <c r="A57" s="453">
        <v>59</v>
      </c>
      <c r="B57" s="453">
        <v>9</v>
      </c>
      <c r="C57" s="453" t="str">
        <f t="shared" si="0"/>
        <v>599</v>
      </c>
      <c r="D57" s="453" t="s">
        <v>1155</v>
      </c>
      <c r="E57" s="453">
        <v>75</v>
      </c>
      <c r="F57" s="453">
        <v>75</v>
      </c>
      <c r="G57" s="453">
        <v>2019</v>
      </c>
      <c r="H57" s="453" t="s">
        <v>2653</v>
      </c>
      <c r="I57" s="453" t="s">
        <v>125</v>
      </c>
      <c r="J57" s="453" t="s">
        <v>1453</v>
      </c>
      <c r="K57" s="453">
        <v>4</v>
      </c>
      <c r="L57" s="454">
        <v>43466</v>
      </c>
      <c r="M57" s="455">
        <v>2350000</v>
      </c>
      <c r="N57" s="453" t="s">
        <v>1155</v>
      </c>
      <c r="O57" s="453" t="s">
        <v>2433</v>
      </c>
      <c r="P57" s="453" t="s">
        <v>119</v>
      </c>
      <c r="Q57" s="453" t="s">
        <v>3320</v>
      </c>
    </row>
    <row r="58" spans="1:17" x14ac:dyDescent="0.25">
      <c r="A58" s="453">
        <v>59</v>
      </c>
      <c r="B58" s="453">
        <v>10</v>
      </c>
      <c r="C58" s="453" t="str">
        <f t="shared" si="0"/>
        <v>5910</v>
      </c>
      <c r="D58" s="453" t="s">
        <v>1155</v>
      </c>
      <c r="E58" s="453">
        <v>75</v>
      </c>
      <c r="F58" s="453">
        <v>76</v>
      </c>
      <c r="G58" s="453">
        <v>2019</v>
      </c>
      <c r="H58" s="453" t="s">
        <v>2653</v>
      </c>
      <c r="I58" s="453" t="s">
        <v>125</v>
      </c>
      <c r="J58" s="453" t="s">
        <v>1453</v>
      </c>
      <c r="K58" s="453">
        <v>5</v>
      </c>
      <c r="L58" s="454">
        <v>43466</v>
      </c>
      <c r="M58" s="455">
        <v>1300000</v>
      </c>
      <c r="N58" s="453" t="s">
        <v>1155</v>
      </c>
      <c r="O58" s="453" t="s">
        <v>2433</v>
      </c>
      <c r="P58" s="453" t="s">
        <v>119</v>
      </c>
      <c r="Q58" s="453" t="s">
        <v>3321</v>
      </c>
    </row>
    <row r="59" spans="1:17" x14ac:dyDescent="0.25">
      <c r="A59" s="453">
        <v>59</v>
      </c>
      <c r="B59" s="453">
        <v>11</v>
      </c>
      <c r="C59" s="453" t="str">
        <f t="shared" si="0"/>
        <v>5911</v>
      </c>
      <c r="D59" s="453" t="s">
        <v>1155</v>
      </c>
      <c r="E59" s="453">
        <v>75</v>
      </c>
      <c r="F59" s="453">
        <v>77</v>
      </c>
      <c r="G59" s="453">
        <v>2019</v>
      </c>
      <c r="H59" s="453" t="s">
        <v>2653</v>
      </c>
      <c r="I59" s="453" t="s">
        <v>125</v>
      </c>
      <c r="J59" s="453" t="s">
        <v>1453</v>
      </c>
      <c r="K59" s="453">
        <v>6</v>
      </c>
      <c r="L59" s="454">
        <v>43466</v>
      </c>
      <c r="M59" s="455">
        <v>4000000</v>
      </c>
      <c r="N59" s="453" t="s">
        <v>1155</v>
      </c>
      <c r="O59" s="453" t="s">
        <v>2433</v>
      </c>
      <c r="P59" s="453" t="s">
        <v>119</v>
      </c>
      <c r="Q59" s="453" t="s">
        <v>3315</v>
      </c>
    </row>
    <row r="60" spans="1:17" x14ac:dyDescent="0.25">
      <c r="A60" s="453">
        <v>59</v>
      </c>
      <c r="B60" s="453">
        <v>12</v>
      </c>
      <c r="C60" s="453" t="str">
        <f t="shared" si="0"/>
        <v>5912</v>
      </c>
      <c r="D60" s="453" t="s">
        <v>1155</v>
      </c>
      <c r="E60" s="453">
        <v>75</v>
      </c>
      <c r="F60" s="453">
        <v>66</v>
      </c>
      <c r="G60" s="453">
        <v>2018</v>
      </c>
      <c r="H60" s="453" t="s">
        <v>1155</v>
      </c>
      <c r="I60" s="453" t="s">
        <v>125</v>
      </c>
      <c r="J60" s="453" t="s">
        <v>1453</v>
      </c>
      <c r="K60" s="453">
        <v>1</v>
      </c>
      <c r="L60" s="454">
        <v>43101</v>
      </c>
      <c r="M60" s="455">
        <v>2785297</v>
      </c>
      <c r="N60" s="453" t="s">
        <v>1155</v>
      </c>
      <c r="O60" s="453" t="s">
        <v>2433</v>
      </c>
      <c r="P60" s="453" t="s">
        <v>119</v>
      </c>
      <c r="Q60" s="453" t="s">
        <v>2438</v>
      </c>
    </row>
    <row r="61" spans="1:17" x14ac:dyDescent="0.25">
      <c r="A61" s="453">
        <v>59</v>
      </c>
      <c r="B61" s="453">
        <v>13</v>
      </c>
      <c r="C61" s="453" t="str">
        <f t="shared" si="0"/>
        <v>5913</v>
      </c>
      <c r="D61" s="453" t="s">
        <v>1155</v>
      </c>
      <c r="E61" s="453">
        <v>75</v>
      </c>
      <c r="F61" s="453">
        <v>67</v>
      </c>
      <c r="G61" s="453">
        <v>2018</v>
      </c>
      <c r="H61" s="453" t="s">
        <v>1155</v>
      </c>
      <c r="I61" s="453" t="s">
        <v>125</v>
      </c>
      <c r="J61" s="453" t="s">
        <v>1453</v>
      </c>
      <c r="K61" s="453">
        <v>2</v>
      </c>
      <c r="L61" s="454">
        <v>43101</v>
      </c>
      <c r="M61" s="455">
        <v>1100000</v>
      </c>
      <c r="N61" s="453" t="s">
        <v>1155</v>
      </c>
      <c r="O61" s="453" t="s">
        <v>2433</v>
      </c>
      <c r="P61" s="453" t="s">
        <v>119</v>
      </c>
      <c r="Q61" s="453" t="s">
        <v>2083</v>
      </c>
    </row>
    <row r="62" spans="1:17" x14ac:dyDescent="0.25">
      <c r="A62" s="453">
        <v>59</v>
      </c>
      <c r="B62" s="453">
        <v>14</v>
      </c>
      <c r="C62" s="453" t="str">
        <f t="shared" si="0"/>
        <v>5914</v>
      </c>
      <c r="D62" s="453" t="s">
        <v>1155</v>
      </c>
      <c r="E62" s="453">
        <v>75</v>
      </c>
      <c r="F62" s="453">
        <v>68</v>
      </c>
      <c r="G62" s="453">
        <v>2018</v>
      </c>
      <c r="H62" s="453" t="s">
        <v>1155</v>
      </c>
      <c r="I62" s="453" t="s">
        <v>125</v>
      </c>
      <c r="J62" s="453" t="s">
        <v>1453</v>
      </c>
      <c r="K62" s="453">
        <v>3</v>
      </c>
      <c r="L62" s="454">
        <v>43101</v>
      </c>
      <c r="M62" s="455">
        <v>4725000</v>
      </c>
      <c r="N62" s="453" t="s">
        <v>1155</v>
      </c>
      <c r="O62" s="453" t="s">
        <v>2433</v>
      </c>
      <c r="P62" s="453" t="s">
        <v>119</v>
      </c>
      <c r="Q62" s="453" t="s">
        <v>2437</v>
      </c>
    </row>
    <row r="63" spans="1:17" x14ac:dyDescent="0.25">
      <c r="A63" s="453">
        <v>59</v>
      </c>
      <c r="B63" s="453">
        <v>15</v>
      </c>
      <c r="C63" s="453" t="str">
        <f t="shared" si="0"/>
        <v>5915</v>
      </c>
      <c r="D63" s="453" t="s">
        <v>1155</v>
      </c>
      <c r="E63" s="453">
        <v>75</v>
      </c>
      <c r="F63" s="453">
        <v>69</v>
      </c>
      <c r="G63" s="453">
        <v>2018</v>
      </c>
      <c r="H63" s="453" t="s">
        <v>1155</v>
      </c>
      <c r="I63" s="453" t="s">
        <v>125</v>
      </c>
      <c r="J63" s="453" t="s">
        <v>1453</v>
      </c>
      <c r="K63" s="453">
        <v>4</v>
      </c>
      <c r="L63" s="454">
        <v>43101</v>
      </c>
      <c r="M63" s="455">
        <v>1300000</v>
      </c>
      <c r="N63" s="453" t="s">
        <v>1155</v>
      </c>
      <c r="O63" s="453" t="s">
        <v>2433</v>
      </c>
      <c r="P63" s="453" t="s">
        <v>119</v>
      </c>
      <c r="Q63" s="453" t="s">
        <v>2436</v>
      </c>
    </row>
    <row r="64" spans="1:17" x14ac:dyDescent="0.25">
      <c r="A64" s="453">
        <v>59</v>
      </c>
      <c r="B64" s="453">
        <v>16</v>
      </c>
      <c r="C64" s="453" t="str">
        <f t="shared" si="0"/>
        <v>5916</v>
      </c>
      <c r="D64" s="453" t="s">
        <v>1155</v>
      </c>
      <c r="E64" s="453">
        <v>75</v>
      </c>
      <c r="F64" s="453">
        <v>70</v>
      </c>
      <c r="G64" s="453">
        <v>2018</v>
      </c>
      <c r="H64" s="453" t="s">
        <v>1155</v>
      </c>
      <c r="I64" s="453" t="s">
        <v>125</v>
      </c>
      <c r="J64" s="453" t="s">
        <v>1453</v>
      </c>
      <c r="K64" s="453">
        <v>5</v>
      </c>
      <c r="L64" s="454">
        <v>43101</v>
      </c>
      <c r="M64" s="455">
        <v>26692705</v>
      </c>
      <c r="N64" s="453" t="s">
        <v>1155</v>
      </c>
      <c r="O64" s="453" t="s">
        <v>2433</v>
      </c>
      <c r="P64" s="453" t="s">
        <v>119</v>
      </c>
      <c r="Q64" s="453" t="s">
        <v>2435</v>
      </c>
    </row>
    <row r="65" spans="1:17" x14ac:dyDescent="0.25">
      <c r="A65" s="453">
        <v>59</v>
      </c>
      <c r="B65" s="453">
        <v>17</v>
      </c>
      <c r="C65" s="453" t="str">
        <f t="shared" si="0"/>
        <v>5917</v>
      </c>
      <c r="D65" s="453" t="s">
        <v>1155</v>
      </c>
      <c r="E65" s="453">
        <v>75</v>
      </c>
      <c r="F65" s="453">
        <v>71</v>
      </c>
      <c r="G65" s="453">
        <v>2018</v>
      </c>
      <c r="H65" s="453" t="s">
        <v>1155</v>
      </c>
      <c r="I65" s="453" t="s">
        <v>125</v>
      </c>
      <c r="J65" s="453" t="s">
        <v>1453</v>
      </c>
      <c r="K65" s="453">
        <v>6</v>
      </c>
      <c r="L65" s="454">
        <v>43101</v>
      </c>
      <c r="M65" s="455">
        <v>5482593</v>
      </c>
      <c r="N65" s="453" t="s">
        <v>1155</v>
      </c>
      <c r="O65" s="453" t="s">
        <v>2433</v>
      </c>
      <c r="P65" s="453" t="s">
        <v>119</v>
      </c>
      <c r="Q65" s="453" t="s">
        <v>2434</v>
      </c>
    </row>
    <row r="66" spans="1:17" x14ac:dyDescent="0.25">
      <c r="A66" s="453">
        <v>62</v>
      </c>
      <c r="B66" s="453">
        <v>1</v>
      </c>
      <c r="C66" s="453" t="str">
        <f t="shared" si="0"/>
        <v>621</v>
      </c>
      <c r="D66" s="453" t="s">
        <v>1961</v>
      </c>
      <c r="E66" s="453">
        <v>74</v>
      </c>
      <c r="F66" s="453">
        <v>376</v>
      </c>
      <c r="G66" s="453">
        <v>2018</v>
      </c>
      <c r="H66" s="453" t="s">
        <v>1876</v>
      </c>
      <c r="I66" s="453" t="s">
        <v>462</v>
      </c>
      <c r="J66" s="453" t="s">
        <v>1453</v>
      </c>
      <c r="K66" s="453">
        <v>1</v>
      </c>
      <c r="L66" s="454">
        <v>43182</v>
      </c>
      <c r="M66" s="455">
        <v>1750000</v>
      </c>
      <c r="N66" s="453" t="s">
        <v>1876</v>
      </c>
      <c r="O66" s="453" t="s">
        <v>2239</v>
      </c>
      <c r="P66" s="453" t="s">
        <v>1353</v>
      </c>
      <c r="Q66" s="453" t="s">
        <v>2440</v>
      </c>
    </row>
    <row r="67" spans="1:17" x14ac:dyDescent="0.25">
      <c r="A67" s="453">
        <v>62</v>
      </c>
      <c r="B67" s="453">
        <v>2</v>
      </c>
      <c r="C67" s="453" t="str">
        <f t="shared" si="0"/>
        <v>622</v>
      </c>
      <c r="D67" s="453" t="s">
        <v>1961</v>
      </c>
      <c r="E67" s="453">
        <v>74</v>
      </c>
      <c r="F67" s="453">
        <v>377</v>
      </c>
      <c r="G67" s="453">
        <v>2018</v>
      </c>
      <c r="H67" s="453" t="s">
        <v>1876</v>
      </c>
      <c r="I67" s="453" t="s">
        <v>462</v>
      </c>
      <c r="J67" s="453" t="s">
        <v>1453</v>
      </c>
      <c r="K67" s="453">
        <v>2</v>
      </c>
      <c r="L67" s="454">
        <v>43375</v>
      </c>
      <c r="M67" s="455">
        <v>21000000</v>
      </c>
      <c r="N67" s="453" t="s">
        <v>1876</v>
      </c>
      <c r="O67" s="453" t="s">
        <v>2239</v>
      </c>
      <c r="P67" s="453" t="s">
        <v>1353</v>
      </c>
      <c r="Q67" s="453" t="s">
        <v>2439</v>
      </c>
    </row>
    <row r="68" spans="1:17" x14ac:dyDescent="0.25">
      <c r="A68" s="453">
        <v>63</v>
      </c>
      <c r="B68" s="453">
        <v>1</v>
      </c>
      <c r="C68" s="453" t="str">
        <f t="shared" ref="C68:C131" si="1">CONCATENATE(A68,B68)</f>
        <v>631</v>
      </c>
      <c r="D68" s="453" t="s">
        <v>958</v>
      </c>
      <c r="E68" s="453">
        <v>46</v>
      </c>
      <c r="F68" s="453">
        <v>381</v>
      </c>
      <c r="G68" s="453">
        <v>2018</v>
      </c>
      <c r="H68" s="453" t="s">
        <v>2441</v>
      </c>
      <c r="I68" s="453" t="s">
        <v>355</v>
      </c>
      <c r="J68" s="453" t="s">
        <v>1453</v>
      </c>
      <c r="K68" s="453">
        <v>1</v>
      </c>
      <c r="L68" s="454">
        <v>43124</v>
      </c>
      <c r="M68" s="455">
        <v>2495000</v>
      </c>
      <c r="N68" s="453" t="s">
        <v>2442</v>
      </c>
      <c r="O68" s="453" t="s">
        <v>2084</v>
      </c>
      <c r="P68" s="453" t="s">
        <v>1619</v>
      </c>
      <c r="Q68" s="453" t="s">
        <v>2443</v>
      </c>
    </row>
    <row r="69" spans="1:17" x14ac:dyDescent="0.25">
      <c r="A69" s="453">
        <v>71</v>
      </c>
      <c r="B69" s="453">
        <v>1</v>
      </c>
      <c r="C69" s="453" t="str">
        <f t="shared" si="1"/>
        <v>711</v>
      </c>
      <c r="D69" s="453" t="s">
        <v>2444</v>
      </c>
      <c r="E69" s="453">
        <v>17</v>
      </c>
      <c r="F69" s="453">
        <v>11</v>
      </c>
      <c r="G69" s="453">
        <v>2018</v>
      </c>
      <c r="H69" s="453" t="s">
        <v>1279</v>
      </c>
      <c r="I69" s="453" t="s">
        <v>563</v>
      </c>
      <c r="J69" s="453" t="s">
        <v>1453</v>
      </c>
      <c r="K69" s="453">
        <v>1</v>
      </c>
      <c r="L69" s="454">
        <v>43221</v>
      </c>
      <c r="M69" s="455">
        <v>1012245</v>
      </c>
      <c r="N69" s="453" t="s">
        <v>2445</v>
      </c>
      <c r="O69" s="453" t="s">
        <v>2446</v>
      </c>
      <c r="P69" s="453" t="s">
        <v>1281</v>
      </c>
      <c r="Q69" s="453" t="s">
        <v>2447</v>
      </c>
    </row>
    <row r="70" spans="1:17" x14ac:dyDescent="0.25">
      <c r="A70" s="453">
        <v>72</v>
      </c>
      <c r="B70" s="453">
        <v>1</v>
      </c>
      <c r="C70" s="453" t="str">
        <f t="shared" si="1"/>
        <v>721</v>
      </c>
      <c r="D70" s="453" t="s">
        <v>1466</v>
      </c>
      <c r="E70" s="453">
        <v>36</v>
      </c>
      <c r="F70" s="453">
        <v>25</v>
      </c>
      <c r="G70" s="453">
        <v>2019</v>
      </c>
      <c r="H70" s="453" t="s">
        <v>3322</v>
      </c>
      <c r="I70" s="453" t="s">
        <v>1463</v>
      </c>
      <c r="J70" s="453" t="s">
        <v>1453</v>
      </c>
      <c r="K70" s="453">
        <v>1</v>
      </c>
      <c r="L70" s="454">
        <v>43341</v>
      </c>
      <c r="M70" s="455">
        <v>15000000</v>
      </c>
      <c r="N70" s="453" t="s">
        <v>3051</v>
      </c>
      <c r="O70" s="453" t="s">
        <v>2310</v>
      </c>
      <c r="P70" s="453" t="s">
        <v>3323</v>
      </c>
      <c r="Q70" s="453" t="s">
        <v>3324</v>
      </c>
    </row>
    <row r="71" spans="1:17" x14ac:dyDescent="0.25">
      <c r="A71" s="453">
        <v>74</v>
      </c>
      <c r="B71" s="453">
        <v>1</v>
      </c>
      <c r="C71" s="453" t="str">
        <f t="shared" si="1"/>
        <v>741</v>
      </c>
      <c r="D71" s="453" t="s">
        <v>1970</v>
      </c>
      <c r="E71" s="453">
        <v>48</v>
      </c>
      <c r="F71" s="453">
        <v>105</v>
      </c>
      <c r="G71" s="453">
        <v>2019</v>
      </c>
      <c r="H71" s="453" t="s">
        <v>2678</v>
      </c>
      <c r="I71" s="453" t="s">
        <v>713</v>
      </c>
      <c r="J71" s="453" t="s">
        <v>1453</v>
      </c>
      <c r="K71" s="453">
        <v>1</v>
      </c>
      <c r="L71" s="454">
        <v>43704</v>
      </c>
      <c r="M71" s="455">
        <v>1556050</v>
      </c>
      <c r="N71" s="453" t="s">
        <v>712</v>
      </c>
      <c r="O71" s="453" t="s">
        <v>2331</v>
      </c>
      <c r="P71" s="453" t="s">
        <v>716</v>
      </c>
      <c r="Q71" s="453" t="s">
        <v>3325</v>
      </c>
    </row>
    <row r="72" spans="1:17" x14ac:dyDescent="0.25">
      <c r="A72" s="453">
        <v>74</v>
      </c>
      <c r="B72" s="453">
        <v>2</v>
      </c>
      <c r="C72" s="453" t="str">
        <f t="shared" si="1"/>
        <v>742</v>
      </c>
      <c r="D72" s="453" t="s">
        <v>1970</v>
      </c>
      <c r="E72" s="453">
        <v>48</v>
      </c>
      <c r="F72" s="453">
        <v>98</v>
      </c>
      <c r="G72" s="453">
        <v>2018</v>
      </c>
      <c r="H72" s="453" t="s">
        <v>712</v>
      </c>
      <c r="I72" s="453" t="s">
        <v>713</v>
      </c>
      <c r="J72" s="453" t="s">
        <v>1453</v>
      </c>
      <c r="K72" s="453">
        <v>1</v>
      </c>
      <c r="L72" s="454">
        <v>43115</v>
      </c>
      <c r="M72" s="455">
        <v>2244675</v>
      </c>
      <c r="N72" s="453" t="s">
        <v>712</v>
      </c>
      <c r="O72" s="453" t="s">
        <v>2331</v>
      </c>
      <c r="P72" s="453" t="s">
        <v>716</v>
      </c>
      <c r="Q72" s="453" t="s">
        <v>2448</v>
      </c>
    </row>
    <row r="73" spans="1:17" x14ac:dyDescent="0.25">
      <c r="A73" s="453">
        <v>80</v>
      </c>
      <c r="B73" s="453">
        <v>1</v>
      </c>
      <c r="C73" s="453" t="str">
        <f t="shared" si="1"/>
        <v>801</v>
      </c>
      <c r="D73" s="453" t="s">
        <v>3063</v>
      </c>
      <c r="E73" s="453">
        <v>155</v>
      </c>
      <c r="F73" s="453">
        <v>4</v>
      </c>
      <c r="G73" s="453">
        <v>2019</v>
      </c>
      <c r="H73" s="453" t="s">
        <v>3063</v>
      </c>
      <c r="I73" s="453" t="s">
        <v>468</v>
      </c>
      <c r="J73" s="453" t="s">
        <v>1453</v>
      </c>
      <c r="K73" s="453">
        <v>1</v>
      </c>
      <c r="L73" s="454">
        <v>43563</v>
      </c>
      <c r="M73" s="455">
        <v>1800000</v>
      </c>
      <c r="N73" s="453" t="s">
        <v>3326</v>
      </c>
      <c r="O73" s="453" t="s">
        <v>3327</v>
      </c>
      <c r="P73" s="453" t="s">
        <v>3328</v>
      </c>
      <c r="Q73" s="453" t="s">
        <v>3329</v>
      </c>
    </row>
    <row r="74" spans="1:17" x14ac:dyDescent="0.25">
      <c r="A74" s="453">
        <v>84</v>
      </c>
      <c r="B74" s="453">
        <v>1</v>
      </c>
      <c r="C74" s="453" t="str">
        <f t="shared" si="1"/>
        <v>841</v>
      </c>
      <c r="D74" s="453" t="s">
        <v>1961</v>
      </c>
      <c r="E74" s="453">
        <v>74</v>
      </c>
      <c r="F74" s="453">
        <v>414</v>
      </c>
      <c r="G74" s="453">
        <v>2020</v>
      </c>
      <c r="H74" s="453" t="s">
        <v>153</v>
      </c>
      <c r="I74" s="453" t="s">
        <v>154</v>
      </c>
      <c r="J74" s="453" t="s">
        <v>1453</v>
      </c>
      <c r="K74" s="453">
        <v>1</v>
      </c>
      <c r="L74" s="454">
        <v>43858</v>
      </c>
      <c r="M74" s="455">
        <v>2900000</v>
      </c>
      <c r="N74" s="453" t="s">
        <v>153</v>
      </c>
      <c r="O74" s="453" t="s">
        <v>1963</v>
      </c>
      <c r="P74" s="453" t="s">
        <v>2341</v>
      </c>
      <c r="Q74" s="453" t="s">
        <v>3330</v>
      </c>
    </row>
    <row r="75" spans="1:17" x14ac:dyDescent="0.25">
      <c r="A75" s="453">
        <v>84</v>
      </c>
      <c r="B75" s="453">
        <v>2</v>
      </c>
      <c r="C75" s="453" t="str">
        <f t="shared" si="1"/>
        <v>842</v>
      </c>
      <c r="D75" s="453" t="s">
        <v>1961</v>
      </c>
      <c r="E75" s="453">
        <v>74</v>
      </c>
      <c r="F75" s="453">
        <v>415</v>
      </c>
      <c r="G75" s="453">
        <v>2020</v>
      </c>
      <c r="H75" s="453" t="s">
        <v>153</v>
      </c>
      <c r="I75" s="453" t="s">
        <v>154</v>
      </c>
      <c r="J75" s="453" t="s">
        <v>1453</v>
      </c>
      <c r="K75" s="453">
        <v>2</v>
      </c>
      <c r="L75" s="454">
        <v>44153</v>
      </c>
      <c r="M75" s="455">
        <v>2076342</v>
      </c>
      <c r="N75" s="453" t="s">
        <v>153</v>
      </c>
      <c r="O75" s="453" t="s">
        <v>1963</v>
      </c>
      <c r="P75" s="453" t="s">
        <v>2341</v>
      </c>
      <c r="Q75" s="453" t="s">
        <v>3331</v>
      </c>
    </row>
    <row r="76" spans="1:17" x14ac:dyDescent="0.25">
      <c r="A76" s="453">
        <v>84</v>
      </c>
      <c r="B76" s="453">
        <v>3</v>
      </c>
      <c r="C76" s="453" t="str">
        <f t="shared" si="1"/>
        <v>843</v>
      </c>
      <c r="D76" s="453" t="s">
        <v>1961</v>
      </c>
      <c r="E76" s="453">
        <v>74</v>
      </c>
      <c r="F76" s="453">
        <v>416</v>
      </c>
      <c r="G76" s="453">
        <v>2020</v>
      </c>
      <c r="H76" s="453" t="s">
        <v>153</v>
      </c>
      <c r="I76" s="453" t="s">
        <v>154</v>
      </c>
      <c r="J76" s="453" t="s">
        <v>1453</v>
      </c>
      <c r="K76" s="453">
        <v>3</v>
      </c>
      <c r="L76" s="454">
        <v>44061</v>
      </c>
      <c r="M76" s="455">
        <v>2200000</v>
      </c>
      <c r="N76" s="453" t="s">
        <v>153</v>
      </c>
      <c r="O76" s="453" t="s">
        <v>1963</v>
      </c>
      <c r="P76" s="453" t="s">
        <v>2341</v>
      </c>
      <c r="Q76" s="453" t="s">
        <v>3332</v>
      </c>
    </row>
    <row r="77" spans="1:17" x14ac:dyDescent="0.25">
      <c r="A77" s="453">
        <v>84</v>
      </c>
      <c r="B77" s="453">
        <v>4</v>
      </c>
      <c r="C77" s="453" t="str">
        <f t="shared" si="1"/>
        <v>844</v>
      </c>
      <c r="D77" s="453" t="s">
        <v>1961</v>
      </c>
      <c r="E77" s="453">
        <v>74</v>
      </c>
      <c r="F77" s="453">
        <v>396</v>
      </c>
      <c r="G77" s="453">
        <v>2019</v>
      </c>
      <c r="H77" s="453" t="s">
        <v>153</v>
      </c>
      <c r="I77" s="453" t="s">
        <v>154</v>
      </c>
      <c r="J77" s="453" t="s">
        <v>1453</v>
      </c>
      <c r="K77" s="453">
        <v>1</v>
      </c>
      <c r="L77" s="454">
        <v>43487</v>
      </c>
      <c r="M77" s="455">
        <v>2700000</v>
      </c>
      <c r="N77" s="453" t="s">
        <v>153</v>
      </c>
      <c r="O77" s="453" t="s">
        <v>1963</v>
      </c>
      <c r="P77" s="453" t="s">
        <v>2341</v>
      </c>
      <c r="Q77" s="453" t="s">
        <v>3333</v>
      </c>
    </row>
    <row r="78" spans="1:17" x14ac:dyDescent="0.25">
      <c r="A78" s="453">
        <v>84</v>
      </c>
      <c r="B78" s="453">
        <v>5</v>
      </c>
      <c r="C78" s="453" t="str">
        <f t="shared" si="1"/>
        <v>845</v>
      </c>
      <c r="D78" s="453" t="s">
        <v>1961</v>
      </c>
      <c r="E78" s="453">
        <v>74</v>
      </c>
      <c r="F78" s="453">
        <v>397</v>
      </c>
      <c r="G78" s="453">
        <v>2019</v>
      </c>
      <c r="H78" s="453" t="s">
        <v>153</v>
      </c>
      <c r="I78" s="453" t="s">
        <v>154</v>
      </c>
      <c r="J78" s="453" t="s">
        <v>1453</v>
      </c>
      <c r="K78" s="453">
        <v>2</v>
      </c>
      <c r="L78" s="454">
        <v>43487</v>
      </c>
      <c r="M78" s="455">
        <v>4900000</v>
      </c>
      <c r="N78" s="453" t="s">
        <v>153</v>
      </c>
      <c r="O78" s="453" t="s">
        <v>1963</v>
      </c>
      <c r="P78" s="453" t="s">
        <v>2341</v>
      </c>
      <c r="Q78" s="453" t="s">
        <v>3334</v>
      </c>
    </row>
    <row r="79" spans="1:17" x14ac:dyDescent="0.25">
      <c r="A79" s="453">
        <v>84</v>
      </c>
      <c r="B79" s="453">
        <v>6</v>
      </c>
      <c r="C79" s="453" t="str">
        <f t="shared" si="1"/>
        <v>846</v>
      </c>
      <c r="D79" s="453" t="s">
        <v>1961</v>
      </c>
      <c r="E79" s="453">
        <v>74</v>
      </c>
      <c r="F79" s="453">
        <v>398</v>
      </c>
      <c r="G79" s="453">
        <v>2019</v>
      </c>
      <c r="H79" s="453" t="s">
        <v>153</v>
      </c>
      <c r="I79" s="453" t="s">
        <v>154</v>
      </c>
      <c r="J79" s="453" t="s">
        <v>1453</v>
      </c>
      <c r="K79" s="453">
        <v>3</v>
      </c>
      <c r="L79" s="454">
        <v>43775</v>
      </c>
      <c r="M79" s="455">
        <v>3567262</v>
      </c>
      <c r="N79" s="453" t="s">
        <v>153</v>
      </c>
      <c r="O79" s="453" t="s">
        <v>1963</v>
      </c>
      <c r="P79" s="453" t="s">
        <v>2341</v>
      </c>
      <c r="Q79" s="453" t="s">
        <v>3335</v>
      </c>
    </row>
    <row r="80" spans="1:17" x14ac:dyDescent="0.25">
      <c r="A80" s="453">
        <v>84</v>
      </c>
      <c r="B80" s="453">
        <v>7</v>
      </c>
      <c r="C80" s="453" t="str">
        <f t="shared" si="1"/>
        <v>847</v>
      </c>
      <c r="D80" s="453" t="s">
        <v>1961</v>
      </c>
      <c r="E80" s="453">
        <v>74</v>
      </c>
      <c r="F80" s="453">
        <v>399</v>
      </c>
      <c r="G80" s="453">
        <v>2019</v>
      </c>
      <c r="H80" s="453" t="s">
        <v>153</v>
      </c>
      <c r="I80" s="453" t="s">
        <v>154</v>
      </c>
      <c r="J80" s="453" t="s">
        <v>1453</v>
      </c>
      <c r="K80" s="453">
        <v>4</v>
      </c>
      <c r="L80" s="454">
        <v>43732</v>
      </c>
      <c r="M80" s="455">
        <v>1630000</v>
      </c>
      <c r="N80" s="453" t="s">
        <v>153</v>
      </c>
      <c r="O80" s="453" t="s">
        <v>1963</v>
      </c>
      <c r="P80" s="453" t="s">
        <v>2341</v>
      </c>
      <c r="Q80" s="453" t="s">
        <v>3336</v>
      </c>
    </row>
    <row r="81" spans="1:17" x14ac:dyDescent="0.25">
      <c r="A81" s="453">
        <v>84</v>
      </c>
      <c r="B81" s="453">
        <v>8</v>
      </c>
      <c r="C81" s="453" t="str">
        <f t="shared" si="1"/>
        <v>848</v>
      </c>
      <c r="D81" s="453" t="s">
        <v>1961</v>
      </c>
      <c r="E81" s="453">
        <v>74</v>
      </c>
      <c r="F81" s="453">
        <v>400</v>
      </c>
      <c r="G81" s="453">
        <v>2019</v>
      </c>
      <c r="H81" s="453" t="s">
        <v>153</v>
      </c>
      <c r="I81" s="453" t="s">
        <v>154</v>
      </c>
      <c r="J81" s="453" t="s">
        <v>1453</v>
      </c>
      <c r="K81" s="453">
        <v>5</v>
      </c>
      <c r="L81" s="454">
        <v>43809</v>
      </c>
      <c r="M81" s="455">
        <v>21106000</v>
      </c>
      <c r="N81" s="453" t="s">
        <v>153</v>
      </c>
      <c r="O81" s="453" t="s">
        <v>1963</v>
      </c>
      <c r="P81" s="453" t="s">
        <v>2341</v>
      </c>
      <c r="Q81" s="453" t="s">
        <v>3337</v>
      </c>
    </row>
    <row r="82" spans="1:17" x14ac:dyDescent="0.25">
      <c r="A82" s="453">
        <v>84</v>
      </c>
      <c r="B82" s="453">
        <v>9</v>
      </c>
      <c r="C82" s="453" t="str">
        <f t="shared" si="1"/>
        <v>849</v>
      </c>
      <c r="D82" s="453" t="s">
        <v>1961</v>
      </c>
      <c r="E82" s="453">
        <v>74</v>
      </c>
      <c r="F82" s="453">
        <v>366</v>
      </c>
      <c r="G82" s="453">
        <v>2018</v>
      </c>
      <c r="H82" s="453" t="s">
        <v>153</v>
      </c>
      <c r="I82" s="453" t="s">
        <v>154</v>
      </c>
      <c r="J82" s="453" t="s">
        <v>1453</v>
      </c>
      <c r="K82" s="453">
        <v>1</v>
      </c>
      <c r="L82" s="454">
        <v>43214</v>
      </c>
      <c r="M82" s="455">
        <v>4477000</v>
      </c>
      <c r="N82" s="453" t="s">
        <v>153</v>
      </c>
      <c r="O82" s="453" t="s">
        <v>1963</v>
      </c>
      <c r="P82" s="453" t="s">
        <v>2341</v>
      </c>
      <c r="Q82" s="453" t="s">
        <v>2451</v>
      </c>
    </row>
    <row r="83" spans="1:17" x14ac:dyDescent="0.25">
      <c r="A83" s="453">
        <v>84</v>
      </c>
      <c r="B83" s="453">
        <v>10</v>
      </c>
      <c r="C83" s="453" t="str">
        <f t="shared" si="1"/>
        <v>8410</v>
      </c>
      <c r="D83" s="453" t="s">
        <v>1961</v>
      </c>
      <c r="E83" s="453">
        <v>74</v>
      </c>
      <c r="F83" s="453">
        <v>367</v>
      </c>
      <c r="G83" s="453">
        <v>2018</v>
      </c>
      <c r="H83" s="453" t="s">
        <v>153</v>
      </c>
      <c r="I83" s="453" t="s">
        <v>154</v>
      </c>
      <c r="J83" s="453" t="s">
        <v>1453</v>
      </c>
      <c r="K83" s="453">
        <v>2</v>
      </c>
      <c r="L83" s="454">
        <v>43214</v>
      </c>
      <c r="M83" s="455">
        <v>2300000</v>
      </c>
      <c r="N83" s="453" t="s">
        <v>153</v>
      </c>
      <c r="O83" s="453" t="s">
        <v>1963</v>
      </c>
      <c r="P83" s="453" t="s">
        <v>2341</v>
      </c>
      <c r="Q83" s="453" t="s">
        <v>2450</v>
      </c>
    </row>
    <row r="84" spans="1:17" x14ac:dyDescent="0.25">
      <c r="A84" s="453">
        <v>84</v>
      </c>
      <c r="B84" s="453">
        <v>11</v>
      </c>
      <c r="C84" s="453" t="str">
        <f t="shared" si="1"/>
        <v>8411</v>
      </c>
      <c r="D84" s="453" t="s">
        <v>1961</v>
      </c>
      <c r="E84" s="453">
        <v>74</v>
      </c>
      <c r="F84" s="453">
        <v>368</v>
      </c>
      <c r="G84" s="453">
        <v>2018</v>
      </c>
      <c r="H84" s="453" t="s">
        <v>153</v>
      </c>
      <c r="I84" s="453" t="s">
        <v>154</v>
      </c>
      <c r="J84" s="453" t="s">
        <v>1453</v>
      </c>
      <c r="K84" s="453">
        <v>3</v>
      </c>
      <c r="L84" s="454">
        <v>43214</v>
      </c>
      <c r="M84" s="455">
        <v>2900000</v>
      </c>
      <c r="N84" s="453" t="s">
        <v>153</v>
      </c>
      <c r="O84" s="453" t="s">
        <v>1963</v>
      </c>
      <c r="P84" s="453" t="s">
        <v>2341</v>
      </c>
      <c r="Q84" s="453" t="s">
        <v>2449</v>
      </c>
    </row>
    <row r="85" spans="1:17" x14ac:dyDescent="0.25">
      <c r="A85" s="453">
        <v>85</v>
      </c>
      <c r="B85" s="453">
        <v>1</v>
      </c>
      <c r="C85" s="453" t="str">
        <f t="shared" si="1"/>
        <v>851</v>
      </c>
      <c r="D85" s="453" t="s">
        <v>2773</v>
      </c>
      <c r="E85" s="453">
        <v>43</v>
      </c>
      <c r="F85" s="453">
        <v>325</v>
      </c>
      <c r="G85" s="453">
        <v>2018</v>
      </c>
      <c r="H85" s="453" t="s">
        <v>456</v>
      </c>
      <c r="I85" s="453" t="s">
        <v>457</v>
      </c>
      <c r="J85" s="453" t="s">
        <v>1453</v>
      </c>
      <c r="K85" s="453">
        <v>1</v>
      </c>
      <c r="L85" s="454">
        <v>43360</v>
      </c>
      <c r="M85" s="455">
        <v>1286567</v>
      </c>
      <c r="N85" s="453" t="s">
        <v>2452</v>
      </c>
      <c r="O85" s="453" t="s">
        <v>2453</v>
      </c>
      <c r="P85" s="453" t="s">
        <v>2454</v>
      </c>
      <c r="Q85" s="453" t="s">
        <v>2455</v>
      </c>
    </row>
    <row r="86" spans="1:17" x14ac:dyDescent="0.25">
      <c r="A86" s="453">
        <v>86</v>
      </c>
      <c r="B86" s="453">
        <v>1</v>
      </c>
      <c r="C86" s="453" t="str">
        <f t="shared" si="1"/>
        <v>861</v>
      </c>
      <c r="D86" s="453" t="s">
        <v>427</v>
      </c>
      <c r="E86" s="453">
        <v>29</v>
      </c>
      <c r="F86" s="453">
        <v>137</v>
      </c>
      <c r="G86" s="453">
        <v>2020</v>
      </c>
      <c r="H86" s="453" t="s">
        <v>1323</v>
      </c>
      <c r="I86" s="453" t="s">
        <v>718</v>
      </c>
      <c r="J86" s="453" t="s">
        <v>1453</v>
      </c>
      <c r="K86" s="453">
        <v>1</v>
      </c>
      <c r="L86" s="454">
        <v>43847</v>
      </c>
      <c r="M86" s="455">
        <v>1311808</v>
      </c>
      <c r="N86" s="453" t="s">
        <v>2333</v>
      </c>
      <c r="O86" s="453" t="s">
        <v>1903</v>
      </c>
      <c r="P86" s="453" t="s">
        <v>2342</v>
      </c>
      <c r="Q86" s="453" t="s">
        <v>3338</v>
      </c>
    </row>
    <row r="87" spans="1:17" x14ac:dyDescent="0.25">
      <c r="A87" s="453">
        <v>86</v>
      </c>
      <c r="B87" s="453">
        <v>2</v>
      </c>
      <c r="C87" s="453" t="str">
        <f t="shared" si="1"/>
        <v>862</v>
      </c>
      <c r="D87" s="453" t="s">
        <v>427</v>
      </c>
      <c r="E87" s="453">
        <v>29</v>
      </c>
      <c r="F87" s="453">
        <v>138</v>
      </c>
      <c r="G87" s="453">
        <v>2020</v>
      </c>
      <c r="H87" s="453" t="s">
        <v>1323</v>
      </c>
      <c r="I87" s="453" t="s">
        <v>718</v>
      </c>
      <c r="J87" s="453" t="s">
        <v>1453</v>
      </c>
      <c r="K87" s="453">
        <v>2</v>
      </c>
      <c r="L87" s="454">
        <v>44098</v>
      </c>
      <c r="M87" s="455">
        <v>3337014</v>
      </c>
      <c r="N87" s="453" t="s">
        <v>2333</v>
      </c>
      <c r="O87" s="453" t="s">
        <v>1903</v>
      </c>
      <c r="P87" s="453" t="s">
        <v>2342</v>
      </c>
      <c r="Q87" s="453" t="s">
        <v>3339</v>
      </c>
    </row>
    <row r="88" spans="1:17" x14ac:dyDescent="0.25">
      <c r="A88" s="453">
        <v>86</v>
      </c>
      <c r="B88" s="453">
        <v>3</v>
      </c>
      <c r="C88" s="453" t="str">
        <f t="shared" si="1"/>
        <v>863</v>
      </c>
      <c r="D88" s="453" t="s">
        <v>427</v>
      </c>
      <c r="E88" s="453">
        <v>29</v>
      </c>
      <c r="F88" s="453">
        <v>133</v>
      </c>
      <c r="G88" s="453">
        <v>2019</v>
      </c>
      <c r="H88" s="453" t="s">
        <v>1323</v>
      </c>
      <c r="I88" s="453" t="s">
        <v>718</v>
      </c>
      <c r="J88" s="453" t="s">
        <v>1453</v>
      </c>
      <c r="K88" s="453">
        <v>1</v>
      </c>
      <c r="L88" s="454">
        <v>43523</v>
      </c>
      <c r="M88" s="455">
        <v>3000000</v>
      </c>
      <c r="N88" s="453" t="s">
        <v>2085</v>
      </c>
      <c r="O88" s="453" t="s">
        <v>1903</v>
      </c>
      <c r="P88" s="453" t="s">
        <v>692</v>
      </c>
      <c r="Q88" s="453" t="s">
        <v>3340</v>
      </c>
    </row>
    <row r="89" spans="1:17" x14ac:dyDescent="0.25">
      <c r="A89" s="453">
        <v>86</v>
      </c>
      <c r="B89" s="453">
        <v>4</v>
      </c>
      <c r="C89" s="453" t="str">
        <f t="shared" si="1"/>
        <v>864</v>
      </c>
      <c r="D89" s="453" t="s">
        <v>427</v>
      </c>
      <c r="E89" s="453">
        <v>29</v>
      </c>
      <c r="F89" s="453">
        <v>134</v>
      </c>
      <c r="G89" s="453">
        <v>2019</v>
      </c>
      <c r="H89" s="453" t="s">
        <v>1323</v>
      </c>
      <c r="I89" s="453" t="s">
        <v>718</v>
      </c>
      <c r="J89" s="453" t="s">
        <v>1453</v>
      </c>
      <c r="K89" s="453">
        <v>2</v>
      </c>
      <c r="L89" s="454">
        <v>43514</v>
      </c>
      <c r="M89" s="455">
        <v>4940000</v>
      </c>
      <c r="N89" s="453" t="s">
        <v>3341</v>
      </c>
      <c r="O89" s="453" t="s">
        <v>3342</v>
      </c>
      <c r="P89" s="453" t="s">
        <v>692</v>
      </c>
      <c r="Q89" s="453" t="s">
        <v>3343</v>
      </c>
    </row>
    <row r="90" spans="1:17" x14ac:dyDescent="0.25">
      <c r="A90" s="453">
        <v>86</v>
      </c>
      <c r="B90" s="453">
        <v>5</v>
      </c>
      <c r="C90" s="453" t="str">
        <f t="shared" si="1"/>
        <v>865</v>
      </c>
      <c r="D90" s="453" t="s">
        <v>427</v>
      </c>
      <c r="E90" s="453">
        <v>29</v>
      </c>
      <c r="F90" s="453">
        <v>135</v>
      </c>
      <c r="G90" s="453">
        <v>2019</v>
      </c>
      <c r="H90" s="453" t="s">
        <v>1323</v>
      </c>
      <c r="I90" s="453" t="s">
        <v>718</v>
      </c>
      <c r="J90" s="453" t="s">
        <v>1453</v>
      </c>
      <c r="K90" s="453">
        <v>3</v>
      </c>
      <c r="L90" s="454">
        <v>43720</v>
      </c>
      <c r="M90" s="455">
        <v>2623000</v>
      </c>
      <c r="N90" s="453" t="s">
        <v>3344</v>
      </c>
      <c r="O90" s="453" t="s">
        <v>3342</v>
      </c>
      <c r="P90" s="453" t="s">
        <v>692</v>
      </c>
      <c r="Q90" s="453" t="s">
        <v>3345</v>
      </c>
    </row>
    <row r="91" spans="1:17" x14ac:dyDescent="0.25">
      <c r="A91" s="453">
        <v>86</v>
      </c>
      <c r="B91" s="453">
        <v>6</v>
      </c>
      <c r="C91" s="453" t="str">
        <f t="shared" si="1"/>
        <v>866</v>
      </c>
      <c r="D91" s="453" t="s">
        <v>427</v>
      </c>
      <c r="E91" s="453">
        <v>29</v>
      </c>
      <c r="F91" s="453">
        <v>136</v>
      </c>
      <c r="G91" s="453">
        <v>2019</v>
      </c>
      <c r="H91" s="453" t="s">
        <v>1323</v>
      </c>
      <c r="I91" s="453" t="s">
        <v>718</v>
      </c>
      <c r="J91" s="453" t="s">
        <v>1453</v>
      </c>
      <c r="K91" s="453">
        <v>4</v>
      </c>
      <c r="L91" s="454">
        <v>43654</v>
      </c>
      <c r="M91" s="455">
        <v>2188247</v>
      </c>
      <c r="N91" s="453" t="s">
        <v>2085</v>
      </c>
      <c r="O91" s="453" t="s">
        <v>1903</v>
      </c>
      <c r="P91" s="453" t="s">
        <v>692</v>
      </c>
      <c r="Q91" s="453" t="s">
        <v>3346</v>
      </c>
    </row>
    <row r="92" spans="1:17" x14ac:dyDescent="0.25">
      <c r="A92" s="453">
        <v>86</v>
      </c>
      <c r="B92" s="453">
        <v>7</v>
      </c>
      <c r="C92" s="453" t="str">
        <f t="shared" si="1"/>
        <v>867</v>
      </c>
      <c r="D92" s="453" t="s">
        <v>427</v>
      </c>
      <c r="E92" s="453">
        <v>29</v>
      </c>
      <c r="F92" s="453">
        <v>128</v>
      </c>
      <c r="G92" s="453">
        <v>2018</v>
      </c>
      <c r="H92" s="453" t="s">
        <v>1323</v>
      </c>
      <c r="I92" s="453" t="s">
        <v>718</v>
      </c>
      <c r="J92" s="453" t="s">
        <v>1453</v>
      </c>
      <c r="K92" s="453">
        <v>1</v>
      </c>
      <c r="L92" s="454">
        <v>43146</v>
      </c>
      <c r="M92" s="455">
        <v>1613000</v>
      </c>
      <c r="N92" s="453" t="s">
        <v>2333</v>
      </c>
      <c r="O92" s="453" t="s">
        <v>1903</v>
      </c>
      <c r="P92" s="453" t="s">
        <v>692</v>
      </c>
      <c r="Q92" s="453" t="s">
        <v>2457</v>
      </c>
    </row>
    <row r="93" spans="1:17" x14ac:dyDescent="0.25">
      <c r="A93" s="453">
        <v>86</v>
      </c>
      <c r="B93" s="453">
        <v>8</v>
      </c>
      <c r="C93" s="453" t="str">
        <f t="shared" si="1"/>
        <v>868</v>
      </c>
      <c r="D93" s="453" t="s">
        <v>427</v>
      </c>
      <c r="E93" s="453">
        <v>29</v>
      </c>
      <c r="F93" s="453">
        <v>129</v>
      </c>
      <c r="G93" s="453">
        <v>2018</v>
      </c>
      <c r="H93" s="453" t="s">
        <v>1323</v>
      </c>
      <c r="I93" s="453" t="s">
        <v>718</v>
      </c>
      <c r="J93" s="453" t="s">
        <v>1453</v>
      </c>
      <c r="K93" s="453">
        <v>2</v>
      </c>
      <c r="L93" s="454">
        <v>43292</v>
      </c>
      <c r="M93" s="455">
        <v>4914500</v>
      </c>
      <c r="N93" s="453" t="s">
        <v>2333</v>
      </c>
      <c r="O93" s="453" t="s">
        <v>1903</v>
      </c>
      <c r="P93" s="453" t="s">
        <v>692</v>
      </c>
      <c r="Q93" s="453" t="s">
        <v>2456</v>
      </c>
    </row>
    <row r="94" spans="1:17" x14ac:dyDescent="0.25">
      <c r="A94" s="453">
        <v>90</v>
      </c>
      <c r="B94" s="453">
        <v>1</v>
      </c>
      <c r="C94" s="453" t="str">
        <f t="shared" si="1"/>
        <v>901</v>
      </c>
      <c r="D94" s="453" t="s">
        <v>1407</v>
      </c>
      <c r="E94" s="453">
        <v>213</v>
      </c>
      <c r="F94" s="453">
        <v>66</v>
      </c>
      <c r="G94" s="453">
        <v>2020</v>
      </c>
      <c r="H94" s="453" t="s">
        <v>1987</v>
      </c>
      <c r="I94" s="453" t="s">
        <v>171</v>
      </c>
      <c r="J94" s="453" t="s">
        <v>1453</v>
      </c>
      <c r="K94" s="453">
        <v>1</v>
      </c>
      <c r="L94" s="454">
        <v>43776</v>
      </c>
      <c r="M94" s="455">
        <v>6175000</v>
      </c>
      <c r="N94" s="453" t="s">
        <v>3347</v>
      </c>
      <c r="O94" s="453" t="s">
        <v>3348</v>
      </c>
      <c r="P94" s="453" t="s">
        <v>1298</v>
      </c>
      <c r="Q94" s="453" t="s">
        <v>3347</v>
      </c>
    </row>
    <row r="95" spans="1:17" x14ac:dyDescent="0.25">
      <c r="A95" s="453">
        <v>90</v>
      </c>
      <c r="B95" s="453">
        <v>2</v>
      </c>
      <c r="C95" s="453" t="str">
        <f t="shared" si="1"/>
        <v>902</v>
      </c>
      <c r="D95" s="453" t="s">
        <v>1407</v>
      </c>
      <c r="E95" s="453">
        <v>213</v>
      </c>
      <c r="F95" s="453">
        <v>67</v>
      </c>
      <c r="G95" s="453">
        <v>2020</v>
      </c>
      <c r="H95" s="453" t="s">
        <v>1987</v>
      </c>
      <c r="I95" s="453" t="s">
        <v>171</v>
      </c>
      <c r="J95" s="453" t="s">
        <v>1453</v>
      </c>
      <c r="K95" s="453">
        <v>2</v>
      </c>
      <c r="L95" s="454">
        <v>43129</v>
      </c>
      <c r="M95" s="455">
        <v>2045000</v>
      </c>
      <c r="N95" s="453" t="s">
        <v>1987</v>
      </c>
      <c r="O95" s="453" t="s">
        <v>3184</v>
      </c>
      <c r="P95" s="453" t="s">
        <v>1298</v>
      </c>
      <c r="Q95" s="453" t="s">
        <v>3349</v>
      </c>
    </row>
    <row r="96" spans="1:17" x14ac:dyDescent="0.25">
      <c r="A96" s="453">
        <v>90</v>
      </c>
      <c r="B96" s="453">
        <v>3</v>
      </c>
      <c r="C96" s="453" t="str">
        <f t="shared" si="1"/>
        <v>903</v>
      </c>
      <c r="D96" s="453" t="s">
        <v>1407</v>
      </c>
      <c r="E96" s="453">
        <v>213</v>
      </c>
      <c r="F96" s="453">
        <v>68</v>
      </c>
      <c r="G96" s="453">
        <v>2020</v>
      </c>
      <c r="H96" s="453" t="s">
        <v>1987</v>
      </c>
      <c r="I96" s="453" t="s">
        <v>171</v>
      </c>
      <c r="J96" s="453" t="s">
        <v>1453</v>
      </c>
      <c r="K96" s="453">
        <v>3</v>
      </c>
      <c r="L96" s="454">
        <v>43703</v>
      </c>
      <c r="M96" s="455">
        <v>1490000</v>
      </c>
      <c r="N96" s="453" t="s">
        <v>1987</v>
      </c>
      <c r="O96" s="453" t="s">
        <v>3184</v>
      </c>
      <c r="P96" s="453" t="s">
        <v>1298</v>
      </c>
      <c r="Q96" s="453" t="s">
        <v>3350</v>
      </c>
    </row>
    <row r="97" spans="1:17" x14ac:dyDescent="0.25">
      <c r="A97" s="453">
        <v>90</v>
      </c>
      <c r="B97" s="453">
        <v>4</v>
      </c>
      <c r="C97" s="453" t="str">
        <f t="shared" si="1"/>
        <v>904</v>
      </c>
      <c r="D97" s="453" t="s">
        <v>1407</v>
      </c>
      <c r="E97" s="453">
        <v>213</v>
      </c>
      <c r="F97" s="453">
        <v>69</v>
      </c>
      <c r="G97" s="453">
        <v>2020</v>
      </c>
      <c r="H97" s="453" t="s">
        <v>1987</v>
      </c>
      <c r="I97" s="453" t="s">
        <v>171</v>
      </c>
      <c r="J97" s="453" t="s">
        <v>1453</v>
      </c>
      <c r="K97" s="453">
        <v>4</v>
      </c>
      <c r="L97" s="454">
        <v>43929</v>
      </c>
      <c r="M97" s="455">
        <v>1850000</v>
      </c>
      <c r="N97" s="453" t="s">
        <v>3347</v>
      </c>
      <c r="O97" s="453" t="s">
        <v>3348</v>
      </c>
      <c r="P97" s="453" t="s">
        <v>1298</v>
      </c>
      <c r="Q97" s="453" t="s">
        <v>3351</v>
      </c>
    </row>
    <row r="98" spans="1:17" x14ac:dyDescent="0.25">
      <c r="A98" s="453">
        <v>90</v>
      </c>
      <c r="B98" s="453">
        <v>5</v>
      </c>
      <c r="C98" s="453" t="str">
        <f t="shared" si="1"/>
        <v>905</v>
      </c>
      <c r="D98" s="453" t="s">
        <v>1407</v>
      </c>
      <c r="E98" s="453">
        <v>213</v>
      </c>
      <c r="F98" s="453">
        <v>56</v>
      </c>
      <c r="G98" s="453">
        <v>2019</v>
      </c>
      <c r="H98" s="453" t="s">
        <v>1987</v>
      </c>
      <c r="I98" s="453" t="s">
        <v>171</v>
      </c>
      <c r="J98" s="453" t="s">
        <v>1453</v>
      </c>
      <c r="K98" s="453">
        <v>1</v>
      </c>
      <c r="L98" s="454">
        <v>43405</v>
      </c>
      <c r="M98" s="455">
        <v>1557548</v>
      </c>
      <c r="N98" s="453" t="s">
        <v>1987</v>
      </c>
      <c r="O98" s="453" t="s">
        <v>1988</v>
      </c>
      <c r="P98" s="453" t="s">
        <v>1298</v>
      </c>
      <c r="Q98" s="453" t="s">
        <v>3352</v>
      </c>
    </row>
    <row r="99" spans="1:17" x14ac:dyDescent="0.25">
      <c r="A99" s="453">
        <v>90</v>
      </c>
      <c r="B99" s="453">
        <v>6</v>
      </c>
      <c r="C99" s="453" t="str">
        <f t="shared" si="1"/>
        <v>906</v>
      </c>
      <c r="D99" s="453" t="s">
        <v>1407</v>
      </c>
      <c r="E99" s="453">
        <v>213</v>
      </c>
      <c r="F99" s="453">
        <v>57</v>
      </c>
      <c r="G99" s="453">
        <v>2019</v>
      </c>
      <c r="H99" s="453" t="s">
        <v>1987</v>
      </c>
      <c r="I99" s="453" t="s">
        <v>171</v>
      </c>
      <c r="J99" s="453" t="s">
        <v>1453</v>
      </c>
      <c r="K99" s="453">
        <v>2</v>
      </c>
      <c r="L99" s="454">
        <v>43584</v>
      </c>
      <c r="M99" s="455">
        <v>14600000</v>
      </c>
      <c r="N99" s="453" t="s">
        <v>3347</v>
      </c>
      <c r="O99" s="453" t="s">
        <v>3348</v>
      </c>
      <c r="P99" s="453" t="s">
        <v>1298</v>
      </c>
      <c r="Q99" s="453" t="s">
        <v>3347</v>
      </c>
    </row>
    <row r="100" spans="1:17" x14ac:dyDescent="0.25">
      <c r="A100" s="453">
        <v>90</v>
      </c>
      <c r="B100" s="453">
        <v>7</v>
      </c>
      <c r="C100" s="453" t="str">
        <f t="shared" si="1"/>
        <v>907</v>
      </c>
      <c r="D100" s="453" t="s">
        <v>1407</v>
      </c>
      <c r="E100" s="453">
        <v>213</v>
      </c>
      <c r="F100" s="453">
        <v>58</v>
      </c>
      <c r="G100" s="453">
        <v>2019</v>
      </c>
      <c r="H100" s="453" t="s">
        <v>1987</v>
      </c>
      <c r="I100" s="453" t="s">
        <v>171</v>
      </c>
      <c r="J100" s="453" t="s">
        <v>1453</v>
      </c>
      <c r="K100" s="453">
        <v>3</v>
      </c>
      <c r="L100" s="454">
        <v>43497</v>
      </c>
      <c r="M100" s="455">
        <v>4325000</v>
      </c>
      <c r="N100" s="453" t="s">
        <v>3353</v>
      </c>
      <c r="O100" s="453" t="s">
        <v>3354</v>
      </c>
      <c r="P100" s="453" t="s">
        <v>3289</v>
      </c>
      <c r="Q100" s="453" t="s">
        <v>3355</v>
      </c>
    </row>
    <row r="101" spans="1:17" x14ac:dyDescent="0.25">
      <c r="A101" s="453">
        <v>90</v>
      </c>
      <c r="B101" s="453">
        <v>8</v>
      </c>
      <c r="C101" s="453" t="str">
        <f t="shared" si="1"/>
        <v>908</v>
      </c>
      <c r="D101" s="453" t="s">
        <v>1407</v>
      </c>
      <c r="E101" s="453">
        <v>213</v>
      </c>
      <c r="F101" s="453">
        <v>59</v>
      </c>
      <c r="G101" s="453">
        <v>2019</v>
      </c>
      <c r="H101" s="453" t="s">
        <v>1987</v>
      </c>
      <c r="I101" s="453" t="s">
        <v>171</v>
      </c>
      <c r="J101" s="453" t="s">
        <v>1453</v>
      </c>
      <c r="K101" s="453">
        <v>4</v>
      </c>
      <c r="L101" s="454">
        <v>43578</v>
      </c>
      <c r="M101" s="455">
        <v>4000000</v>
      </c>
      <c r="N101" s="453" t="s">
        <v>1987</v>
      </c>
      <c r="O101" s="453" t="s">
        <v>3356</v>
      </c>
      <c r="P101" s="453" t="s">
        <v>1298</v>
      </c>
      <c r="Q101" s="453" t="s">
        <v>3357</v>
      </c>
    </row>
    <row r="102" spans="1:17" x14ac:dyDescent="0.25">
      <c r="A102" s="453">
        <v>90</v>
      </c>
      <c r="B102" s="453">
        <v>9</v>
      </c>
      <c r="C102" s="453" t="str">
        <f t="shared" si="1"/>
        <v>909</v>
      </c>
      <c r="D102" s="453" t="s">
        <v>1407</v>
      </c>
      <c r="E102" s="453">
        <v>213</v>
      </c>
      <c r="F102" s="453">
        <v>60</v>
      </c>
      <c r="G102" s="453">
        <v>2019</v>
      </c>
      <c r="H102" s="453" t="s">
        <v>1987</v>
      </c>
      <c r="I102" s="453" t="s">
        <v>171</v>
      </c>
      <c r="J102" s="453" t="s">
        <v>1453</v>
      </c>
      <c r="K102" s="453">
        <v>5</v>
      </c>
      <c r="L102" s="454">
        <v>43644</v>
      </c>
      <c r="M102" s="455">
        <v>1789487</v>
      </c>
      <c r="N102" s="453" t="s">
        <v>1987</v>
      </c>
      <c r="O102" s="453" t="s">
        <v>3358</v>
      </c>
      <c r="P102" s="453" t="s">
        <v>1298</v>
      </c>
      <c r="Q102" s="453" t="s">
        <v>3359</v>
      </c>
    </row>
    <row r="103" spans="1:17" x14ac:dyDescent="0.25">
      <c r="A103" s="453">
        <v>90</v>
      </c>
      <c r="B103" s="453">
        <v>10</v>
      </c>
      <c r="C103" s="453" t="str">
        <f t="shared" si="1"/>
        <v>9010</v>
      </c>
      <c r="D103" s="453" t="s">
        <v>1407</v>
      </c>
      <c r="E103" s="453">
        <v>213</v>
      </c>
      <c r="F103" s="453">
        <v>61</v>
      </c>
      <c r="G103" s="453">
        <v>2019</v>
      </c>
      <c r="H103" s="453" t="s">
        <v>1987</v>
      </c>
      <c r="I103" s="453" t="s">
        <v>171</v>
      </c>
      <c r="J103" s="453" t="s">
        <v>1453</v>
      </c>
      <c r="K103" s="453">
        <v>6</v>
      </c>
      <c r="L103" s="454">
        <v>43525</v>
      </c>
      <c r="M103" s="455">
        <v>3600000</v>
      </c>
      <c r="N103" s="453" t="s">
        <v>1987</v>
      </c>
      <c r="O103" s="453" t="s">
        <v>3358</v>
      </c>
      <c r="P103" s="453" t="s">
        <v>1298</v>
      </c>
      <c r="Q103" s="453" t="s">
        <v>3360</v>
      </c>
    </row>
    <row r="104" spans="1:17" x14ac:dyDescent="0.25">
      <c r="A104" s="453">
        <v>90</v>
      </c>
      <c r="B104" s="453">
        <v>11</v>
      </c>
      <c r="C104" s="453" t="str">
        <f t="shared" si="1"/>
        <v>9011</v>
      </c>
      <c r="D104" s="453" t="s">
        <v>1407</v>
      </c>
      <c r="E104" s="453">
        <v>213</v>
      </c>
      <c r="F104" s="453">
        <v>50</v>
      </c>
      <c r="G104" s="453">
        <v>2018</v>
      </c>
      <c r="H104" s="453" t="s">
        <v>1987</v>
      </c>
      <c r="I104" s="453" t="s">
        <v>171</v>
      </c>
      <c r="J104" s="453" t="s">
        <v>1453</v>
      </c>
      <c r="K104" s="453">
        <v>1</v>
      </c>
      <c r="L104" s="454">
        <v>43173</v>
      </c>
      <c r="M104" s="455">
        <v>800000000</v>
      </c>
      <c r="N104" s="453" t="s">
        <v>2459</v>
      </c>
      <c r="O104" s="453" t="s">
        <v>1988</v>
      </c>
      <c r="P104" s="453" t="s">
        <v>1298</v>
      </c>
      <c r="Q104" s="453" t="s">
        <v>2460</v>
      </c>
    </row>
    <row r="105" spans="1:17" x14ac:dyDescent="0.25">
      <c r="A105" s="453">
        <v>90</v>
      </c>
      <c r="B105" s="453">
        <v>12</v>
      </c>
      <c r="C105" s="453" t="str">
        <f t="shared" si="1"/>
        <v>9012</v>
      </c>
      <c r="D105" s="453" t="s">
        <v>1407</v>
      </c>
      <c r="E105" s="453">
        <v>213</v>
      </c>
      <c r="F105" s="453">
        <v>51</v>
      </c>
      <c r="G105" s="453">
        <v>2018</v>
      </c>
      <c r="H105" s="453" t="s">
        <v>1987</v>
      </c>
      <c r="I105" s="453" t="s">
        <v>171</v>
      </c>
      <c r="J105" s="453" t="s">
        <v>1453</v>
      </c>
      <c r="K105" s="453">
        <v>2</v>
      </c>
      <c r="L105" s="454">
        <v>43277</v>
      </c>
      <c r="M105" s="455">
        <v>2577387</v>
      </c>
      <c r="N105" s="453" t="s">
        <v>1987</v>
      </c>
      <c r="O105" s="453" t="s">
        <v>1988</v>
      </c>
      <c r="P105" s="453" t="s">
        <v>1298</v>
      </c>
      <c r="Q105" s="453" t="s">
        <v>2458</v>
      </c>
    </row>
    <row r="106" spans="1:17" x14ac:dyDescent="0.25">
      <c r="A106" s="453">
        <v>94</v>
      </c>
      <c r="B106" s="453">
        <v>1</v>
      </c>
      <c r="C106" s="453" t="str">
        <f t="shared" si="1"/>
        <v>941</v>
      </c>
      <c r="D106" s="453" t="s">
        <v>1308</v>
      </c>
      <c r="E106" s="453">
        <v>30</v>
      </c>
      <c r="F106" s="453">
        <v>117</v>
      </c>
      <c r="G106" s="453">
        <v>2020</v>
      </c>
      <c r="H106" s="453" t="s">
        <v>1989</v>
      </c>
      <c r="I106" s="453" t="s">
        <v>179</v>
      </c>
      <c r="J106" s="453" t="s">
        <v>1453</v>
      </c>
      <c r="K106" s="453">
        <v>1</v>
      </c>
      <c r="L106" s="454">
        <v>43264</v>
      </c>
      <c r="M106" s="455">
        <v>5560964</v>
      </c>
      <c r="N106" s="453" t="s">
        <v>3361</v>
      </c>
      <c r="O106" s="453" t="s">
        <v>1990</v>
      </c>
      <c r="P106" s="453" t="s">
        <v>2343</v>
      </c>
      <c r="Q106" s="453" t="s">
        <v>3362</v>
      </c>
    </row>
    <row r="107" spans="1:17" x14ac:dyDescent="0.25">
      <c r="A107" s="453">
        <v>94</v>
      </c>
      <c r="B107" s="453">
        <v>2</v>
      </c>
      <c r="C107" s="453" t="str">
        <f t="shared" si="1"/>
        <v>942</v>
      </c>
      <c r="D107" s="453" t="s">
        <v>1308</v>
      </c>
      <c r="E107" s="453">
        <v>30</v>
      </c>
      <c r="F107" s="453">
        <v>101</v>
      </c>
      <c r="G107" s="453">
        <v>2018</v>
      </c>
      <c r="H107" s="453" t="s">
        <v>1989</v>
      </c>
      <c r="I107" s="453" t="s">
        <v>179</v>
      </c>
      <c r="J107" s="453" t="s">
        <v>1453</v>
      </c>
      <c r="K107" s="453">
        <v>1</v>
      </c>
      <c r="L107" s="454">
        <v>42873</v>
      </c>
      <c r="M107" s="455">
        <v>2039516</v>
      </c>
      <c r="N107" s="453" t="s">
        <v>2461</v>
      </c>
      <c r="O107" s="453" t="s">
        <v>1990</v>
      </c>
      <c r="P107" s="453" t="s">
        <v>2343</v>
      </c>
      <c r="Q107" s="453" t="s">
        <v>2462</v>
      </c>
    </row>
    <row r="108" spans="1:17" x14ac:dyDescent="0.25">
      <c r="A108" s="453">
        <v>98</v>
      </c>
      <c r="B108" s="453">
        <v>1</v>
      </c>
      <c r="C108" s="453" t="str">
        <f t="shared" si="1"/>
        <v>981</v>
      </c>
      <c r="D108" s="453" t="s">
        <v>1308</v>
      </c>
      <c r="E108" s="453">
        <v>30</v>
      </c>
      <c r="F108" s="453">
        <v>110</v>
      </c>
      <c r="G108" s="453">
        <v>2019</v>
      </c>
      <c r="H108" s="453" t="s">
        <v>2706</v>
      </c>
      <c r="I108" s="453" t="s">
        <v>265</v>
      </c>
      <c r="J108" s="453" t="s">
        <v>1453</v>
      </c>
      <c r="K108" s="453">
        <v>1</v>
      </c>
      <c r="L108" s="454">
        <v>43438</v>
      </c>
      <c r="M108" s="455">
        <v>60000000</v>
      </c>
      <c r="N108" s="453" t="s">
        <v>2706</v>
      </c>
      <c r="O108" s="453" t="s">
        <v>3363</v>
      </c>
      <c r="P108" s="453" t="s">
        <v>267</v>
      </c>
      <c r="Q108" s="453" t="s">
        <v>3364</v>
      </c>
    </row>
    <row r="109" spans="1:17" x14ac:dyDescent="0.25">
      <c r="A109" s="453">
        <v>100</v>
      </c>
      <c r="B109" s="453">
        <v>1</v>
      </c>
      <c r="C109" s="453" t="str">
        <f t="shared" si="1"/>
        <v>1001</v>
      </c>
      <c r="D109" s="453" t="s">
        <v>958</v>
      </c>
      <c r="E109" s="453">
        <v>46</v>
      </c>
      <c r="F109" s="453">
        <v>382</v>
      </c>
      <c r="G109" s="453">
        <v>2018</v>
      </c>
      <c r="H109" s="453" t="s">
        <v>2086</v>
      </c>
      <c r="I109" s="453" t="s">
        <v>954</v>
      </c>
      <c r="J109" s="453" t="s">
        <v>1453</v>
      </c>
      <c r="K109" s="453">
        <v>1</v>
      </c>
      <c r="L109" s="454">
        <v>43322</v>
      </c>
      <c r="M109" s="455">
        <v>11200000</v>
      </c>
      <c r="N109" s="453" t="s">
        <v>2476</v>
      </c>
      <c r="O109" s="453" t="s">
        <v>2472</v>
      </c>
      <c r="P109" s="453" t="s">
        <v>2469</v>
      </c>
      <c r="Q109" s="453" t="s">
        <v>2477</v>
      </c>
    </row>
    <row r="110" spans="1:17" x14ac:dyDescent="0.25">
      <c r="A110" s="453">
        <v>100</v>
      </c>
      <c r="B110" s="453">
        <v>2</v>
      </c>
      <c r="C110" s="453" t="str">
        <f t="shared" si="1"/>
        <v>1002</v>
      </c>
      <c r="D110" s="453" t="s">
        <v>958</v>
      </c>
      <c r="E110" s="453">
        <v>46</v>
      </c>
      <c r="F110" s="453">
        <v>383</v>
      </c>
      <c r="G110" s="453">
        <v>2018</v>
      </c>
      <c r="H110" s="453" t="s">
        <v>2086</v>
      </c>
      <c r="I110" s="453" t="s">
        <v>954</v>
      </c>
      <c r="J110" s="453" t="s">
        <v>1453</v>
      </c>
      <c r="K110" s="453">
        <v>2</v>
      </c>
      <c r="L110" s="454">
        <v>43145</v>
      </c>
      <c r="M110" s="455">
        <v>2120000</v>
      </c>
      <c r="N110" s="453" t="s">
        <v>2474</v>
      </c>
      <c r="O110" s="453" t="s">
        <v>2472</v>
      </c>
      <c r="P110" s="453" t="s">
        <v>2469</v>
      </c>
      <c r="Q110" s="453" t="s">
        <v>2475</v>
      </c>
    </row>
    <row r="111" spans="1:17" x14ac:dyDescent="0.25">
      <c r="A111" s="453">
        <v>100</v>
      </c>
      <c r="B111" s="453">
        <v>3</v>
      </c>
      <c r="C111" s="453" t="str">
        <f t="shared" si="1"/>
        <v>1003</v>
      </c>
      <c r="D111" s="453" t="s">
        <v>958</v>
      </c>
      <c r="E111" s="453">
        <v>46</v>
      </c>
      <c r="F111" s="453">
        <v>384</v>
      </c>
      <c r="G111" s="453">
        <v>2018</v>
      </c>
      <c r="H111" s="453" t="s">
        <v>2086</v>
      </c>
      <c r="I111" s="453" t="s">
        <v>954</v>
      </c>
      <c r="J111" s="453" t="s">
        <v>1453</v>
      </c>
      <c r="K111" s="453">
        <v>3</v>
      </c>
      <c r="L111" s="454">
        <v>43187</v>
      </c>
      <c r="M111" s="455">
        <v>2395000</v>
      </c>
      <c r="N111" s="453" t="s">
        <v>2471</v>
      </c>
      <c r="O111" s="453" t="s">
        <v>2472</v>
      </c>
      <c r="P111" s="453" t="s">
        <v>2469</v>
      </c>
      <c r="Q111" s="453" t="s">
        <v>2473</v>
      </c>
    </row>
    <row r="112" spans="1:17" x14ac:dyDescent="0.25">
      <c r="A112" s="453">
        <v>100</v>
      </c>
      <c r="B112" s="453">
        <v>4</v>
      </c>
      <c r="C112" s="453" t="str">
        <f t="shared" si="1"/>
        <v>1004</v>
      </c>
      <c r="D112" s="453" t="s">
        <v>958</v>
      </c>
      <c r="E112" s="453">
        <v>46</v>
      </c>
      <c r="F112" s="453">
        <v>385</v>
      </c>
      <c r="G112" s="453">
        <v>2018</v>
      </c>
      <c r="H112" s="453" t="s">
        <v>2086</v>
      </c>
      <c r="I112" s="453" t="s">
        <v>954</v>
      </c>
      <c r="J112" s="453" t="s">
        <v>1453</v>
      </c>
      <c r="K112" s="453">
        <v>4</v>
      </c>
      <c r="L112" s="454">
        <v>43418</v>
      </c>
      <c r="M112" s="455">
        <v>4075000</v>
      </c>
      <c r="N112" s="453" t="s">
        <v>2467</v>
      </c>
      <c r="O112" s="453" t="s">
        <v>2468</v>
      </c>
      <c r="P112" s="453" t="s">
        <v>2469</v>
      </c>
      <c r="Q112" s="453" t="s">
        <v>2470</v>
      </c>
    </row>
    <row r="113" spans="1:17" x14ac:dyDescent="0.25">
      <c r="A113" s="453">
        <v>100</v>
      </c>
      <c r="B113" s="453">
        <v>5</v>
      </c>
      <c r="C113" s="453" t="str">
        <f t="shared" si="1"/>
        <v>1005</v>
      </c>
      <c r="D113" s="453" t="s">
        <v>958</v>
      </c>
      <c r="E113" s="453">
        <v>46</v>
      </c>
      <c r="F113" s="453">
        <v>386</v>
      </c>
      <c r="G113" s="453">
        <v>2018</v>
      </c>
      <c r="H113" s="453" t="s">
        <v>2086</v>
      </c>
      <c r="I113" s="453" t="s">
        <v>954</v>
      </c>
      <c r="J113" s="453" t="s">
        <v>1453</v>
      </c>
      <c r="K113" s="453">
        <v>5</v>
      </c>
      <c r="L113" s="454">
        <v>42885</v>
      </c>
      <c r="M113" s="455">
        <v>1288825</v>
      </c>
      <c r="N113" s="453" t="s">
        <v>2463</v>
      </c>
      <c r="O113" s="453" t="s">
        <v>2464</v>
      </c>
      <c r="P113" s="453" t="s">
        <v>2465</v>
      </c>
      <c r="Q113" s="453" t="s">
        <v>2466</v>
      </c>
    </row>
    <row r="114" spans="1:17" x14ac:dyDescent="0.25">
      <c r="A114" s="453">
        <v>102</v>
      </c>
      <c r="B114" s="453">
        <v>1</v>
      </c>
      <c r="C114" s="453" t="str">
        <f t="shared" si="1"/>
        <v>1021</v>
      </c>
      <c r="D114" s="453" t="s">
        <v>1274</v>
      </c>
      <c r="E114" s="453">
        <v>208</v>
      </c>
      <c r="F114" s="453">
        <v>19</v>
      </c>
      <c r="G114" s="453">
        <v>2020</v>
      </c>
      <c r="H114" s="453" t="s">
        <v>1651</v>
      </c>
      <c r="I114" s="453" t="s">
        <v>1052</v>
      </c>
      <c r="J114" s="453" t="s">
        <v>1453</v>
      </c>
      <c r="K114" s="453">
        <v>1</v>
      </c>
      <c r="L114" s="454">
        <v>43871</v>
      </c>
      <c r="M114" s="455">
        <v>1823035</v>
      </c>
      <c r="N114" s="453" t="s">
        <v>3365</v>
      </c>
      <c r="O114" s="453" t="s">
        <v>2334</v>
      </c>
      <c r="P114" s="453" t="s">
        <v>1055</v>
      </c>
      <c r="Q114" s="453" t="s">
        <v>3366</v>
      </c>
    </row>
    <row r="115" spans="1:17" x14ac:dyDescent="0.25">
      <c r="A115" s="453">
        <v>102</v>
      </c>
      <c r="B115" s="453">
        <v>2</v>
      </c>
      <c r="C115" s="453" t="str">
        <f t="shared" si="1"/>
        <v>1022</v>
      </c>
      <c r="D115" s="453" t="s">
        <v>1274</v>
      </c>
      <c r="E115" s="453">
        <v>208</v>
      </c>
      <c r="F115" s="453">
        <v>20</v>
      </c>
      <c r="G115" s="453">
        <v>2020</v>
      </c>
      <c r="H115" s="453" t="s">
        <v>1651</v>
      </c>
      <c r="I115" s="453" t="s">
        <v>1052</v>
      </c>
      <c r="J115" s="453" t="s">
        <v>1453</v>
      </c>
      <c r="K115" s="453">
        <v>2</v>
      </c>
      <c r="L115" s="454">
        <v>43873</v>
      </c>
      <c r="M115" s="455">
        <v>13000000</v>
      </c>
      <c r="N115" s="453" t="s">
        <v>3365</v>
      </c>
      <c r="O115" s="453" t="s">
        <v>2334</v>
      </c>
      <c r="P115" s="453" t="s">
        <v>1055</v>
      </c>
      <c r="Q115" s="453" t="s">
        <v>3367</v>
      </c>
    </row>
    <row r="116" spans="1:17" x14ac:dyDescent="0.25">
      <c r="A116" s="453">
        <v>102</v>
      </c>
      <c r="B116" s="453">
        <v>3</v>
      </c>
      <c r="C116" s="453" t="str">
        <f t="shared" si="1"/>
        <v>1023</v>
      </c>
      <c r="D116" s="453" t="s">
        <v>1274</v>
      </c>
      <c r="E116" s="453">
        <v>208</v>
      </c>
      <c r="F116" s="453">
        <v>18</v>
      </c>
      <c r="G116" s="453">
        <v>2019</v>
      </c>
      <c r="H116" s="453" t="s">
        <v>1651</v>
      </c>
      <c r="I116" s="453" t="s">
        <v>1052</v>
      </c>
      <c r="J116" s="453" t="s">
        <v>1453</v>
      </c>
      <c r="K116" s="453">
        <v>1</v>
      </c>
      <c r="L116" s="454">
        <v>43342</v>
      </c>
      <c r="M116" s="455">
        <v>2853053</v>
      </c>
      <c r="N116" s="453" t="s">
        <v>1651</v>
      </c>
      <c r="O116" s="453" t="s">
        <v>1976</v>
      </c>
      <c r="P116" s="453" t="s">
        <v>1055</v>
      </c>
      <c r="Q116" s="453" t="s">
        <v>3368</v>
      </c>
    </row>
    <row r="117" spans="1:17" x14ac:dyDescent="0.25">
      <c r="A117" s="453">
        <v>102</v>
      </c>
      <c r="B117" s="453">
        <v>4</v>
      </c>
      <c r="C117" s="453" t="str">
        <f t="shared" si="1"/>
        <v>1024</v>
      </c>
      <c r="D117" s="453" t="s">
        <v>1274</v>
      </c>
      <c r="E117" s="453">
        <v>208</v>
      </c>
      <c r="F117" s="453">
        <v>15</v>
      </c>
      <c r="G117" s="453">
        <v>2018</v>
      </c>
      <c r="H117" s="453" t="s">
        <v>1651</v>
      </c>
      <c r="I117" s="453" t="s">
        <v>1052</v>
      </c>
      <c r="J117" s="453" t="s">
        <v>1453</v>
      </c>
      <c r="K117" s="453">
        <v>1</v>
      </c>
      <c r="L117" s="454">
        <v>43185</v>
      </c>
      <c r="M117" s="455">
        <v>1385401</v>
      </c>
      <c r="N117" s="453" t="s">
        <v>1651</v>
      </c>
      <c r="O117" s="453" t="s">
        <v>1976</v>
      </c>
      <c r="P117" s="453" t="s">
        <v>1055</v>
      </c>
      <c r="Q117" s="453" t="s">
        <v>2481</v>
      </c>
    </row>
    <row r="118" spans="1:17" x14ac:dyDescent="0.25">
      <c r="A118" s="453">
        <v>102</v>
      </c>
      <c r="B118" s="453">
        <v>5</v>
      </c>
      <c r="C118" s="453" t="str">
        <f t="shared" si="1"/>
        <v>1025</v>
      </c>
      <c r="D118" s="453" t="s">
        <v>1274</v>
      </c>
      <c r="E118" s="453">
        <v>208</v>
      </c>
      <c r="F118" s="453">
        <v>16</v>
      </c>
      <c r="G118" s="453">
        <v>2018</v>
      </c>
      <c r="H118" s="453" t="s">
        <v>1651</v>
      </c>
      <c r="I118" s="453" t="s">
        <v>1052</v>
      </c>
      <c r="J118" s="453" t="s">
        <v>1453</v>
      </c>
      <c r="K118" s="453">
        <v>2</v>
      </c>
      <c r="L118" s="454">
        <v>42975</v>
      </c>
      <c r="M118" s="455">
        <v>1326563</v>
      </c>
      <c r="N118" s="453" t="s">
        <v>1651</v>
      </c>
      <c r="O118" s="453" t="s">
        <v>1976</v>
      </c>
      <c r="P118" s="453" t="s">
        <v>1055</v>
      </c>
      <c r="Q118" s="453" t="s">
        <v>2480</v>
      </c>
    </row>
    <row r="119" spans="1:17" x14ac:dyDescent="0.25">
      <c r="A119" s="453">
        <v>102</v>
      </c>
      <c r="B119" s="453">
        <v>6</v>
      </c>
      <c r="C119" s="453" t="str">
        <f t="shared" si="1"/>
        <v>1026</v>
      </c>
      <c r="D119" s="453" t="s">
        <v>1274</v>
      </c>
      <c r="E119" s="453">
        <v>208</v>
      </c>
      <c r="F119" s="453">
        <v>17</v>
      </c>
      <c r="G119" s="453">
        <v>2018</v>
      </c>
      <c r="H119" s="453" t="s">
        <v>1651</v>
      </c>
      <c r="I119" s="453" t="s">
        <v>1052</v>
      </c>
      <c r="J119" s="453" t="s">
        <v>1453</v>
      </c>
      <c r="K119" s="453">
        <v>3</v>
      </c>
      <c r="L119" s="454">
        <v>42926</v>
      </c>
      <c r="M119" s="455">
        <v>11825000</v>
      </c>
      <c r="N119" s="453" t="s">
        <v>1651</v>
      </c>
      <c r="O119" s="453" t="s">
        <v>2478</v>
      </c>
      <c r="P119" s="453" t="s">
        <v>1055</v>
      </c>
      <c r="Q119" s="453" t="s">
        <v>2479</v>
      </c>
    </row>
    <row r="120" spans="1:17" x14ac:dyDescent="0.25">
      <c r="A120" s="453">
        <v>103</v>
      </c>
      <c r="B120" s="453">
        <v>1</v>
      </c>
      <c r="C120" s="453" t="str">
        <f t="shared" si="1"/>
        <v>1031</v>
      </c>
      <c r="D120" s="453" t="s">
        <v>938</v>
      </c>
      <c r="E120" s="453">
        <v>24</v>
      </c>
      <c r="F120" s="453">
        <v>89</v>
      </c>
      <c r="G120" s="453">
        <v>2020</v>
      </c>
      <c r="H120" s="453" t="s">
        <v>2712</v>
      </c>
      <c r="I120" s="453" t="s">
        <v>242</v>
      </c>
      <c r="J120" s="453" t="s">
        <v>1453</v>
      </c>
      <c r="K120" s="453">
        <v>1</v>
      </c>
      <c r="L120" s="454">
        <v>43907</v>
      </c>
      <c r="M120" s="455">
        <v>1246045</v>
      </c>
      <c r="N120" s="453" t="s">
        <v>2712</v>
      </c>
      <c r="O120" s="453" t="s">
        <v>2087</v>
      </c>
      <c r="P120" s="453" t="s">
        <v>937</v>
      </c>
      <c r="Q120" s="453" t="s">
        <v>3369</v>
      </c>
    </row>
    <row r="121" spans="1:17" x14ac:dyDescent="0.25">
      <c r="A121" s="453">
        <v>103</v>
      </c>
      <c r="B121" s="453">
        <v>2</v>
      </c>
      <c r="C121" s="453" t="str">
        <f t="shared" si="1"/>
        <v>1032</v>
      </c>
      <c r="D121" s="453" t="s">
        <v>938</v>
      </c>
      <c r="E121" s="453">
        <v>24</v>
      </c>
      <c r="F121" s="453">
        <v>90</v>
      </c>
      <c r="G121" s="453">
        <v>2020</v>
      </c>
      <c r="H121" s="453" t="s">
        <v>2712</v>
      </c>
      <c r="I121" s="453" t="s">
        <v>242</v>
      </c>
      <c r="J121" s="453" t="s">
        <v>1453</v>
      </c>
      <c r="K121" s="453">
        <v>2</v>
      </c>
      <c r="L121" s="454">
        <v>43916</v>
      </c>
      <c r="M121" s="455">
        <v>1258916</v>
      </c>
      <c r="N121" s="453" t="s">
        <v>2712</v>
      </c>
      <c r="O121" s="453" t="s">
        <v>2087</v>
      </c>
      <c r="P121" s="453" t="s">
        <v>937</v>
      </c>
      <c r="Q121" s="453" t="s">
        <v>3370</v>
      </c>
    </row>
    <row r="122" spans="1:17" x14ac:dyDescent="0.25">
      <c r="A122" s="453">
        <v>103</v>
      </c>
      <c r="B122" s="453">
        <v>3</v>
      </c>
      <c r="C122" s="453" t="str">
        <f t="shared" si="1"/>
        <v>1033</v>
      </c>
      <c r="D122" s="453" t="s">
        <v>938</v>
      </c>
      <c r="E122" s="453">
        <v>24</v>
      </c>
      <c r="F122" s="453">
        <v>91</v>
      </c>
      <c r="G122" s="453">
        <v>2020</v>
      </c>
      <c r="H122" s="453" t="s">
        <v>2712</v>
      </c>
      <c r="I122" s="453" t="s">
        <v>242</v>
      </c>
      <c r="J122" s="453" t="s">
        <v>1453</v>
      </c>
      <c r="K122" s="453">
        <v>3</v>
      </c>
      <c r="L122" s="454">
        <v>43992</v>
      </c>
      <c r="M122" s="455">
        <v>2800000</v>
      </c>
      <c r="N122" s="453" t="s">
        <v>2712</v>
      </c>
      <c r="O122" s="453" t="s">
        <v>2087</v>
      </c>
      <c r="P122" s="453" t="s">
        <v>937</v>
      </c>
      <c r="Q122" s="453" t="s">
        <v>3371</v>
      </c>
    </row>
    <row r="123" spans="1:17" x14ac:dyDescent="0.25">
      <c r="A123" s="453">
        <v>103</v>
      </c>
      <c r="B123" s="453">
        <v>4</v>
      </c>
      <c r="C123" s="453" t="str">
        <f t="shared" si="1"/>
        <v>1034</v>
      </c>
      <c r="D123" s="453" t="s">
        <v>938</v>
      </c>
      <c r="E123" s="453">
        <v>24</v>
      </c>
      <c r="F123" s="453">
        <v>92</v>
      </c>
      <c r="G123" s="453">
        <v>2020</v>
      </c>
      <c r="H123" s="453" t="s">
        <v>2712</v>
      </c>
      <c r="I123" s="453" t="s">
        <v>242</v>
      </c>
      <c r="J123" s="453" t="s">
        <v>1453</v>
      </c>
      <c r="K123" s="453">
        <v>4</v>
      </c>
      <c r="L123" s="454">
        <v>44176</v>
      </c>
      <c r="M123" s="455">
        <v>3000000</v>
      </c>
      <c r="N123" s="453" t="s">
        <v>2712</v>
      </c>
      <c r="O123" s="453" t="s">
        <v>2087</v>
      </c>
      <c r="P123" s="453" t="s">
        <v>937</v>
      </c>
      <c r="Q123" s="453" t="s">
        <v>3372</v>
      </c>
    </row>
    <row r="124" spans="1:17" x14ac:dyDescent="0.25">
      <c r="A124" s="453">
        <v>103</v>
      </c>
      <c r="B124" s="453">
        <v>5</v>
      </c>
      <c r="C124" s="453" t="str">
        <f t="shared" si="1"/>
        <v>1035</v>
      </c>
      <c r="D124" s="453" t="s">
        <v>938</v>
      </c>
      <c r="E124" s="453">
        <v>24</v>
      </c>
      <c r="F124" s="453">
        <v>79</v>
      </c>
      <c r="G124" s="453">
        <v>2019</v>
      </c>
      <c r="H124" s="453" t="s">
        <v>2712</v>
      </c>
      <c r="I124" s="453" t="s">
        <v>242</v>
      </c>
      <c r="J124" s="453" t="s">
        <v>1453</v>
      </c>
      <c r="K124" s="453">
        <v>1</v>
      </c>
      <c r="L124" s="454">
        <v>43509</v>
      </c>
      <c r="M124" s="455">
        <v>1199999</v>
      </c>
      <c r="N124" s="453" t="s">
        <v>2344</v>
      </c>
      <c r="O124" s="453" t="s">
        <v>2345</v>
      </c>
      <c r="P124" s="453" t="s">
        <v>937</v>
      </c>
      <c r="Q124" s="453" t="s">
        <v>3373</v>
      </c>
    </row>
    <row r="125" spans="1:17" x14ac:dyDescent="0.25">
      <c r="A125" s="453">
        <v>103</v>
      </c>
      <c r="B125" s="453">
        <v>6</v>
      </c>
      <c r="C125" s="453" t="str">
        <f t="shared" si="1"/>
        <v>1036</v>
      </c>
      <c r="D125" s="453" t="s">
        <v>938</v>
      </c>
      <c r="E125" s="453">
        <v>24</v>
      </c>
      <c r="F125" s="453">
        <v>80</v>
      </c>
      <c r="G125" s="453">
        <v>2019</v>
      </c>
      <c r="H125" s="453" t="s">
        <v>2712</v>
      </c>
      <c r="I125" s="453" t="s">
        <v>242</v>
      </c>
      <c r="J125" s="453" t="s">
        <v>1453</v>
      </c>
      <c r="K125" s="453">
        <v>2</v>
      </c>
      <c r="L125" s="454">
        <v>43517</v>
      </c>
      <c r="M125" s="455">
        <v>2834596</v>
      </c>
      <c r="N125" s="453" t="s">
        <v>2344</v>
      </c>
      <c r="O125" s="453" t="s">
        <v>2345</v>
      </c>
      <c r="P125" s="453" t="s">
        <v>937</v>
      </c>
      <c r="Q125" s="453" t="s">
        <v>3374</v>
      </c>
    </row>
    <row r="126" spans="1:17" x14ac:dyDescent="0.25">
      <c r="A126" s="453">
        <v>103</v>
      </c>
      <c r="B126" s="453">
        <v>7</v>
      </c>
      <c r="C126" s="453" t="str">
        <f t="shared" si="1"/>
        <v>1037</v>
      </c>
      <c r="D126" s="453" t="s">
        <v>938</v>
      </c>
      <c r="E126" s="453">
        <v>24</v>
      </c>
      <c r="F126" s="453">
        <v>81</v>
      </c>
      <c r="G126" s="453">
        <v>2019</v>
      </c>
      <c r="H126" s="453" t="s">
        <v>2712</v>
      </c>
      <c r="I126" s="453" t="s">
        <v>242</v>
      </c>
      <c r="J126" s="453" t="s">
        <v>1453</v>
      </c>
      <c r="K126" s="453">
        <v>3</v>
      </c>
      <c r="L126" s="454">
        <v>43654</v>
      </c>
      <c r="M126" s="455">
        <v>2180000</v>
      </c>
      <c r="N126" s="453" t="s">
        <v>2344</v>
      </c>
      <c r="O126" s="453" t="s">
        <v>2345</v>
      </c>
      <c r="P126" s="453" t="s">
        <v>937</v>
      </c>
      <c r="Q126" s="453" t="s">
        <v>3375</v>
      </c>
    </row>
    <row r="127" spans="1:17" x14ac:dyDescent="0.25">
      <c r="A127" s="453">
        <v>103</v>
      </c>
      <c r="B127" s="453">
        <v>8</v>
      </c>
      <c r="C127" s="453" t="str">
        <f t="shared" si="1"/>
        <v>1038</v>
      </c>
      <c r="D127" s="453" t="s">
        <v>938</v>
      </c>
      <c r="E127" s="453">
        <v>24</v>
      </c>
      <c r="F127" s="453">
        <v>82</v>
      </c>
      <c r="G127" s="453">
        <v>2019</v>
      </c>
      <c r="H127" s="453" t="s">
        <v>2712</v>
      </c>
      <c r="I127" s="453" t="s">
        <v>242</v>
      </c>
      <c r="J127" s="453" t="s">
        <v>1453</v>
      </c>
      <c r="K127" s="453">
        <v>4</v>
      </c>
      <c r="L127" s="454">
        <v>43658</v>
      </c>
      <c r="M127" s="455">
        <v>3256117</v>
      </c>
      <c r="N127" s="453" t="s">
        <v>2344</v>
      </c>
      <c r="O127" s="453" t="s">
        <v>2345</v>
      </c>
      <c r="P127" s="453" t="s">
        <v>937</v>
      </c>
      <c r="Q127" s="453" t="s">
        <v>3376</v>
      </c>
    </row>
    <row r="128" spans="1:17" x14ac:dyDescent="0.25">
      <c r="A128" s="453">
        <v>103</v>
      </c>
      <c r="B128" s="453">
        <v>9</v>
      </c>
      <c r="C128" s="453" t="str">
        <f t="shared" si="1"/>
        <v>1039</v>
      </c>
      <c r="D128" s="453" t="s">
        <v>938</v>
      </c>
      <c r="E128" s="453">
        <v>24</v>
      </c>
      <c r="F128" s="453">
        <v>83</v>
      </c>
      <c r="G128" s="453">
        <v>2019</v>
      </c>
      <c r="H128" s="453" t="s">
        <v>2712</v>
      </c>
      <c r="I128" s="453" t="s">
        <v>242</v>
      </c>
      <c r="J128" s="453" t="s">
        <v>1453</v>
      </c>
      <c r="K128" s="453">
        <v>5</v>
      </c>
      <c r="L128" s="454">
        <v>43658</v>
      </c>
      <c r="M128" s="455">
        <v>1115599</v>
      </c>
      <c r="N128" s="453" t="s">
        <v>2344</v>
      </c>
      <c r="O128" s="453" t="s">
        <v>2345</v>
      </c>
      <c r="P128" s="453" t="s">
        <v>937</v>
      </c>
      <c r="Q128" s="453" t="s">
        <v>3377</v>
      </c>
    </row>
    <row r="129" spans="1:17" x14ac:dyDescent="0.25">
      <c r="A129" s="453">
        <v>103</v>
      </c>
      <c r="B129" s="453">
        <v>10</v>
      </c>
      <c r="C129" s="453" t="str">
        <f t="shared" si="1"/>
        <v>10310</v>
      </c>
      <c r="D129" s="453" t="s">
        <v>938</v>
      </c>
      <c r="E129" s="453">
        <v>24</v>
      </c>
      <c r="F129" s="453">
        <v>84</v>
      </c>
      <c r="G129" s="453">
        <v>2019</v>
      </c>
      <c r="H129" s="453" t="s">
        <v>2712</v>
      </c>
      <c r="I129" s="453" t="s">
        <v>242</v>
      </c>
      <c r="J129" s="453" t="s">
        <v>1453</v>
      </c>
      <c r="K129" s="453">
        <v>6</v>
      </c>
      <c r="L129" s="454">
        <v>43711</v>
      </c>
      <c r="M129" s="455">
        <v>3085956</v>
      </c>
      <c r="N129" s="453" t="s">
        <v>2344</v>
      </c>
      <c r="O129" s="453" t="s">
        <v>2345</v>
      </c>
      <c r="P129" s="453" t="s">
        <v>937</v>
      </c>
      <c r="Q129" s="453" t="s">
        <v>3378</v>
      </c>
    </row>
    <row r="130" spans="1:17" x14ac:dyDescent="0.25">
      <c r="A130" s="453">
        <v>105</v>
      </c>
      <c r="B130" s="453">
        <v>1</v>
      </c>
      <c r="C130" s="453" t="str">
        <f t="shared" si="1"/>
        <v>1051</v>
      </c>
      <c r="D130" s="453" t="s">
        <v>1654</v>
      </c>
      <c r="E130" s="453">
        <v>26</v>
      </c>
      <c r="F130" s="453">
        <v>14</v>
      </c>
      <c r="G130" s="453">
        <v>2020</v>
      </c>
      <c r="H130" s="453" t="s">
        <v>1654</v>
      </c>
      <c r="I130" s="453" t="s">
        <v>199</v>
      </c>
      <c r="J130" s="453" t="s">
        <v>1453</v>
      </c>
      <c r="K130" s="453">
        <v>1</v>
      </c>
      <c r="L130" s="454">
        <v>44182</v>
      </c>
      <c r="M130" s="455">
        <v>1300000</v>
      </c>
      <c r="N130" s="453" t="s">
        <v>3379</v>
      </c>
      <c r="O130" s="453" t="s">
        <v>2282</v>
      </c>
      <c r="P130" s="453" t="s">
        <v>200</v>
      </c>
      <c r="Q130" s="453" t="s">
        <v>3380</v>
      </c>
    </row>
    <row r="131" spans="1:17" x14ac:dyDescent="0.25">
      <c r="A131" s="453">
        <v>105</v>
      </c>
      <c r="B131" s="453">
        <v>2</v>
      </c>
      <c r="C131" s="453" t="str">
        <f t="shared" si="1"/>
        <v>1052</v>
      </c>
      <c r="D131" s="453" t="s">
        <v>1654</v>
      </c>
      <c r="E131" s="453">
        <v>26</v>
      </c>
      <c r="F131" s="453">
        <v>12</v>
      </c>
      <c r="G131" s="453">
        <v>2018</v>
      </c>
      <c r="H131" s="453" t="s">
        <v>1654</v>
      </c>
      <c r="I131" s="453" t="s">
        <v>199</v>
      </c>
      <c r="J131" s="453" t="s">
        <v>1453</v>
      </c>
      <c r="K131" s="453">
        <v>1</v>
      </c>
      <c r="L131" s="454">
        <v>43433</v>
      </c>
      <c r="M131" s="455">
        <v>3000000</v>
      </c>
      <c r="N131" s="453" t="s">
        <v>2484</v>
      </c>
      <c r="O131" s="453" t="s">
        <v>2282</v>
      </c>
      <c r="P131" s="453" t="s">
        <v>200</v>
      </c>
      <c r="Q131" s="453" t="s">
        <v>2485</v>
      </c>
    </row>
    <row r="132" spans="1:17" x14ac:dyDescent="0.25">
      <c r="A132" s="453">
        <v>105</v>
      </c>
      <c r="B132" s="453">
        <v>3</v>
      </c>
      <c r="C132" s="453" t="str">
        <f t="shared" ref="C132:C195" si="2">CONCATENATE(A132,B132)</f>
        <v>1053</v>
      </c>
      <c r="D132" s="453" t="s">
        <v>1654</v>
      </c>
      <c r="E132" s="453">
        <v>26</v>
      </c>
      <c r="F132" s="453">
        <v>13</v>
      </c>
      <c r="G132" s="453">
        <v>2018</v>
      </c>
      <c r="H132" s="453" t="s">
        <v>1654</v>
      </c>
      <c r="I132" s="453" t="s">
        <v>199</v>
      </c>
      <c r="J132" s="453" t="s">
        <v>1453</v>
      </c>
      <c r="K132" s="453">
        <v>2</v>
      </c>
      <c r="L132" s="454">
        <v>43433</v>
      </c>
      <c r="M132" s="455">
        <v>10000000</v>
      </c>
      <c r="N132" s="453" t="s">
        <v>2482</v>
      </c>
      <c r="O132" s="453" t="s">
        <v>2282</v>
      </c>
      <c r="P132" s="453" t="s">
        <v>200</v>
      </c>
      <c r="Q132" s="453" t="s">
        <v>2483</v>
      </c>
    </row>
    <row r="133" spans="1:17" x14ac:dyDescent="0.25">
      <c r="A133" s="453">
        <v>107</v>
      </c>
      <c r="B133" s="453">
        <v>1</v>
      </c>
      <c r="C133" s="453" t="str">
        <f t="shared" si="2"/>
        <v>1071</v>
      </c>
      <c r="D133" s="453" t="s">
        <v>1409</v>
      </c>
      <c r="E133" s="453">
        <v>28</v>
      </c>
      <c r="F133" s="453">
        <v>12</v>
      </c>
      <c r="G133" s="453">
        <v>2019</v>
      </c>
      <c r="H133" s="453" t="s">
        <v>1409</v>
      </c>
      <c r="I133" s="453" t="s">
        <v>939</v>
      </c>
      <c r="J133" s="453" t="s">
        <v>1453</v>
      </c>
      <c r="K133" s="453">
        <v>1</v>
      </c>
      <c r="L133" s="454">
        <v>43544</v>
      </c>
      <c r="M133" s="455">
        <v>1276166</v>
      </c>
      <c r="N133" s="453" t="s">
        <v>3381</v>
      </c>
      <c r="O133" s="453" t="s">
        <v>3382</v>
      </c>
      <c r="P133" s="453" t="s">
        <v>941</v>
      </c>
      <c r="Q133" s="453" t="s">
        <v>3383</v>
      </c>
    </row>
    <row r="134" spans="1:17" x14ac:dyDescent="0.25">
      <c r="A134" s="453">
        <v>107</v>
      </c>
      <c r="B134" s="453">
        <v>2</v>
      </c>
      <c r="C134" s="453" t="str">
        <f t="shared" si="2"/>
        <v>1072</v>
      </c>
      <c r="D134" s="453" t="s">
        <v>1409</v>
      </c>
      <c r="E134" s="453">
        <v>28</v>
      </c>
      <c r="F134" s="453">
        <v>13</v>
      </c>
      <c r="G134" s="453">
        <v>2019</v>
      </c>
      <c r="H134" s="453" t="s">
        <v>1409</v>
      </c>
      <c r="I134" s="453" t="s">
        <v>939</v>
      </c>
      <c r="J134" s="453" t="s">
        <v>1453</v>
      </c>
      <c r="K134" s="453">
        <v>2</v>
      </c>
      <c r="L134" s="454">
        <v>43544</v>
      </c>
      <c r="M134" s="455">
        <v>1976487</v>
      </c>
      <c r="N134" s="453" t="s">
        <v>3384</v>
      </c>
      <c r="O134" s="453" t="s">
        <v>3385</v>
      </c>
      <c r="P134" s="453" t="s">
        <v>941</v>
      </c>
      <c r="Q134" s="453" t="s">
        <v>3386</v>
      </c>
    </row>
    <row r="135" spans="1:17" x14ac:dyDescent="0.25">
      <c r="A135" s="453">
        <v>107</v>
      </c>
      <c r="B135" s="453">
        <v>3</v>
      </c>
      <c r="C135" s="453" t="str">
        <f t="shared" si="2"/>
        <v>1073</v>
      </c>
      <c r="D135" s="453" t="s">
        <v>1409</v>
      </c>
      <c r="E135" s="453">
        <v>28</v>
      </c>
      <c r="F135" s="453">
        <v>11</v>
      </c>
      <c r="G135" s="453">
        <v>2018</v>
      </c>
      <c r="H135" s="453" t="s">
        <v>1409</v>
      </c>
      <c r="I135" s="453" t="s">
        <v>939</v>
      </c>
      <c r="J135" s="453" t="s">
        <v>1453</v>
      </c>
      <c r="K135" s="453">
        <v>1</v>
      </c>
      <c r="L135" s="454">
        <v>43248</v>
      </c>
      <c r="M135" s="455">
        <v>2250000</v>
      </c>
      <c r="N135" s="453" t="s">
        <v>2486</v>
      </c>
      <c r="O135" s="453" t="s">
        <v>2487</v>
      </c>
      <c r="P135" s="453" t="s">
        <v>941</v>
      </c>
      <c r="Q135" s="453" t="s">
        <v>2488</v>
      </c>
    </row>
    <row r="136" spans="1:17" x14ac:dyDescent="0.25">
      <c r="A136" s="453">
        <v>108</v>
      </c>
      <c r="B136" s="453">
        <v>1</v>
      </c>
      <c r="C136" s="453" t="str">
        <f t="shared" si="2"/>
        <v>1081</v>
      </c>
      <c r="D136" s="453" t="s">
        <v>3387</v>
      </c>
      <c r="E136" s="453">
        <v>237</v>
      </c>
      <c r="F136" s="453">
        <v>2</v>
      </c>
      <c r="G136" s="453">
        <v>2020</v>
      </c>
      <c r="H136" s="453" t="s">
        <v>208</v>
      </c>
      <c r="I136" s="453" t="s">
        <v>209</v>
      </c>
      <c r="J136" s="453" t="s">
        <v>1453</v>
      </c>
      <c r="K136" s="453">
        <v>1</v>
      </c>
      <c r="L136" s="454">
        <v>43717</v>
      </c>
      <c r="M136" s="455">
        <v>1764858</v>
      </c>
      <c r="N136" s="453" t="s">
        <v>3388</v>
      </c>
      <c r="O136" s="453" t="s">
        <v>3389</v>
      </c>
      <c r="P136" s="453" t="s">
        <v>209</v>
      </c>
      <c r="Q136" s="453" t="s">
        <v>3390</v>
      </c>
    </row>
    <row r="137" spans="1:17" x14ac:dyDescent="0.25">
      <c r="A137" s="453">
        <v>108</v>
      </c>
      <c r="B137" s="453">
        <v>2</v>
      </c>
      <c r="C137" s="453" t="str">
        <f t="shared" si="2"/>
        <v>1082</v>
      </c>
      <c r="D137" s="453" t="s">
        <v>3387</v>
      </c>
      <c r="E137" s="453">
        <v>237</v>
      </c>
      <c r="F137" s="453">
        <v>1</v>
      </c>
      <c r="G137" s="453">
        <v>2019</v>
      </c>
      <c r="H137" s="453" t="s">
        <v>208</v>
      </c>
      <c r="I137" s="453" t="s">
        <v>209</v>
      </c>
      <c r="J137" s="453" t="s">
        <v>1453</v>
      </c>
      <c r="K137" s="453">
        <v>1</v>
      </c>
      <c r="L137" s="454">
        <v>43717</v>
      </c>
      <c r="M137" s="455">
        <v>2000000</v>
      </c>
      <c r="N137" s="453" t="s">
        <v>3388</v>
      </c>
      <c r="O137" s="453" t="s">
        <v>3389</v>
      </c>
      <c r="P137" s="453" t="s">
        <v>209</v>
      </c>
      <c r="Q137" s="453" t="s">
        <v>3390</v>
      </c>
    </row>
    <row r="138" spans="1:17" x14ac:dyDescent="0.25">
      <c r="A138" s="453">
        <v>118</v>
      </c>
      <c r="B138" s="453">
        <v>1</v>
      </c>
      <c r="C138" s="453" t="str">
        <f t="shared" si="2"/>
        <v>1181</v>
      </c>
      <c r="D138" s="453" t="s">
        <v>1308</v>
      </c>
      <c r="E138" s="453">
        <v>30</v>
      </c>
      <c r="F138" s="453">
        <v>111</v>
      </c>
      <c r="G138" s="453">
        <v>2019</v>
      </c>
      <c r="H138" s="453" t="s">
        <v>2746</v>
      </c>
      <c r="I138" s="453" t="s">
        <v>846</v>
      </c>
      <c r="J138" s="453" t="s">
        <v>1453</v>
      </c>
      <c r="K138" s="453">
        <v>1</v>
      </c>
      <c r="L138" s="454">
        <v>43343</v>
      </c>
      <c r="M138" s="455">
        <v>4112483</v>
      </c>
      <c r="N138" s="453" t="s">
        <v>1059</v>
      </c>
      <c r="O138" s="453" t="s">
        <v>3146</v>
      </c>
      <c r="P138" s="453" t="s">
        <v>848</v>
      </c>
      <c r="Q138" s="453" t="s">
        <v>3391</v>
      </c>
    </row>
    <row r="139" spans="1:17" x14ac:dyDescent="0.25">
      <c r="A139" s="453">
        <v>119</v>
      </c>
      <c r="B139" s="453">
        <v>1</v>
      </c>
      <c r="C139" s="453" t="str">
        <f t="shared" si="2"/>
        <v>1191</v>
      </c>
      <c r="D139" s="453" t="s">
        <v>3392</v>
      </c>
      <c r="E139" s="453">
        <v>84</v>
      </c>
      <c r="F139" s="453">
        <v>4</v>
      </c>
      <c r="G139" s="453">
        <v>2019</v>
      </c>
      <c r="H139" s="453" t="s">
        <v>2748</v>
      </c>
      <c r="I139" s="453" t="s">
        <v>156</v>
      </c>
      <c r="J139" s="453" t="s">
        <v>1453</v>
      </c>
      <c r="K139" s="453">
        <v>1</v>
      </c>
      <c r="L139" s="454">
        <v>76365</v>
      </c>
      <c r="M139" s="455">
        <v>33227754</v>
      </c>
      <c r="N139" s="453" t="s">
        <v>3393</v>
      </c>
      <c r="O139" s="453" t="s">
        <v>3147</v>
      </c>
      <c r="P139" s="453" t="s">
        <v>158</v>
      </c>
      <c r="Q139" s="453" t="s">
        <v>3394</v>
      </c>
    </row>
    <row r="140" spans="1:17" x14ac:dyDescent="0.25">
      <c r="A140" s="453">
        <v>121</v>
      </c>
      <c r="B140" s="453">
        <v>1</v>
      </c>
      <c r="C140" s="453" t="str">
        <f t="shared" si="2"/>
        <v>1211</v>
      </c>
      <c r="D140" s="453" t="s">
        <v>1414</v>
      </c>
      <c r="E140" s="453">
        <v>111</v>
      </c>
      <c r="F140" s="453">
        <v>8</v>
      </c>
      <c r="G140" s="453">
        <v>2020</v>
      </c>
      <c r="H140" s="453" t="s">
        <v>1414</v>
      </c>
      <c r="I140" s="453" t="s">
        <v>890</v>
      </c>
      <c r="J140" s="453" t="s">
        <v>1453</v>
      </c>
      <c r="K140" s="453">
        <v>1</v>
      </c>
      <c r="L140" s="454">
        <v>44102</v>
      </c>
      <c r="M140" s="455">
        <v>3150000</v>
      </c>
      <c r="N140" s="453" t="s">
        <v>1414</v>
      </c>
      <c r="O140" s="453" t="s">
        <v>3395</v>
      </c>
      <c r="P140" s="453" t="s">
        <v>3396</v>
      </c>
      <c r="Q140" s="453" t="s">
        <v>3397</v>
      </c>
    </row>
    <row r="141" spans="1:17" x14ac:dyDescent="0.25">
      <c r="A141" s="453">
        <v>127</v>
      </c>
      <c r="B141" s="453">
        <v>1</v>
      </c>
      <c r="C141" s="453" t="str">
        <f t="shared" si="2"/>
        <v>1271</v>
      </c>
      <c r="D141" s="453" t="s">
        <v>1961</v>
      </c>
      <c r="E141" s="453">
        <v>74</v>
      </c>
      <c r="F141" s="453">
        <v>378</v>
      </c>
      <c r="G141" s="453">
        <v>2018</v>
      </c>
      <c r="H141" s="453" t="s">
        <v>196</v>
      </c>
      <c r="I141" s="453" t="s">
        <v>197</v>
      </c>
      <c r="J141" s="453" t="s">
        <v>1453</v>
      </c>
      <c r="K141" s="453">
        <v>1</v>
      </c>
      <c r="L141" s="454">
        <v>43342</v>
      </c>
      <c r="M141" s="455">
        <v>2284000</v>
      </c>
      <c r="N141" s="453" t="s">
        <v>196</v>
      </c>
      <c r="O141" s="453" t="s">
        <v>2489</v>
      </c>
      <c r="P141" s="453" t="s">
        <v>196</v>
      </c>
      <c r="Q141" s="453" t="s">
        <v>2490</v>
      </c>
    </row>
    <row r="142" spans="1:17" x14ac:dyDescent="0.25">
      <c r="A142" s="453">
        <v>132</v>
      </c>
      <c r="B142" s="453">
        <v>1</v>
      </c>
      <c r="C142" s="453" t="str">
        <f t="shared" si="2"/>
        <v>1321</v>
      </c>
      <c r="D142" s="453" t="s">
        <v>1308</v>
      </c>
      <c r="E142" s="453">
        <v>30</v>
      </c>
      <c r="F142" s="453">
        <v>118</v>
      </c>
      <c r="G142" s="453">
        <v>2020</v>
      </c>
      <c r="H142" s="453" t="s">
        <v>644</v>
      </c>
      <c r="I142" s="453" t="s">
        <v>645</v>
      </c>
      <c r="J142" s="453" t="s">
        <v>1453</v>
      </c>
      <c r="K142" s="453">
        <v>1</v>
      </c>
      <c r="L142" s="454">
        <v>43627</v>
      </c>
      <c r="M142" s="455">
        <v>2337360</v>
      </c>
      <c r="N142" s="453" t="s">
        <v>2491</v>
      </c>
      <c r="O142" s="453" t="s">
        <v>1965</v>
      </c>
      <c r="P142" s="453" t="s">
        <v>2346</v>
      </c>
      <c r="Q142" s="453" t="s">
        <v>3398</v>
      </c>
    </row>
    <row r="143" spans="1:17" x14ac:dyDescent="0.25">
      <c r="A143" s="453">
        <v>132</v>
      </c>
      <c r="B143" s="453">
        <v>2</v>
      </c>
      <c r="C143" s="453" t="str">
        <f t="shared" si="2"/>
        <v>1322</v>
      </c>
      <c r="D143" s="453" t="s">
        <v>1308</v>
      </c>
      <c r="E143" s="453">
        <v>30</v>
      </c>
      <c r="F143" s="453">
        <v>119</v>
      </c>
      <c r="G143" s="453">
        <v>2020</v>
      </c>
      <c r="H143" s="453" t="s">
        <v>644</v>
      </c>
      <c r="I143" s="453" t="s">
        <v>645</v>
      </c>
      <c r="J143" s="453" t="s">
        <v>1453</v>
      </c>
      <c r="K143" s="453">
        <v>2</v>
      </c>
      <c r="L143" s="454">
        <v>43643</v>
      </c>
      <c r="M143" s="455">
        <v>1775306</v>
      </c>
      <c r="N143" s="453" t="s">
        <v>2491</v>
      </c>
      <c r="O143" s="453" t="s">
        <v>1965</v>
      </c>
      <c r="P143" s="453" t="s">
        <v>2346</v>
      </c>
      <c r="Q143" s="453" t="s">
        <v>3399</v>
      </c>
    </row>
    <row r="144" spans="1:17" x14ac:dyDescent="0.25">
      <c r="A144" s="453">
        <v>132</v>
      </c>
      <c r="B144" s="453">
        <v>3</v>
      </c>
      <c r="C144" s="453" t="str">
        <f t="shared" si="2"/>
        <v>1323</v>
      </c>
      <c r="D144" s="453" t="s">
        <v>1308</v>
      </c>
      <c r="E144" s="453">
        <v>30</v>
      </c>
      <c r="F144" s="453">
        <v>120</v>
      </c>
      <c r="G144" s="453">
        <v>2020</v>
      </c>
      <c r="H144" s="453" t="s">
        <v>644</v>
      </c>
      <c r="I144" s="453" t="s">
        <v>645</v>
      </c>
      <c r="J144" s="453" t="s">
        <v>1453</v>
      </c>
      <c r="K144" s="453">
        <v>3</v>
      </c>
      <c r="L144" s="454">
        <v>43718</v>
      </c>
      <c r="M144" s="455">
        <v>4935870</v>
      </c>
      <c r="N144" s="453" t="s">
        <v>2491</v>
      </c>
      <c r="O144" s="453" t="s">
        <v>1965</v>
      </c>
      <c r="P144" s="453" t="s">
        <v>2346</v>
      </c>
      <c r="Q144" s="453" t="s">
        <v>3400</v>
      </c>
    </row>
    <row r="145" spans="1:17" x14ac:dyDescent="0.25">
      <c r="A145" s="453">
        <v>132</v>
      </c>
      <c r="B145" s="453">
        <v>4</v>
      </c>
      <c r="C145" s="453" t="str">
        <f t="shared" si="2"/>
        <v>1324</v>
      </c>
      <c r="D145" s="453" t="s">
        <v>1308</v>
      </c>
      <c r="E145" s="453">
        <v>30</v>
      </c>
      <c r="F145" s="453">
        <v>121</v>
      </c>
      <c r="G145" s="453">
        <v>2020</v>
      </c>
      <c r="H145" s="453" t="s">
        <v>644</v>
      </c>
      <c r="I145" s="453" t="s">
        <v>645</v>
      </c>
      <c r="J145" s="453" t="s">
        <v>1453</v>
      </c>
      <c r="K145" s="453">
        <v>4</v>
      </c>
      <c r="L145" s="454">
        <v>43720</v>
      </c>
      <c r="M145" s="455">
        <v>9384594</v>
      </c>
      <c r="N145" s="453" t="s">
        <v>2491</v>
      </c>
      <c r="O145" s="453" t="s">
        <v>1965</v>
      </c>
      <c r="P145" s="453" t="s">
        <v>2346</v>
      </c>
      <c r="Q145" s="453" t="s">
        <v>3401</v>
      </c>
    </row>
    <row r="146" spans="1:17" x14ac:dyDescent="0.25">
      <c r="A146" s="453">
        <v>132</v>
      </c>
      <c r="B146" s="453">
        <v>5</v>
      </c>
      <c r="C146" s="453" t="str">
        <f t="shared" si="2"/>
        <v>1325</v>
      </c>
      <c r="D146" s="453" t="s">
        <v>1308</v>
      </c>
      <c r="E146" s="453">
        <v>30</v>
      </c>
      <c r="F146" s="453">
        <v>122</v>
      </c>
      <c r="G146" s="453">
        <v>2020</v>
      </c>
      <c r="H146" s="453" t="s">
        <v>644</v>
      </c>
      <c r="I146" s="453" t="s">
        <v>645</v>
      </c>
      <c r="J146" s="453" t="s">
        <v>1453</v>
      </c>
      <c r="K146" s="453">
        <v>5</v>
      </c>
      <c r="L146" s="454">
        <v>43720</v>
      </c>
      <c r="M146" s="455">
        <v>4810500</v>
      </c>
      <c r="N146" s="453" t="s">
        <v>2491</v>
      </c>
      <c r="O146" s="453" t="s">
        <v>1965</v>
      </c>
      <c r="P146" s="453" t="s">
        <v>2346</v>
      </c>
      <c r="Q146" s="453" t="s">
        <v>3402</v>
      </c>
    </row>
    <row r="147" spans="1:17" x14ac:dyDescent="0.25">
      <c r="A147" s="453">
        <v>132</v>
      </c>
      <c r="B147" s="453">
        <v>6</v>
      </c>
      <c r="C147" s="453" t="str">
        <f t="shared" si="2"/>
        <v>1326</v>
      </c>
      <c r="D147" s="453" t="s">
        <v>1308</v>
      </c>
      <c r="E147" s="453">
        <v>30</v>
      </c>
      <c r="F147" s="453">
        <v>123</v>
      </c>
      <c r="G147" s="453">
        <v>2020</v>
      </c>
      <c r="H147" s="453" t="s">
        <v>644</v>
      </c>
      <c r="I147" s="453" t="s">
        <v>645</v>
      </c>
      <c r="J147" s="453" t="s">
        <v>1453</v>
      </c>
      <c r="K147" s="453">
        <v>6</v>
      </c>
      <c r="L147" s="454">
        <v>43776</v>
      </c>
      <c r="M147" s="455">
        <v>1384490</v>
      </c>
      <c r="N147" s="453" t="s">
        <v>2491</v>
      </c>
      <c r="O147" s="453" t="s">
        <v>1965</v>
      </c>
      <c r="P147" s="453" t="s">
        <v>2346</v>
      </c>
      <c r="Q147" s="453" t="s">
        <v>3403</v>
      </c>
    </row>
    <row r="148" spans="1:17" x14ac:dyDescent="0.25">
      <c r="A148" s="453">
        <v>132</v>
      </c>
      <c r="B148" s="453">
        <v>7</v>
      </c>
      <c r="C148" s="453" t="str">
        <f t="shared" si="2"/>
        <v>1327</v>
      </c>
      <c r="D148" s="453" t="s">
        <v>1308</v>
      </c>
      <c r="E148" s="453">
        <v>30</v>
      </c>
      <c r="F148" s="453">
        <v>124</v>
      </c>
      <c r="G148" s="453">
        <v>2020</v>
      </c>
      <c r="H148" s="453" t="s">
        <v>644</v>
      </c>
      <c r="I148" s="453" t="s">
        <v>645</v>
      </c>
      <c r="J148" s="453" t="s">
        <v>1453</v>
      </c>
      <c r="K148" s="453">
        <v>7</v>
      </c>
      <c r="L148" s="454">
        <v>43804</v>
      </c>
      <c r="M148" s="455">
        <v>1500000</v>
      </c>
      <c r="N148" s="453" t="s">
        <v>2491</v>
      </c>
      <c r="O148" s="453" t="s">
        <v>1965</v>
      </c>
      <c r="P148" s="453" t="s">
        <v>2346</v>
      </c>
      <c r="Q148" s="453" t="s">
        <v>3404</v>
      </c>
    </row>
    <row r="149" spans="1:17" x14ac:dyDescent="0.25">
      <c r="A149" s="453">
        <v>132</v>
      </c>
      <c r="B149" s="453">
        <v>8</v>
      </c>
      <c r="C149" s="453" t="str">
        <f t="shared" si="2"/>
        <v>1328</v>
      </c>
      <c r="D149" s="453" t="s">
        <v>1308</v>
      </c>
      <c r="E149" s="453">
        <v>30</v>
      </c>
      <c r="F149" s="453">
        <v>112</v>
      </c>
      <c r="G149" s="453">
        <v>2019</v>
      </c>
      <c r="H149" s="453" t="s">
        <v>644</v>
      </c>
      <c r="I149" s="453" t="s">
        <v>645</v>
      </c>
      <c r="J149" s="453" t="s">
        <v>1453</v>
      </c>
      <c r="K149" s="453">
        <v>1</v>
      </c>
      <c r="L149" s="454">
        <v>43263</v>
      </c>
      <c r="M149" s="455">
        <v>4750000</v>
      </c>
      <c r="N149" s="453" t="s">
        <v>2491</v>
      </c>
      <c r="O149" s="453" t="s">
        <v>1965</v>
      </c>
      <c r="P149" s="453" t="s">
        <v>2346</v>
      </c>
      <c r="Q149" s="453" t="s">
        <v>3405</v>
      </c>
    </row>
    <row r="150" spans="1:17" x14ac:dyDescent="0.25">
      <c r="A150" s="453">
        <v>132</v>
      </c>
      <c r="B150" s="453">
        <v>9</v>
      </c>
      <c r="C150" s="453" t="str">
        <f t="shared" si="2"/>
        <v>1329</v>
      </c>
      <c r="D150" s="453" t="s">
        <v>1308</v>
      </c>
      <c r="E150" s="453">
        <v>30</v>
      </c>
      <c r="F150" s="453">
        <v>113</v>
      </c>
      <c r="G150" s="453">
        <v>2019</v>
      </c>
      <c r="H150" s="453" t="s">
        <v>644</v>
      </c>
      <c r="I150" s="453" t="s">
        <v>645</v>
      </c>
      <c r="J150" s="453" t="s">
        <v>1453</v>
      </c>
      <c r="K150" s="453">
        <v>2</v>
      </c>
      <c r="L150" s="454">
        <v>43356</v>
      </c>
      <c r="M150" s="455">
        <v>6571069</v>
      </c>
      <c r="N150" s="453" t="s">
        <v>2491</v>
      </c>
      <c r="O150" s="453" t="s">
        <v>1965</v>
      </c>
      <c r="P150" s="453" t="s">
        <v>2346</v>
      </c>
      <c r="Q150" s="453" t="s">
        <v>3406</v>
      </c>
    </row>
    <row r="151" spans="1:17" x14ac:dyDescent="0.25">
      <c r="A151" s="453">
        <v>132</v>
      </c>
      <c r="B151" s="453">
        <v>10</v>
      </c>
      <c r="C151" s="453" t="str">
        <f t="shared" si="2"/>
        <v>13210</v>
      </c>
      <c r="D151" s="453" t="s">
        <v>1308</v>
      </c>
      <c r="E151" s="453">
        <v>30</v>
      </c>
      <c r="F151" s="453">
        <v>114</v>
      </c>
      <c r="G151" s="453">
        <v>2019</v>
      </c>
      <c r="H151" s="453" t="s">
        <v>644</v>
      </c>
      <c r="I151" s="453" t="s">
        <v>645</v>
      </c>
      <c r="J151" s="453" t="s">
        <v>1453</v>
      </c>
      <c r="K151" s="453">
        <v>3</v>
      </c>
      <c r="L151" s="454">
        <v>43508</v>
      </c>
      <c r="M151" s="455">
        <v>2300000</v>
      </c>
      <c r="N151" s="453" t="s">
        <v>2491</v>
      </c>
      <c r="O151" s="453" t="s">
        <v>1965</v>
      </c>
      <c r="P151" s="453" t="s">
        <v>2346</v>
      </c>
      <c r="Q151" s="453" t="s">
        <v>3407</v>
      </c>
    </row>
    <row r="152" spans="1:17" x14ac:dyDescent="0.25">
      <c r="A152" s="453">
        <v>132</v>
      </c>
      <c r="B152" s="453">
        <v>11</v>
      </c>
      <c r="C152" s="453" t="str">
        <f t="shared" si="2"/>
        <v>13211</v>
      </c>
      <c r="D152" s="453" t="s">
        <v>1308</v>
      </c>
      <c r="E152" s="453">
        <v>30</v>
      </c>
      <c r="F152" s="453">
        <v>115</v>
      </c>
      <c r="G152" s="453">
        <v>2019</v>
      </c>
      <c r="H152" s="453" t="s">
        <v>644</v>
      </c>
      <c r="I152" s="453" t="s">
        <v>645</v>
      </c>
      <c r="J152" s="453" t="s">
        <v>1453</v>
      </c>
      <c r="K152" s="453">
        <v>4</v>
      </c>
      <c r="L152" s="454">
        <v>43564</v>
      </c>
      <c r="M152" s="455">
        <v>3100000</v>
      </c>
      <c r="N152" s="453" t="s">
        <v>2491</v>
      </c>
      <c r="O152" s="453" t="s">
        <v>1965</v>
      </c>
      <c r="P152" s="453" t="s">
        <v>2346</v>
      </c>
      <c r="Q152" s="453" t="s">
        <v>3408</v>
      </c>
    </row>
    <row r="153" spans="1:17" x14ac:dyDescent="0.25">
      <c r="A153" s="453">
        <v>132</v>
      </c>
      <c r="B153" s="453">
        <v>12</v>
      </c>
      <c r="C153" s="453" t="str">
        <f t="shared" si="2"/>
        <v>13212</v>
      </c>
      <c r="D153" s="453" t="s">
        <v>1308</v>
      </c>
      <c r="E153" s="453">
        <v>30</v>
      </c>
      <c r="F153" s="453">
        <v>116</v>
      </c>
      <c r="G153" s="453">
        <v>2019</v>
      </c>
      <c r="H153" s="453" t="s">
        <v>644</v>
      </c>
      <c r="I153" s="453" t="s">
        <v>645</v>
      </c>
      <c r="J153" s="453" t="s">
        <v>1453</v>
      </c>
      <c r="K153" s="453">
        <v>5</v>
      </c>
      <c r="L153" s="454">
        <v>43577</v>
      </c>
      <c r="M153" s="455">
        <v>1371950</v>
      </c>
      <c r="N153" s="453" t="s">
        <v>2491</v>
      </c>
      <c r="O153" s="453" t="s">
        <v>1965</v>
      </c>
      <c r="P153" s="453" t="s">
        <v>2346</v>
      </c>
      <c r="Q153" s="453" t="s">
        <v>3409</v>
      </c>
    </row>
    <row r="154" spans="1:17" x14ac:dyDescent="0.25">
      <c r="A154" s="453">
        <v>132</v>
      </c>
      <c r="B154" s="453">
        <v>13</v>
      </c>
      <c r="C154" s="453" t="str">
        <f t="shared" si="2"/>
        <v>13213</v>
      </c>
      <c r="D154" s="453" t="s">
        <v>1308</v>
      </c>
      <c r="E154" s="453">
        <v>30</v>
      </c>
      <c r="F154" s="453">
        <v>102</v>
      </c>
      <c r="G154" s="453">
        <v>2018</v>
      </c>
      <c r="H154" s="453" t="s">
        <v>644</v>
      </c>
      <c r="I154" s="453" t="s">
        <v>645</v>
      </c>
      <c r="J154" s="453" t="s">
        <v>1453</v>
      </c>
      <c r="K154" s="453">
        <v>1</v>
      </c>
      <c r="L154" s="454">
        <v>42864</v>
      </c>
      <c r="M154" s="455">
        <v>8834400</v>
      </c>
      <c r="N154" s="453" t="s">
        <v>2491</v>
      </c>
      <c r="O154" s="453" t="s">
        <v>1965</v>
      </c>
      <c r="P154" s="453" t="s">
        <v>2346</v>
      </c>
      <c r="Q154" s="453" t="s">
        <v>2499</v>
      </c>
    </row>
    <row r="155" spans="1:17" x14ac:dyDescent="0.25">
      <c r="A155" s="453">
        <v>132</v>
      </c>
      <c r="B155" s="453">
        <v>14</v>
      </c>
      <c r="C155" s="453" t="str">
        <f t="shared" si="2"/>
        <v>13214</v>
      </c>
      <c r="D155" s="453" t="s">
        <v>1308</v>
      </c>
      <c r="E155" s="453">
        <v>30</v>
      </c>
      <c r="F155" s="453">
        <v>103</v>
      </c>
      <c r="G155" s="453">
        <v>2018</v>
      </c>
      <c r="H155" s="453" t="s">
        <v>644</v>
      </c>
      <c r="I155" s="453" t="s">
        <v>645</v>
      </c>
      <c r="J155" s="453" t="s">
        <v>1453</v>
      </c>
      <c r="K155" s="453">
        <v>2</v>
      </c>
      <c r="L155" s="454">
        <v>42864</v>
      </c>
      <c r="M155" s="455">
        <v>2911500</v>
      </c>
      <c r="N155" s="453" t="s">
        <v>2491</v>
      </c>
      <c r="O155" s="453" t="s">
        <v>1965</v>
      </c>
      <c r="P155" s="453" t="s">
        <v>2346</v>
      </c>
      <c r="Q155" s="453" t="s">
        <v>2498</v>
      </c>
    </row>
    <row r="156" spans="1:17" x14ac:dyDescent="0.25">
      <c r="A156" s="453">
        <v>132</v>
      </c>
      <c r="B156" s="453">
        <v>15</v>
      </c>
      <c r="C156" s="453" t="str">
        <f t="shared" si="2"/>
        <v>13215</v>
      </c>
      <c r="D156" s="453" t="s">
        <v>1308</v>
      </c>
      <c r="E156" s="453">
        <v>30</v>
      </c>
      <c r="F156" s="453">
        <v>104</v>
      </c>
      <c r="G156" s="453">
        <v>2018</v>
      </c>
      <c r="H156" s="453" t="s">
        <v>644</v>
      </c>
      <c r="I156" s="453" t="s">
        <v>645</v>
      </c>
      <c r="J156" s="453" t="s">
        <v>1453</v>
      </c>
      <c r="K156" s="453">
        <v>3</v>
      </c>
      <c r="L156" s="454">
        <v>42892</v>
      </c>
      <c r="M156" s="455">
        <v>3214115</v>
      </c>
      <c r="N156" s="453" t="s">
        <v>2491</v>
      </c>
      <c r="O156" s="453" t="s">
        <v>1965</v>
      </c>
      <c r="P156" s="453" t="s">
        <v>2346</v>
      </c>
      <c r="Q156" s="453" t="s">
        <v>2497</v>
      </c>
    </row>
    <row r="157" spans="1:17" x14ac:dyDescent="0.25">
      <c r="A157" s="453">
        <v>132</v>
      </c>
      <c r="B157" s="453">
        <v>16</v>
      </c>
      <c r="C157" s="453" t="str">
        <f t="shared" si="2"/>
        <v>13216</v>
      </c>
      <c r="D157" s="453" t="s">
        <v>1308</v>
      </c>
      <c r="E157" s="453">
        <v>30</v>
      </c>
      <c r="F157" s="453">
        <v>105</v>
      </c>
      <c r="G157" s="453">
        <v>2018</v>
      </c>
      <c r="H157" s="453" t="s">
        <v>644</v>
      </c>
      <c r="I157" s="453" t="s">
        <v>645</v>
      </c>
      <c r="J157" s="453" t="s">
        <v>1453</v>
      </c>
      <c r="K157" s="453">
        <v>4</v>
      </c>
      <c r="L157" s="454">
        <v>43081</v>
      </c>
      <c r="M157" s="455">
        <v>2217228</v>
      </c>
      <c r="N157" s="453" t="s">
        <v>2491</v>
      </c>
      <c r="O157" s="453" t="s">
        <v>1965</v>
      </c>
      <c r="P157" s="453" t="s">
        <v>2346</v>
      </c>
      <c r="Q157" s="453" t="s">
        <v>2496</v>
      </c>
    </row>
    <row r="158" spans="1:17" x14ac:dyDescent="0.25">
      <c r="A158" s="453">
        <v>132</v>
      </c>
      <c r="B158" s="453">
        <v>17</v>
      </c>
      <c r="C158" s="453" t="str">
        <f t="shared" si="2"/>
        <v>13217</v>
      </c>
      <c r="D158" s="453" t="s">
        <v>1308</v>
      </c>
      <c r="E158" s="453">
        <v>30</v>
      </c>
      <c r="F158" s="453">
        <v>106</v>
      </c>
      <c r="G158" s="453">
        <v>2018</v>
      </c>
      <c r="H158" s="453" t="s">
        <v>644</v>
      </c>
      <c r="I158" s="453" t="s">
        <v>645</v>
      </c>
      <c r="J158" s="453" t="s">
        <v>1453</v>
      </c>
      <c r="K158" s="453">
        <v>5</v>
      </c>
      <c r="L158" s="454">
        <v>43081</v>
      </c>
      <c r="M158" s="455">
        <v>4407160</v>
      </c>
      <c r="N158" s="453" t="s">
        <v>2491</v>
      </c>
      <c r="O158" s="453" t="s">
        <v>1965</v>
      </c>
      <c r="P158" s="453" t="s">
        <v>2346</v>
      </c>
      <c r="Q158" s="453" t="s">
        <v>2495</v>
      </c>
    </row>
    <row r="159" spans="1:17" x14ac:dyDescent="0.25">
      <c r="A159" s="453">
        <v>132</v>
      </c>
      <c r="B159" s="453">
        <v>18</v>
      </c>
      <c r="C159" s="453" t="str">
        <f t="shared" si="2"/>
        <v>13218</v>
      </c>
      <c r="D159" s="453" t="s">
        <v>1308</v>
      </c>
      <c r="E159" s="453">
        <v>30</v>
      </c>
      <c r="F159" s="453">
        <v>107</v>
      </c>
      <c r="G159" s="453">
        <v>2018</v>
      </c>
      <c r="H159" s="453" t="s">
        <v>644</v>
      </c>
      <c r="I159" s="453" t="s">
        <v>645</v>
      </c>
      <c r="J159" s="453" t="s">
        <v>1453</v>
      </c>
      <c r="K159" s="453">
        <v>6</v>
      </c>
      <c r="L159" s="454">
        <v>43144</v>
      </c>
      <c r="M159" s="455">
        <v>3000000</v>
      </c>
      <c r="N159" s="453" t="s">
        <v>2491</v>
      </c>
      <c r="O159" s="453" t="s">
        <v>1965</v>
      </c>
      <c r="P159" s="453" t="s">
        <v>2346</v>
      </c>
      <c r="Q159" s="453" t="s">
        <v>2494</v>
      </c>
    </row>
    <row r="160" spans="1:17" x14ac:dyDescent="0.25">
      <c r="A160" s="453">
        <v>132</v>
      </c>
      <c r="B160" s="453">
        <v>19</v>
      </c>
      <c r="C160" s="453" t="str">
        <f t="shared" si="2"/>
        <v>13219</v>
      </c>
      <c r="D160" s="453" t="s">
        <v>1308</v>
      </c>
      <c r="E160" s="453">
        <v>30</v>
      </c>
      <c r="F160" s="453">
        <v>108</v>
      </c>
      <c r="G160" s="453">
        <v>2018</v>
      </c>
      <c r="H160" s="453" t="s">
        <v>644</v>
      </c>
      <c r="I160" s="453" t="s">
        <v>645</v>
      </c>
      <c r="J160" s="453" t="s">
        <v>1453</v>
      </c>
      <c r="K160" s="453">
        <v>7</v>
      </c>
      <c r="L160" s="454">
        <v>43144</v>
      </c>
      <c r="M160" s="455">
        <v>1600000</v>
      </c>
      <c r="N160" s="453" t="s">
        <v>2491</v>
      </c>
      <c r="O160" s="453" t="s">
        <v>1965</v>
      </c>
      <c r="P160" s="453" t="s">
        <v>2346</v>
      </c>
      <c r="Q160" s="453" t="s">
        <v>2493</v>
      </c>
    </row>
    <row r="161" spans="1:17" x14ac:dyDescent="0.25">
      <c r="A161" s="453">
        <v>132</v>
      </c>
      <c r="B161" s="453">
        <v>20</v>
      </c>
      <c r="C161" s="453" t="str">
        <f t="shared" si="2"/>
        <v>13220</v>
      </c>
      <c r="D161" s="453" t="s">
        <v>1308</v>
      </c>
      <c r="E161" s="453">
        <v>30</v>
      </c>
      <c r="F161" s="453">
        <v>109</v>
      </c>
      <c r="G161" s="453">
        <v>2018</v>
      </c>
      <c r="H161" s="453" t="s">
        <v>644</v>
      </c>
      <c r="I161" s="453" t="s">
        <v>645</v>
      </c>
      <c r="J161" s="453" t="s">
        <v>1453</v>
      </c>
      <c r="K161" s="453">
        <v>8</v>
      </c>
      <c r="L161" s="454">
        <v>43249</v>
      </c>
      <c r="M161" s="455">
        <v>1982890</v>
      </c>
      <c r="N161" s="453" t="s">
        <v>2491</v>
      </c>
      <c r="O161" s="453" t="s">
        <v>1965</v>
      </c>
      <c r="P161" s="453" t="s">
        <v>2346</v>
      </c>
      <c r="Q161" s="453" t="s">
        <v>2492</v>
      </c>
    </row>
    <row r="162" spans="1:17" x14ac:dyDescent="0.25">
      <c r="A162" s="453">
        <v>133</v>
      </c>
      <c r="B162" s="453">
        <v>1</v>
      </c>
      <c r="C162" s="453" t="str">
        <f t="shared" si="2"/>
        <v>1331</v>
      </c>
      <c r="D162" s="453" t="s">
        <v>2761</v>
      </c>
      <c r="E162" s="453">
        <v>236</v>
      </c>
      <c r="F162" s="453">
        <v>1</v>
      </c>
      <c r="G162" s="453">
        <v>2019</v>
      </c>
      <c r="H162" s="453" t="s">
        <v>1472</v>
      </c>
      <c r="I162" s="453" t="s">
        <v>1473</v>
      </c>
      <c r="J162" s="453" t="s">
        <v>1453</v>
      </c>
      <c r="K162" s="453">
        <v>1</v>
      </c>
      <c r="L162" s="454">
        <v>43344</v>
      </c>
      <c r="M162" s="455">
        <v>2000000</v>
      </c>
      <c r="N162" s="453" t="s">
        <v>3410</v>
      </c>
      <c r="O162" s="453" t="s">
        <v>3411</v>
      </c>
      <c r="P162" s="453" t="s">
        <v>1477</v>
      </c>
      <c r="Q162" s="453" t="s">
        <v>3412</v>
      </c>
    </row>
    <row r="163" spans="1:17" x14ac:dyDescent="0.25">
      <c r="A163" s="453">
        <v>135</v>
      </c>
      <c r="B163" s="453">
        <v>1</v>
      </c>
      <c r="C163" s="453" t="str">
        <f t="shared" si="2"/>
        <v>1351</v>
      </c>
      <c r="D163" s="453" t="s">
        <v>1961</v>
      </c>
      <c r="E163" s="453">
        <v>74</v>
      </c>
      <c r="F163" s="453">
        <v>401</v>
      </c>
      <c r="G163" s="453">
        <v>2019</v>
      </c>
      <c r="H163" s="453" t="s">
        <v>901</v>
      </c>
      <c r="I163" s="453" t="s">
        <v>902</v>
      </c>
      <c r="J163" s="453" t="s">
        <v>1453</v>
      </c>
      <c r="K163" s="453">
        <v>1</v>
      </c>
      <c r="L163" s="454">
        <v>43691</v>
      </c>
      <c r="M163" s="455">
        <v>1895881</v>
      </c>
      <c r="N163" s="453" t="s">
        <v>2335</v>
      </c>
      <c r="O163" s="453" t="s">
        <v>2336</v>
      </c>
      <c r="P163" s="453" t="s">
        <v>3413</v>
      </c>
      <c r="Q163" s="453" t="s">
        <v>3414</v>
      </c>
    </row>
    <row r="164" spans="1:17" x14ac:dyDescent="0.25">
      <c r="A164" s="453">
        <v>135</v>
      </c>
      <c r="B164" s="453">
        <v>2</v>
      </c>
      <c r="C164" s="453" t="str">
        <f t="shared" si="2"/>
        <v>1352</v>
      </c>
      <c r="D164" s="453" t="s">
        <v>1961</v>
      </c>
      <c r="E164" s="453">
        <v>74</v>
      </c>
      <c r="F164" s="453">
        <v>402</v>
      </c>
      <c r="G164" s="453">
        <v>2019</v>
      </c>
      <c r="H164" s="453" t="s">
        <v>901</v>
      </c>
      <c r="I164" s="453" t="s">
        <v>902</v>
      </c>
      <c r="J164" s="453" t="s">
        <v>1453</v>
      </c>
      <c r="K164" s="453">
        <v>2</v>
      </c>
      <c r="L164" s="454">
        <v>43643</v>
      </c>
      <c r="M164" s="455">
        <v>25000000</v>
      </c>
      <c r="N164" s="453" t="s">
        <v>2335</v>
      </c>
      <c r="O164" s="453" t="s">
        <v>2336</v>
      </c>
      <c r="P164" s="453" t="s">
        <v>3413</v>
      </c>
      <c r="Q164" s="453" t="s">
        <v>3415</v>
      </c>
    </row>
    <row r="165" spans="1:17" x14ac:dyDescent="0.25">
      <c r="A165" s="453">
        <v>135</v>
      </c>
      <c r="B165" s="453">
        <v>3</v>
      </c>
      <c r="C165" s="453" t="str">
        <f t="shared" si="2"/>
        <v>1353</v>
      </c>
      <c r="D165" s="453" t="s">
        <v>1961</v>
      </c>
      <c r="E165" s="453">
        <v>74</v>
      </c>
      <c r="F165" s="453">
        <v>403</v>
      </c>
      <c r="G165" s="453">
        <v>2019</v>
      </c>
      <c r="H165" s="453" t="s">
        <v>901</v>
      </c>
      <c r="I165" s="453" t="s">
        <v>902</v>
      </c>
      <c r="J165" s="453" t="s">
        <v>1453</v>
      </c>
      <c r="K165" s="453">
        <v>3</v>
      </c>
      <c r="L165" s="454">
        <v>43615</v>
      </c>
      <c r="M165" s="455">
        <v>18904236</v>
      </c>
      <c r="N165" s="453" t="s">
        <v>2335</v>
      </c>
      <c r="O165" s="453" t="s">
        <v>2336</v>
      </c>
      <c r="P165" s="453" t="s">
        <v>3413</v>
      </c>
      <c r="Q165" s="453" t="s">
        <v>3416</v>
      </c>
    </row>
    <row r="166" spans="1:17" x14ac:dyDescent="0.25">
      <c r="A166" s="453">
        <v>136</v>
      </c>
      <c r="B166" s="453">
        <v>1</v>
      </c>
      <c r="C166" s="453" t="str">
        <f t="shared" si="2"/>
        <v>1361</v>
      </c>
      <c r="D166" s="453" t="s">
        <v>952</v>
      </c>
      <c r="E166" s="453">
        <v>54</v>
      </c>
      <c r="F166" s="453">
        <v>6</v>
      </c>
      <c r="G166" s="453">
        <v>2019</v>
      </c>
      <c r="H166" s="453" t="s">
        <v>473</v>
      </c>
      <c r="I166" s="453" t="s">
        <v>474</v>
      </c>
      <c r="J166" s="453" t="s">
        <v>1453</v>
      </c>
      <c r="K166" s="453">
        <v>1</v>
      </c>
      <c r="L166" s="454">
        <v>43282</v>
      </c>
      <c r="M166" s="455">
        <v>1579947</v>
      </c>
      <c r="N166" s="453" t="s">
        <v>473</v>
      </c>
      <c r="O166" s="453" t="s">
        <v>2501</v>
      </c>
      <c r="P166" s="453" t="s">
        <v>2500</v>
      </c>
      <c r="Q166" s="453" t="s">
        <v>3417</v>
      </c>
    </row>
    <row r="167" spans="1:17" x14ac:dyDescent="0.25">
      <c r="A167" s="453">
        <v>136</v>
      </c>
      <c r="B167" s="453">
        <v>2</v>
      </c>
      <c r="C167" s="453" t="str">
        <f t="shared" si="2"/>
        <v>1362</v>
      </c>
      <c r="D167" s="453" t="s">
        <v>952</v>
      </c>
      <c r="E167" s="453">
        <v>54</v>
      </c>
      <c r="F167" s="453">
        <v>5</v>
      </c>
      <c r="G167" s="453">
        <v>2018</v>
      </c>
      <c r="H167" s="453" t="s">
        <v>473</v>
      </c>
      <c r="I167" s="453" t="s">
        <v>474</v>
      </c>
      <c r="J167" s="453" t="s">
        <v>1453</v>
      </c>
      <c r="K167" s="453">
        <v>1</v>
      </c>
      <c r="L167" s="454">
        <v>43196</v>
      </c>
      <c r="M167" s="455">
        <v>3560781</v>
      </c>
      <c r="N167" s="453" t="s">
        <v>473</v>
      </c>
      <c r="O167" s="453" t="s">
        <v>2501</v>
      </c>
      <c r="P167" s="453" t="s">
        <v>2500</v>
      </c>
      <c r="Q167" s="453" t="s">
        <v>2502</v>
      </c>
    </row>
    <row r="168" spans="1:17" x14ac:dyDescent="0.25">
      <c r="A168" s="453">
        <v>141</v>
      </c>
      <c r="B168" s="453">
        <v>1</v>
      </c>
      <c r="C168" s="453" t="str">
        <f t="shared" si="2"/>
        <v>1411</v>
      </c>
      <c r="D168" s="453" t="s">
        <v>2773</v>
      </c>
      <c r="E168" s="453">
        <v>43</v>
      </c>
      <c r="F168" s="453">
        <v>327</v>
      </c>
      <c r="G168" s="453">
        <v>2018</v>
      </c>
      <c r="H168" s="453" t="s">
        <v>697</v>
      </c>
      <c r="I168" s="453" t="s">
        <v>360</v>
      </c>
      <c r="J168" s="453" t="s">
        <v>1453</v>
      </c>
      <c r="K168" s="453">
        <v>1</v>
      </c>
      <c r="L168" s="454">
        <v>43152</v>
      </c>
      <c r="M168" s="455">
        <v>2027834</v>
      </c>
      <c r="N168" s="453" t="s">
        <v>2503</v>
      </c>
      <c r="O168" s="453" t="s">
        <v>2504</v>
      </c>
      <c r="P168" s="453" t="s">
        <v>2505</v>
      </c>
      <c r="Q168" s="453" t="s">
        <v>2507</v>
      </c>
    </row>
    <row r="169" spans="1:17" x14ac:dyDescent="0.25">
      <c r="A169" s="453">
        <v>141</v>
      </c>
      <c r="B169" s="453">
        <v>2</v>
      </c>
      <c r="C169" s="453" t="str">
        <f t="shared" si="2"/>
        <v>1412</v>
      </c>
      <c r="D169" s="453" t="s">
        <v>2773</v>
      </c>
      <c r="E169" s="453">
        <v>43</v>
      </c>
      <c r="F169" s="453">
        <v>328</v>
      </c>
      <c r="G169" s="453">
        <v>2018</v>
      </c>
      <c r="H169" s="453" t="s">
        <v>697</v>
      </c>
      <c r="I169" s="453" t="s">
        <v>360</v>
      </c>
      <c r="J169" s="453" t="s">
        <v>1453</v>
      </c>
      <c r="K169" s="453">
        <v>2</v>
      </c>
      <c r="L169" s="454">
        <v>43390</v>
      </c>
      <c r="M169" s="455">
        <v>1271220</v>
      </c>
      <c r="N169" s="453" t="s">
        <v>2503</v>
      </c>
      <c r="O169" s="453" t="s">
        <v>2504</v>
      </c>
      <c r="P169" s="453" t="s">
        <v>2505</v>
      </c>
      <c r="Q169" s="453" t="s">
        <v>2506</v>
      </c>
    </row>
    <row r="170" spans="1:17" x14ac:dyDescent="0.25">
      <c r="A170" s="453">
        <v>141</v>
      </c>
      <c r="B170" s="453">
        <v>3</v>
      </c>
      <c r="C170" s="453" t="str">
        <f t="shared" si="2"/>
        <v>1413</v>
      </c>
      <c r="D170" s="453" t="s">
        <v>2773</v>
      </c>
      <c r="E170" s="453">
        <v>43</v>
      </c>
      <c r="F170" s="453">
        <v>329</v>
      </c>
      <c r="G170" s="453">
        <v>2018</v>
      </c>
      <c r="H170" s="453" t="s">
        <v>697</v>
      </c>
      <c r="I170" s="453" t="s">
        <v>360</v>
      </c>
      <c r="J170" s="453" t="s">
        <v>1453</v>
      </c>
      <c r="K170" s="453">
        <v>3</v>
      </c>
      <c r="L170" s="454">
        <v>43328</v>
      </c>
      <c r="M170" s="455">
        <v>2114186</v>
      </c>
      <c r="N170" s="453" t="s">
        <v>2503</v>
      </c>
      <c r="O170" s="453" t="s">
        <v>2504</v>
      </c>
      <c r="P170" s="453" t="s">
        <v>2505</v>
      </c>
      <c r="Q170" s="453" t="s">
        <v>2430</v>
      </c>
    </row>
    <row r="171" spans="1:17" x14ac:dyDescent="0.25">
      <c r="A171" s="453">
        <v>142</v>
      </c>
      <c r="B171" s="453">
        <v>1</v>
      </c>
      <c r="C171" s="453" t="str">
        <f t="shared" si="2"/>
        <v>1421</v>
      </c>
      <c r="D171" s="453" t="s">
        <v>1407</v>
      </c>
      <c r="E171" s="453">
        <v>213</v>
      </c>
      <c r="F171" s="453">
        <v>52</v>
      </c>
      <c r="G171" s="453">
        <v>2018</v>
      </c>
      <c r="H171" s="453" t="s">
        <v>1076</v>
      </c>
      <c r="I171" s="453" t="s">
        <v>1074</v>
      </c>
      <c r="J171" s="453" t="s">
        <v>1453</v>
      </c>
      <c r="K171" s="453">
        <v>1</v>
      </c>
      <c r="L171" s="454">
        <v>42948</v>
      </c>
      <c r="M171" s="455">
        <v>3704350</v>
      </c>
      <c r="N171" s="453" t="s">
        <v>1076</v>
      </c>
      <c r="O171" s="453" t="s">
        <v>2508</v>
      </c>
      <c r="P171" s="453" t="s">
        <v>1846</v>
      </c>
      <c r="Q171" s="453" t="s">
        <v>2510</v>
      </c>
    </row>
    <row r="172" spans="1:17" x14ac:dyDescent="0.25">
      <c r="A172" s="453">
        <v>142</v>
      </c>
      <c r="B172" s="453">
        <v>2</v>
      </c>
      <c r="C172" s="453" t="str">
        <f t="shared" si="2"/>
        <v>1422</v>
      </c>
      <c r="D172" s="453" t="s">
        <v>1407</v>
      </c>
      <c r="E172" s="453">
        <v>213</v>
      </c>
      <c r="F172" s="453">
        <v>53</v>
      </c>
      <c r="G172" s="453">
        <v>2018</v>
      </c>
      <c r="H172" s="453" t="s">
        <v>1076</v>
      </c>
      <c r="I172" s="453" t="s">
        <v>1074</v>
      </c>
      <c r="J172" s="453" t="s">
        <v>1453</v>
      </c>
      <c r="K172" s="453">
        <v>2</v>
      </c>
      <c r="L172" s="454">
        <v>42948</v>
      </c>
      <c r="M172" s="455">
        <v>1071393</v>
      </c>
      <c r="N172" s="453" t="s">
        <v>1076</v>
      </c>
      <c r="O172" s="453" t="s">
        <v>2508</v>
      </c>
      <c r="P172" s="453" t="s">
        <v>1846</v>
      </c>
      <c r="Q172" s="453" t="s">
        <v>2509</v>
      </c>
    </row>
    <row r="173" spans="1:17" x14ac:dyDescent="0.25">
      <c r="A173" s="453">
        <v>143</v>
      </c>
      <c r="B173" s="453">
        <v>1</v>
      </c>
      <c r="C173" s="453" t="str">
        <f t="shared" si="2"/>
        <v>1431</v>
      </c>
      <c r="D173" s="453" t="s">
        <v>1466</v>
      </c>
      <c r="E173" s="453">
        <v>36</v>
      </c>
      <c r="F173" s="453">
        <v>29</v>
      </c>
      <c r="G173" s="453">
        <v>2020</v>
      </c>
      <c r="H173" s="453" t="s">
        <v>1300</v>
      </c>
      <c r="I173" s="453" t="s">
        <v>171</v>
      </c>
      <c r="J173" s="453" t="s">
        <v>1453</v>
      </c>
      <c r="K173" s="453">
        <v>1</v>
      </c>
      <c r="L173" s="454">
        <v>44166</v>
      </c>
      <c r="M173" s="455">
        <v>1511975</v>
      </c>
      <c r="N173" s="453" t="s">
        <v>1300</v>
      </c>
      <c r="O173" s="453" t="s">
        <v>1704</v>
      </c>
      <c r="P173" s="453" t="s">
        <v>1298</v>
      </c>
      <c r="Q173" s="453" t="s">
        <v>3418</v>
      </c>
    </row>
    <row r="174" spans="1:17" x14ac:dyDescent="0.25">
      <c r="A174" s="453">
        <v>143</v>
      </c>
      <c r="B174" s="453">
        <v>2</v>
      </c>
      <c r="C174" s="453" t="str">
        <f t="shared" si="2"/>
        <v>1432</v>
      </c>
      <c r="D174" s="453" t="s">
        <v>1466</v>
      </c>
      <c r="E174" s="453">
        <v>36</v>
      </c>
      <c r="F174" s="453">
        <v>26</v>
      </c>
      <c r="G174" s="453">
        <v>2019</v>
      </c>
      <c r="H174" s="453" t="s">
        <v>1300</v>
      </c>
      <c r="I174" s="453" t="s">
        <v>171</v>
      </c>
      <c r="J174" s="453" t="s">
        <v>1453</v>
      </c>
      <c r="K174" s="453">
        <v>1</v>
      </c>
      <c r="L174" s="454">
        <v>43709</v>
      </c>
      <c r="M174" s="455">
        <v>2083540</v>
      </c>
      <c r="N174" s="453" t="s">
        <v>1300</v>
      </c>
      <c r="O174" s="453" t="s">
        <v>1704</v>
      </c>
      <c r="P174" s="453" t="s">
        <v>1298</v>
      </c>
      <c r="Q174" s="453" t="s">
        <v>3419</v>
      </c>
    </row>
    <row r="175" spans="1:17" x14ac:dyDescent="0.25">
      <c r="A175" s="453">
        <v>143</v>
      </c>
      <c r="B175" s="453">
        <v>3</v>
      </c>
      <c r="C175" s="453" t="str">
        <f t="shared" si="2"/>
        <v>1433</v>
      </c>
      <c r="D175" s="453" t="s">
        <v>1466</v>
      </c>
      <c r="E175" s="453">
        <v>36</v>
      </c>
      <c r="F175" s="453">
        <v>27</v>
      </c>
      <c r="G175" s="453">
        <v>2019</v>
      </c>
      <c r="H175" s="453" t="s">
        <v>1300</v>
      </c>
      <c r="I175" s="453" t="s">
        <v>171</v>
      </c>
      <c r="J175" s="453" t="s">
        <v>1453</v>
      </c>
      <c r="K175" s="453">
        <v>2</v>
      </c>
      <c r="L175" s="454">
        <v>43466</v>
      </c>
      <c r="M175" s="455">
        <v>1460289</v>
      </c>
      <c r="N175" s="453" t="s">
        <v>1300</v>
      </c>
      <c r="O175" s="453" t="s">
        <v>1704</v>
      </c>
      <c r="P175" s="453" t="s">
        <v>1298</v>
      </c>
      <c r="Q175" s="453" t="s">
        <v>3420</v>
      </c>
    </row>
    <row r="176" spans="1:17" x14ac:dyDescent="0.25">
      <c r="A176" s="453">
        <v>143</v>
      </c>
      <c r="B176" s="453">
        <v>4</v>
      </c>
      <c r="C176" s="453" t="str">
        <f t="shared" si="2"/>
        <v>1434</v>
      </c>
      <c r="D176" s="453" t="s">
        <v>1466</v>
      </c>
      <c r="E176" s="453">
        <v>36</v>
      </c>
      <c r="F176" s="453">
        <v>28</v>
      </c>
      <c r="G176" s="453">
        <v>2019</v>
      </c>
      <c r="H176" s="453" t="s">
        <v>1300</v>
      </c>
      <c r="I176" s="453" t="s">
        <v>171</v>
      </c>
      <c r="J176" s="453" t="s">
        <v>1453</v>
      </c>
      <c r="K176" s="453">
        <v>3</v>
      </c>
      <c r="L176" s="454">
        <v>43374</v>
      </c>
      <c r="M176" s="455">
        <v>37500000</v>
      </c>
      <c r="N176" s="453" t="s">
        <v>1300</v>
      </c>
      <c r="O176" s="453" t="s">
        <v>1704</v>
      </c>
      <c r="P176" s="453" t="s">
        <v>1298</v>
      </c>
      <c r="Q176" s="453" t="s">
        <v>3421</v>
      </c>
    </row>
    <row r="177" spans="1:17" x14ac:dyDescent="0.25">
      <c r="A177" s="453">
        <v>143</v>
      </c>
      <c r="B177" s="453">
        <v>5</v>
      </c>
      <c r="C177" s="453" t="str">
        <f t="shared" si="2"/>
        <v>1435</v>
      </c>
      <c r="D177" s="453" t="s">
        <v>1466</v>
      </c>
      <c r="E177" s="453">
        <v>36</v>
      </c>
      <c r="F177" s="453">
        <v>23</v>
      </c>
      <c r="G177" s="453">
        <v>2018</v>
      </c>
      <c r="H177" s="453" t="s">
        <v>1300</v>
      </c>
      <c r="I177" s="453" t="s">
        <v>171</v>
      </c>
      <c r="J177" s="453" t="s">
        <v>1453</v>
      </c>
      <c r="K177" s="453">
        <v>1</v>
      </c>
      <c r="L177" s="454">
        <v>43160</v>
      </c>
      <c r="M177" s="455">
        <v>1320500</v>
      </c>
      <c r="N177" s="453" t="s">
        <v>1300</v>
      </c>
      <c r="O177" s="453" t="s">
        <v>1704</v>
      </c>
      <c r="P177" s="453" t="s">
        <v>1298</v>
      </c>
      <c r="Q177" s="453" t="s">
        <v>2512</v>
      </c>
    </row>
    <row r="178" spans="1:17" x14ac:dyDescent="0.25">
      <c r="A178" s="453">
        <v>143</v>
      </c>
      <c r="B178" s="453">
        <v>6</v>
      </c>
      <c r="C178" s="453" t="str">
        <f t="shared" si="2"/>
        <v>1436</v>
      </c>
      <c r="D178" s="453" t="s">
        <v>1466</v>
      </c>
      <c r="E178" s="453">
        <v>36</v>
      </c>
      <c r="F178" s="453">
        <v>24</v>
      </c>
      <c r="G178" s="453">
        <v>2018</v>
      </c>
      <c r="H178" s="453" t="s">
        <v>1300</v>
      </c>
      <c r="I178" s="453" t="s">
        <v>171</v>
      </c>
      <c r="J178" s="453" t="s">
        <v>1453</v>
      </c>
      <c r="K178" s="453">
        <v>2</v>
      </c>
      <c r="L178" s="454">
        <v>43101</v>
      </c>
      <c r="M178" s="455">
        <v>2500000</v>
      </c>
      <c r="N178" s="453" t="s">
        <v>2348</v>
      </c>
      <c r="O178" s="453" t="s">
        <v>2349</v>
      </c>
      <c r="P178" s="453" t="s">
        <v>1298</v>
      </c>
      <c r="Q178" s="453" t="s">
        <v>2511</v>
      </c>
    </row>
    <row r="179" spans="1:17" x14ac:dyDescent="0.25">
      <c r="A179" s="453">
        <v>145</v>
      </c>
      <c r="B179" s="453">
        <v>1</v>
      </c>
      <c r="C179" s="453" t="str">
        <f t="shared" si="2"/>
        <v>1451</v>
      </c>
      <c r="D179" s="453" t="s">
        <v>958</v>
      </c>
      <c r="E179" s="453">
        <v>46</v>
      </c>
      <c r="F179" s="453">
        <v>411</v>
      </c>
      <c r="G179" s="453">
        <v>2020</v>
      </c>
      <c r="H179" s="453" t="s">
        <v>1992</v>
      </c>
      <c r="I179" s="453" t="s">
        <v>939</v>
      </c>
      <c r="J179" s="453" t="s">
        <v>1453</v>
      </c>
      <c r="K179" s="453">
        <v>1</v>
      </c>
      <c r="L179" s="454">
        <v>43901</v>
      </c>
      <c r="M179" s="455">
        <v>3740000</v>
      </c>
      <c r="N179" s="453" t="s">
        <v>2521</v>
      </c>
      <c r="O179" s="453" t="s">
        <v>1973</v>
      </c>
      <c r="P179" s="453" t="s">
        <v>941</v>
      </c>
      <c r="Q179" s="453" t="s">
        <v>3422</v>
      </c>
    </row>
    <row r="180" spans="1:17" x14ac:dyDescent="0.25">
      <c r="A180" s="453">
        <v>145</v>
      </c>
      <c r="B180" s="453">
        <v>2</v>
      </c>
      <c r="C180" s="453" t="str">
        <f t="shared" si="2"/>
        <v>1452</v>
      </c>
      <c r="D180" s="453" t="s">
        <v>958</v>
      </c>
      <c r="E180" s="453">
        <v>46</v>
      </c>
      <c r="F180" s="453">
        <v>412</v>
      </c>
      <c r="G180" s="453">
        <v>2020</v>
      </c>
      <c r="H180" s="453" t="s">
        <v>1992</v>
      </c>
      <c r="I180" s="453" t="s">
        <v>939</v>
      </c>
      <c r="J180" s="453" t="s">
        <v>1453</v>
      </c>
      <c r="K180" s="453">
        <v>2</v>
      </c>
      <c r="L180" s="454">
        <v>44069</v>
      </c>
      <c r="M180" s="455">
        <v>2650000</v>
      </c>
      <c r="N180" s="453" t="s">
        <v>2521</v>
      </c>
      <c r="O180" s="453" t="s">
        <v>1973</v>
      </c>
      <c r="P180" s="453" t="s">
        <v>941</v>
      </c>
      <c r="Q180" s="453" t="s">
        <v>3423</v>
      </c>
    </row>
    <row r="181" spans="1:17" x14ac:dyDescent="0.25">
      <c r="A181" s="453">
        <v>145</v>
      </c>
      <c r="B181" s="453">
        <v>3</v>
      </c>
      <c r="C181" s="453" t="str">
        <f t="shared" si="2"/>
        <v>1453</v>
      </c>
      <c r="D181" s="453" t="s">
        <v>958</v>
      </c>
      <c r="E181" s="453">
        <v>46</v>
      </c>
      <c r="F181" s="453">
        <v>413</v>
      </c>
      <c r="G181" s="453">
        <v>2020</v>
      </c>
      <c r="H181" s="453" t="s">
        <v>1992</v>
      </c>
      <c r="I181" s="453" t="s">
        <v>939</v>
      </c>
      <c r="J181" s="453" t="s">
        <v>1453</v>
      </c>
      <c r="K181" s="453">
        <v>3</v>
      </c>
      <c r="L181" s="454">
        <v>44118</v>
      </c>
      <c r="M181" s="455">
        <v>3725000</v>
      </c>
      <c r="N181" s="453" t="s">
        <v>2521</v>
      </c>
      <c r="O181" s="453" t="s">
        <v>1973</v>
      </c>
      <c r="P181" s="453" t="s">
        <v>941</v>
      </c>
      <c r="Q181" s="453" t="s">
        <v>3424</v>
      </c>
    </row>
    <row r="182" spans="1:17" x14ac:dyDescent="0.25">
      <c r="A182" s="453">
        <v>145</v>
      </c>
      <c r="B182" s="453">
        <v>4</v>
      </c>
      <c r="C182" s="453" t="str">
        <f t="shared" si="2"/>
        <v>1454</v>
      </c>
      <c r="D182" s="453" t="s">
        <v>958</v>
      </c>
      <c r="E182" s="453">
        <v>46</v>
      </c>
      <c r="F182" s="453">
        <v>414</v>
      </c>
      <c r="G182" s="453">
        <v>2020</v>
      </c>
      <c r="H182" s="453" t="s">
        <v>1992</v>
      </c>
      <c r="I182" s="453" t="s">
        <v>939</v>
      </c>
      <c r="J182" s="453" t="s">
        <v>1453</v>
      </c>
      <c r="K182" s="453">
        <v>4</v>
      </c>
      <c r="L182" s="454">
        <v>43862</v>
      </c>
      <c r="M182" s="455">
        <v>28500000</v>
      </c>
      <c r="N182" s="453" t="s">
        <v>3425</v>
      </c>
      <c r="O182" s="453" t="s">
        <v>1972</v>
      </c>
      <c r="P182" s="453" t="s">
        <v>941</v>
      </c>
      <c r="Q182" s="453" t="s">
        <v>3426</v>
      </c>
    </row>
    <row r="183" spans="1:17" x14ac:dyDescent="0.25">
      <c r="A183" s="453">
        <v>145</v>
      </c>
      <c r="B183" s="453">
        <v>5</v>
      </c>
      <c r="C183" s="453" t="str">
        <f t="shared" si="2"/>
        <v>1455</v>
      </c>
      <c r="D183" s="453" t="s">
        <v>958</v>
      </c>
      <c r="E183" s="453">
        <v>46</v>
      </c>
      <c r="F183" s="453">
        <v>415</v>
      </c>
      <c r="G183" s="453">
        <v>2020</v>
      </c>
      <c r="H183" s="453" t="s">
        <v>1992</v>
      </c>
      <c r="I183" s="453" t="s">
        <v>939</v>
      </c>
      <c r="J183" s="453" t="s">
        <v>1453</v>
      </c>
      <c r="K183" s="453">
        <v>5</v>
      </c>
      <c r="L183" s="454">
        <v>44181</v>
      </c>
      <c r="M183" s="455">
        <v>3200000</v>
      </c>
      <c r="N183" s="453" t="s">
        <v>3425</v>
      </c>
      <c r="O183" s="453" t="s">
        <v>1972</v>
      </c>
      <c r="P183" s="453" t="s">
        <v>941</v>
      </c>
      <c r="Q183" s="453" t="s">
        <v>3427</v>
      </c>
    </row>
    <row r="184" spans="1:17" x14ac:dyDescent="0.25">
      <c r="A184" s="453">
        <v>145</v>
      </c>
      <c r="B184" s="453">
        <v>6</v>
      </c>
      <c r="C184" s="453" t="str">
        <f t="shared" si="2"/>
        <v>1456</v>
      </c>
      <c r="D184" s="453" t="s">
        <v>958</v>
      </c>
      <c r="E184" s="453">
        <v>46</v>
      </c>
      <c r="F184" s="453">
        <v>416</v>
      </c>
      <c r="G184" s="453">
        <v>2020</v>
      </c>
      <c r="H184" s="453" t="s">
        <v>1992</v>
      </c>
      <c r="I184" s="453" t="s">
        <v>939</v>
      </c>
      <c r="J184" s="453" t="s">
        <v>1453</v>
      </c>
      <c r="K184" s="453">
        <v>6</v>
      </c>
      <c r="L184" s="454">
        <v>44120</v>
      </c>
      <c r="M184" s="455">
        <v>2830887</v>
      </c>
      <c r="N184" s="453" t="s">
        <v>3425</v>
      </c>
      <c r="O184" s="453" t="s">
        <v>1972</v>
      </c>
      <c r="P184" s="453" t="s">
        <v>941</v>
      </c>
      <c r="Q184" s="453" t="s">
        <v>3428</v>
      </c>
    </row>
    <row r="185" spans="1:17" x14ac:dyDescent="0.25">
      <c r="A185" s="453">
        <v>145</v>
      </c>
      <c r="B185" s="453">
        <v>7</v>
      </c>
      <c r="C185" s="453" t="str">
        <f t="shared" si="2"/>
        <v>1457</v>
      </c>
      <c r="D185" s="453" t="s">
        <v>958</v>
      </c>
      <c r="E185" s="453">
        <v>46</v>
      </c>
      <c r="F185" s="453">
        <v>401</v>
      </c>
      <c r="G185" s="453">
        <v>2019</v>
      </c>
      <c r="H185" s="453" t="s">
        <v>1992</v>
      </c>
      <c r="I185" s="453" t="s">
        <v>939</v>
      </c>
      <c r="J185" s="453" t="s">
        <v>1453</v>
      </c>
      <c r="K185" s="453">
        <v>1</v>
      </c>
      <c r="L185" s="454">
        <v>43705</v>
      </c>
      <c r="M185" s="455">
        <v>4300000</v>
      </c>
      <c r="N185" s="453" t="s">
        <v>3429</v>
      </c>
      <c r="O185" s="453" t="s">
        <v>1973</v>
      </c>
      <c r="P185" s="453" t="s">
        <v>941</v>
      </c>
      <c r="Q185" s="453" t="s">
        <v>3430</v>
      </c>
    </row>
    <row r="186" spans="1:17" x14ac:dyDescent="0.25">
      <c r="A186" s="453">
        <v>145</v>
      </c>
      <c r="B186" s="453">
        <v>8</v>
      </c>
      <c r="C186" s="453" t="str">
        <f t="shared" si="2"/>
        <v>1458</v>
      </c>
      <c r="D186" s="453" t="s">
        <v>958</v>
      </c>
      <c r="E186" s="453">
        <v>46</v>
      </c>
      <c r="F186" s="453">
        <v>402</v>
      </c>
      <c r="G186" s="453">
        <v>2019</v>
      </c>
      <c r="H186" s="453" t="s">
        <v>1992</v>
      </c>
      <c r="I186" s="453" t="s">
        <v>939</v>
      </c>
      <c r="J186" s="453" t="s">
        <v>1453</v>
      </c>
      <c r="K186" s="453">
        <v>2</v>
      </c>
      <c r="L186" s="454">
        <v>43740</v>
      </c>
      <c r="M186" s="455">
        <v>1950000</v>
      </c>
      <c r="N186" s="453" t="s">
        <v>2521</v>
      </c>
      <c r="O186" s="453" t="s">
        <v>1973</v>
      </c>
      <c r="P186" s="453" t="s">
        <v>941</v>
      </c>
      <c r="Q186" s="453" t="s">
        <v>3431</v>
      </c>
    </row>
    <row r="187" spans="1:17" x14ac:dyDescent="0.25">
      <c r="A187" s="453">
        <v>145</v>
      </c>
      <c r="B187" s="453">
        <v>9</v>
      </c>
      <c r="C187" s="453" t="str">
        <f t="shared" si="2"/>
        <v>1459</v>
      </c>
      <c r="D187" s="453" t="s">
        <v>958</v>
      </c>
      <c r="E187" s="453">
        <v>46</v>
      </c>
      <c r="F187" s="453">
        <v>403</v>
      </c>
      <c r="G187" s="453">
        <v>2019</v>
      </c>
      <c r="H187" s="453" t="s">
        <v>1992</v>
      </c>
      <c r="I187" s="453" t="s">
        <v>939</v>
      </c>
      <c r="J187" s="453" t="s">
        <v>1453</v>
      </c>
      <c r="K187" s="453">
        <v>3</v>
      </c>
      <c r="L187" s="454">
        <v>43803</v>
      </c>
      <c r="M187" s="455">
        <v>3960000</v>
      </c>
      <c r="N187" s="453" t="s">
        <v>2521</v>
      </c>
      <c r="O187" s="453" t="s">
        <v>1973</v>
      </c>
      <c r="P187" s="453" t="s">
        <v>941</v>
      </c>
      <c r="Q187" s="453" t="s">
        <v>3432</v>
      </c>
    </row>
    <row r="188" spans="1:17" x14ac:dyDescent="0.25">
      <c r="A188" s="453">
        <v>145</v>
      </c>
      <c r="B188" s="453">
        <v>10</v>
      </c>
      <c r="C188" s="453" t="str">
        <f t="shared" si="2"/>
        <v>14510</v>
      </c>
      <c r="D188" s="453" t="s">
        <v>958</v>
      </c>
      <c r="E188" s="453">
        <v>46</v>
      </c>
      <c r="F188" s="453">
        <v>404</v>
      </c>
      <c r="G188" s="453">
        <v>2019</v>
      </c>
      <c r="H188" s="453" t="s">
        <v>1992</v>
      </c>
      <c r="I188" s="453" t="s">
        <v>939</v>
      </c>
      <c r="J188" s="453" t="s">
        <v>1453</v>
      </c>
      <c r="K188" s="453">
        <v>4</v>
      </c>
      <c r="L188" s="454">
        <v>43587</v>
      </c>
      <c r="M188" s="455">
        <v>1864355</v>
      </c>
      <c r="N188" s="453" t="s">
        <v>2521</v>
      </c>
      <c r="O188" s="453" t="s">
        <v>1973</v>
      </c>
      <c r="P188" s="453" t="s">
        <v>941</v>
      </c>
      <c r="Q188" s="453" t="s">
        <v>3433</v>
      </c>
    </row>
    <row r="189" spans="1:17" x14ac:dyDescent="0.25">
      <c r="A189" s="453">
        <v>145</v>
      </c>
      <c r="B189" s="453">
        <v>11</v>
      </c>
      <c r="C189" s="453" t="str">
        <f t="shared" si="2"/>
        <v>14511</v>
      </c>
      <c r="D189" s="453" t="s">
        <v>958</v>
      </c>
      <c r="E189" s="453">
        <v>46</v>
      </c>
      <c r="F189" s="453">
        <v>405</v>
      </c>
      <c r="G189" s="453">
        <v>2019</v>
      </c>
      <c r="H189" s="453" t="s">
        <v>1992</v>
      </c>
      <c r="I189" s="453" t="s">
        <v>939</v>
      </c>
      <c r="J189" s="453" t="s">
        <v>1453</v>
      </c>
      <c r="K189" s="453">
        <v>5</v>
      </c>
      <c r="L189" s="454">
        <v>43531</v>
      </c>
      <c r="M189" s="455">
        <v>3719746</v>
      </c>
      <c r="N189" s="453" t="s">
        <v>2521</v>
      </c>
      <c r="O189" s="453" t="s">
        <v>1973</v>
      </c>
      <c r="P189" s="453" t="s">
        <v>941</v>
      </c>
      <c r="Q189" s="453" t="s">
        <v>3434</v>
      </c>
    </row>
    <row r="190" spans="1:17" x14ac:dyDescent="0.25">
      <c r="A190" s="453">
        <v>145</v>
      </c>
      <c r="B190" s="453">
        <v>12</v>
      </c>
      <c r="C190" s="453" t="str">
        <f t="shared" si="2"/>
        <v>14512</v>
      </c>
      <c r="D190" s="453" t="s">
        <v>958</v>
      </c>
      <c r="E190" s="453">
        <v>46</v>
      </c>
      <c r="F190" s="453">
        <v>387</v>
      </c>
      <c r="G190" s="453">
        <v>2018</v>
      </c>
      <c r="H190" s="453" t="s">
        <v>1992</v>
      </c>
      <c r="I190" s="453" t="s">
        <v>939</v>
      </c>
      <c r="J190" s="453" t="s">
        <v>1453</v>
      </c>
      <c r="K190" s="453">
        <v>1</v>
      </c>
      <c r="L190" s="454">
        <v>43173</v>
      </c>
      <c r="M190" s="455">
        <v>1405000</v>
      </c>
      <c r="N190" s="453" t="s">
        <v>2521</v>
      </c>
      <c r="O190" s="453" t="s">
        <v>2522</v>
      </c>
      <c r="P190" s="453" t="s">
        <v>941</v>
      </c>
      <c r="Q190" s="453" t="s">
        <v>2523</v>
      </c>
    </row>
    <row r="191" spans="1:17" x14ac:dyDescent="0.25">
      <c r="A191" s="453">
        <v>145</v>
      </c>
      <c r="B191" s="453">
        <v>13</v>
      </c>
      <c r="C191" s="453" t="str">
        <f t="shared" si="2"/>
        <v>14513</v>
      </c>
      <c r="D191" s="453" t="s">
        <v>958</v>
      </c>
      <c r="E191" s="453">
        <v>46</v>
      </c>
      <c r="F191" s="453">
        <v>388</v>
      </c>
      <c r="G191" s="453">
        <v>2018</v>
      </c>
      <c r="H191" s="453" t="s">
        <v>1992</v>
      </c>
      <c r="I191" s="453" t="s">
        <v>939</v>
      </c>
      <c r="J191" s="453" t="s">
        <v>1453</v>
      </c>
      <c r="K191" s="453">
        <v>2</v>
      </c>
      <c r="L191" s="454">
        <v>43218</v>
      </c>
      <c r="M191" s="455">
        <v>3372180</v>
      </c>
      <c r="N191" s="453" t="s">
        <v>2519</v>
      </c>
      <c r="O191" s="453" t="s">
        <v>2514</v>
      </c>
      <c r="P191" s="453" t="s">
        <v>941</v>
      </c>
      <c r="Q191" s="453" t="s">
        <v>2520</v>
      </c>
    </row>
    <row r="192" spans="1:17" x14ac:dyDescent="0.25">
      <c r="A192" s="453">
        <v>145</v>
      </c>
      <c r="B192" s="453">
        <v>14</v>
      </c>
      <c r="C192" s="453" t="str">
        <f t="shared" si="2"/>
        <v>14514</v>
      </c>
      <c r="D192" s="453" t="s">
        <v>958</v>
      </c>
      <c r="E192" s="453">
        <v>46</v>
      </c>
      <c r="F192" s="453">
        <v>389</v>
      </c>
      <c r="G192" s="453">
        <v>2018</v>
      </c>
      <c r="H192" s="453" t="s">
        <v>1992</v>
      </c>
      <c r="I192" s="453" t="s">
        <v>939</v>
      </c>
      <c r="J192" s="453" t="s">
        <v>1453</v>
      </c>
      <c r="K192" s="453">
        <v>3</v>
      </c>
      <c r="L192" s="454">
        <v>43431</v>
      </c>
      <c r="M192" s="455">
        <v>1180525</v>
      </c>
      <c r="N192" s="453" t="s">
        <v>2516</v>
      </c>
      <c r="O192" s="453" t="s">
        <v>2517</v>
      </c>
      <c r="P192" s="453" t="s">
        <v>941</v>
      </c>
      <c r="Q192" s="453" t="s">
        <v>2518</v>
      </c>
    </row>
    <row r="193" spans="1:17" x14ac:dyDescent="0.25">
      <c r="A193" s="453">
        <v>145</v>
      </c>
      <c r="B193" s="453">
        <v>15</v>
      </c>
      <c r="C193" s="453" t="str">
        <f t="shared" si="2"/>
        <v>14515</v>
      </c>
      <c r="D193" s="453" t="s">
        <v>958</v>
      </c>
      <c r="E193" s="453">
        <v>46</v>
      </c>
      <c r="F193" s="453">
        <v>390</v>
      </c>
      <c r="G193" s="453">
        <v>2018</v>
      </c>
      <c r="H193" s="453" t="s">
        <v>1992</v>
      </c>
      <c r="I193" s="453" t="s">
        <v>939</v>
      </c>
      <c r="J193" s="453" t="s">
        <v>1453</v>
      </c>
      <c r="K193" s="453">
        <v>4</v>
      </c>
      <c r="L193" s="454">
        <v>43431</v>
      </c>
      <c r="M193" s="455">
        <v>2266674</v>
      </c>
      <c r="N193" s="453" t="s">
        <v>2513</v>
      </c>
      <c r="O193" s="453" t="s">
        <v>2514</v>
      </c>
      <c r="P193" s="453" t="s">
        <v>941</v>
      </c>
      <c r="Q193" s="453" t="s">
        <v>2515</v>
      </c>
    </row>
    <row r="194" spans="1:17" x14ac:dyDescent="0.25">
      <c r="A194" s="453">
        <v>147</v>
      </c>
      <c r="B194" s="453">
        <v>1</v>
      </c>
      <c r="C194" s="453" t="str">
        <f t="shared" si="2"/>
        <v>1471</v>
      </c>
      <c r="D194" s="453" t="s">
        <v>1407</v>
      </c>
      <c r="E194" s="453">
        <v>213</v>
      </c>
      <c r="F194" s="453">
        <v>62</v>
      </c>
      <c r="G194" s="453">
        <v>2019</v>
      </c>
      <c r="H194" s="453" t="s">
        <v>3180</v>
      </c>
      <c r="I194" s="453" t="s">
        <v>172</v>
      </c>
      <c r="J194" s="453" t="s">
        <v>1453</v>
      </c>
      <c r="K194" s="453">
        <v>1</v>
      </c>
      <c r="L194" s="454">
        <v>43495</v>
      </c>
      <c r="M194" s="455">
        <v>2330000</v>
      </c>
      <c r="N194" s="453" t="s">
        <v>3435</v>
      </c>
      <c r="O194" s="453" t="s">
        <v>2093</v>
      </c>
      <c r="P194" s="453" t="s">
        <v>2094</v>
      </c>
      <c r="Q194" s="453" t="s">
        <v>3436</v>
      </c>
    </row>
    <row r="195" spans="1:17" x14ac:dyDescent="0.25">
      <c r="A195" s="453">
        <v>147</v>
      </c>
      <c r="B195" s="453">
        <v>2</v>
      </c>
      <c r="C195" s="453" t="str">
        <f t="shared" si="2"/>
        <v>1472</v>
      </c>
      <c r="D195" s="453" t="s">
        <v>1407</v>
      </c>
      <c r="E195" s="453">
        <v>213</v>
      </c>
      <c r="F195" s="453">
        <v>63</v>
      </c>
      <c r="G195" s="453">
        <v>2019</v>
      </c>
      <c r="H195" s="453" t="s">
        <v>3180</v>
      </c>
      <c r="I195" s="453" t="s">
        <v>172</v>
      </c>
      <c r="J195" s="453" t="s">
        <v>1453</v>
      </c>
      <c r="K195" s="453">
        <v>2</v>
      </c>
      <c r="L195" s="454">
        <v>43495</v>
      </c>
      <c r="M195" s="455">
        <v>1514000</v>
      </c>
      <c r="N195" s="453" t="s">
        <v>3435</v>
      </c>
      <c r="O195" s="453" t="s">
        <v>2093</v>
      </c>
      <c r="P195" s="453" t="s">
        <v>2094</v>
      </c>
      <c r="Q195" s="453" t="s">
        <v>3437</v>
      </c>
    </row>
    <row r="196" spans="1:17" x14ac:dyDescent="0.25">
      <c r="A196" s="453">
        <v>148</v>
      </c>
      <c r="B196" s="453">
        <v>1</v>
      </c>
      <c r="C196" s="453" t="str">
        <f t="shared" ref="C196:C259" si="3">CONCATENATE(A196,B196)</f>
        <v>1481</v>
      </c>
      <c r="D196" s="453" t="s">
        <v>1407</v>
      </c>
      <c r="E196" s="453">
        <v>213</v>
      </c>
      <c r="F196" s="453">
        <v>71</v>
      </c>
      <c r="G196" s="453">
        <v>2020</v>
      </c>
      <c r="H196" s="453" t="s">
        <v>174</v>
      </c>
      <c r="I196" s="453" t="s">
        <v>171</v>
      </c>
      <c r="J196" s="453" t="s">
        <v>1453</v>
      </c>
      <c r="K196" s="453">
        <v>1</v>
      </c>
      <c r="L196" s="454">
        <v>43769</v>
      </c>
      <c r="M196" s="455">
        <v>1560000</v>
      </c>
      <c r="N196" s="453" t="s">
        <v>174</v>
      </c>
      <c r="O196" s="453" t="s">
        <v>3184</v>
      </c>
      <c r="P196" s="453" t="s">
        <v>1298</v>
      </c>
      <c r="Q196" s="453" t="s">
        <v>3438</v>
      </c>
    </row>
    <row r="197" spans="1:17" x14ac:dyDescent="0.25">
      <c r="A197" s="453">
        <v>148</v>
      </c>
      <c r="B197" s="453">
        <v>2</v>
      </c>
      <c r="C197" s="453" t="str">
        <f t="shared" si="3"/>
        <v>1482</v>
      </c>
      <c r="D197" s="453" t="s">
        <v>1407</v>
      </c>
      <c r="E197" s="453">
        <v>213</v>
      </c>
      <c r="F197" s="453">
        <v>72</v>
      </c>
      <c r="G197" s="453">
        <v>2020</v>
      </c>
      <c r="H197" s="453" t="s">
        <v>174</v>
      </c>
      <c r="I197" s="453" t="s">
        <v>171</v>
      </c>
      <c r="J197" s="453" t="s">
        <v>1453</v>
      </c>
      <c r="K197" s="453">
        <v>2</v>
      </c>
      <c r="L197" s="454">
        <v>43769</v>
      </c>
      <c r="M197" s="455">
        <v>1360000</v>
      </c>
      <c r="N197" s="453" t="s">
        <v>174</v>
      </c>
      <c r="O197" s="453" t="s">
        <v>3184</v>
      </c>
      <c r="P197" s="453" t="s">
        <v>1298</v>
      </c>
      <c r="Q197" s="453" t="s">
        <v>3439</v>
      </c>
    </row>
    <row r="198" spans="1:17" x14ac:dyDescent="0.25">
      <c r="A198" s="453">
        <v>148</v>
      </c>
      <c r="B198" s="453">
        <v>3</v>
      </c>
      <c r="C198" s="453" t="str">
        <f t="shared" si="3"/>
        <v>1483</v>
      </c>
      <c r="D198" s="453" t="s">
        <v>1407</v>
      </c>
      <c r="E198" s="453">
        <v>213</v>
      </c>
      <c r="F198" s="453">
        <v>73</v>
      </c>
      <c r="G198" s="453">
        <v>2020</v>
      </c>
      <c r="H198" s="453" t="s">
        <v>174</v>
      </c>
      <c r="I198" s="453" t="s">
        <v>171</v>
      </c>
      <c r="J198" s="453" t="s">
        <v>1453</v>
      </c>
      <c r="K198" s="453">
        <v>3</v>
      </c>
      <c r="L198" s="454">
        <v>43985</v>
      </c>
      <c r="M198" s="455">
        <v>1015000</v>
      </c>
      <c r="N198" s="453" t="s">
        <v>174</v>
      </c>
      <c r="O198" s="453" t="s">
        <v>3184</v>
      </c>
      <c r="P198" s="453" t="s">
        <v>1298</v>
      </c>
      <c r="Q198" s="453" t="s">
        <v>3440</v>
      </c>
    </row>
    <row r="199" spans="1:17" x14ac:dyDescent="0.25">
      <c r="A199" s="453">
        <v>148</v>
      </c>
      <c r="B199" s="453">
        <v>4</v>
      </c>
      <c r="C199" s="453" t="str">
        <f t="shared" si="3"/>
        <v>1484</v>
      </c>
      <c r="D199" s="453" t="s">
        <v>1407</v>
      </c>
      <c r="E199" s="453">
        <v>213</v>
      </c>
      <c r="F199" s="453">
        <v>64</v>
      </c>
      <c r="G199" s="453">
        <v>2019</v>
      </c>
      <c r="H199" s="453" t="s">
        <v>174</v>
      </c>
      <c r="I199" s="453" t="s">
        <v>171</v>
      </c>
      <c r="J199" s="453" t="s">
        <v>1453</v>
      </c>
      <c r="K199" s="453">
        <v>1</v>
      </c>
      <c r="L199" s="454">
        <v>43532</v>
      </c>
      <c r="M199" s="455">
        <v>1988362</v>
      </c>
      <c r="N199" s="453" t="s">
        <v>174</v>
      </c>
      <c r="O199" s="453" t="s">
        <v>3184</v>
      </c>
      <c r="P199" s="453" t="s">
        <v>1298</v>
      </c>
      <c r="Q199" s="453" t="s">
        <v>3441</v>
      </c>
    </row>
    <row r="200" spans="1:17" x14ac:dyDescent="0.25">
      <c r="A200" s="453">
        <v>148</v>
      </c>
      <c r="B200" s="453">
        <v>5</v>
      </c>
      <c r="C200" s="453" t="str">
        <f t="shared" si="3"/>
        <v>1485</v>
      </c>
      <c r="D200" s="453" t="s">
        <v>1407</v>
      </c>
      <c r="E200" s="453">
        <v>213</v>
      </c>
      <c r="F200" s="453">
        <v>65</v>
      </c>
      <c r="G200" s="453">
        <v>2019</v>
      </c>
      <c r="H200" s="453" t="s">
        <v>174</v>
      </c>
      <c r="I200" s="453" t="s">
        <v>171</v>
      </c>
      <c r="J200" s="453" t="s">
        <v>1453</v>
      </c>
      <c r="K200" s="453">
        <v>2</v>
      </c>
      <c r="L200" s="454">
        <v>43313</v>
      </c>
      <c r="M200" s="455">
        <v>1370000</v>
      </c>
      <c r="N200" s="453" t="s">
        <v>174</v>
      </c>
      <c r="O200" s="453" t="s">
        <v>3184</v>
      </c>
      <c r="P200" s="453" t="s">
        <v>1298</v>
      </c>
      <c r="Q200" s="453" t="s">
        <v>3442</v>
      </c>
    </row>
    <row r="201" spans="1:17" x14ac:dyDescent="0.25">
      <c r="A201" s="453">
        <v>148</v>
      </c>
      <c r="B201" s="453">
        <v>6</v>
      </c>
      <c r="C201" s="453" t="str">
        <f t="shared" si="3"/>
        <v>1486</v>
      </c>
      <c r="D201" s="453" t="s">
        <v>1407</v>
      </c>
      <c r="E201" s="453">
        <v>213</v>
      </c>
      <c r="F201" s="453">
        <v>54</v>
      </c>
      <c r="G201" s="453">
        <v>2018</v>
      </c>
      <c r="H201" s="453" t="s">
        <v>174</v>
      </c>
      <c r="I201" s="453" t="s">
        <v>171</v>
      </c>
      <c r="J201" s="453" t="s">
        <v>1453</v>
      </c>
      <c r="K201" s="453">
        <v>1</v>
      </c>
      <c r="L201" s="454">
        <v>42977</v>
      </c>
      <c r="M201" s="455">
        <v>2100000</v>
      </c>
      <c r="N201" s="453" t="s">
        <v>174</v>
      </c>
      <c r="O201" s="453" t="s">
        <v>2524</v>
      </c>
      <c r="P201" s="453" t="s">
        <v>1298</v>
      </c>
      <c r="Q201" s="453" t="s">
        <v>2526</v>
      </c>
    </row>
    <row r="202" spans="1:17" x14ac:dyDescent="0.25">
      <c r="A202" s="453">
        <v>148</v>
      </c>
      <c r="B202" s="453">
        <v>7</v>
      </c>
      <c r="C202" s="453" t="str">
        <f t="shared" si="3"/>
        <v>1487</v>
      </c>
      <c r="D202" s="453" t="s">
        <v>1407</v>
      </c>
      <c r="E202" s="453">
        <v>213</v>
      </c>
      <c r="F202" s="453">
        <v>55</v>
      </c>
      <c r="G202" s="453">
        <v>2018</v>
      </c>
      <c r="H202" s="453" t="s">
        <v>174</v>
      </c>
      <c r="I202" s="453" t="s">
        <v>171</v>
      </c>
      <c r="J202" s="453" t="s">
        <v>1453</v>
      </c>
      <c r="K202" s="453">
        <v>2</v>
      </c>
      <c r="L202" s="454">
        <v>43075</v>
      </c>
      <c r="M202" s="455">
        <v>1310623</v>
      </c>
      <c r="N202" s="453" t="s">
        <v>174</v>
      </c>
      <c r="O202" s="453" t="s">
        <v>2524</v>
      </c>
      <c r="P202" s="453" t="s">
        <v>1298</v>
      </c>
      <c r="Q202" s="453" t="s">
        <v>2525</v>
      </c>
    </row>
    <row r="203" spans="1:17" x14ac:dyDescent="0.25">
      <c r="A203" s="453">
        <v>151</v>
      </c>
      <c r="B203" s="453">
        <v>1</v>
      </c>
      <c r="C203" s="453" t="str">
        <f t="shared" si="3"/>
        <v>1511</v>
      </c>
      <c r="D203" s="453" t="s">
        <v>1970</v>
      </c>
      <c r="E203" s="453">
        <v>48</v>
      </c>
      <c r="F203" s="453">
        <v>116</v>
      </c>
      <c r="G203" s="453">
        <v>2020</v>
      </c>
      <c r="H203" s="453" t="s">
        <v>698</v>
      </c>
      <c r="I203" s="453" t="s">
        <v>360</v>
      </c>
      <c r="J203" s="453" t="s">
        <v>1453</v>
      </c>
      <c r="K203" s="453">
        <v>1</v>
      </c>
      <c r="L203" s="454">
        <v>43886</v>
      </c>
      <c r="M203" s="455">
        <v>8000000</v>
      </c>
      <c r="N203" s="453" t="s">
        <v>3443</v>
      </c>
      <c r="O203" s="453" t="s">
        <v>2527</v>
      </c>
      <c r="P203" s="453" t="s">
        <v>2307</v>
      </c>
      <c r="Q203" s="453" t="s">
        <v>3444</v>
      </c>
    </row>
    <row r="204" spans="1:17" x14ac:dyDescent="0.25">
      <c r="A204" s="453">
        <v>151</v>
      </c>
      <c r="B204" s="453">
        <v>2</v>
      </c>
      <c r="C204" s="453" t="str">
        <f t="shared" si="3"/>
        <v>1512</v>
      </c>
      <c r="D204" s="453" t="s">
        <v>1970</v>
      </c>
      <c r="E204" s="453">
        <v>48</v>
      </c>
      <c r="F204" s="453">
        <v>117</v>
      </c>
      <c r="G204" s="453">
        <v>2020</v>
      </c>
      <c r="H204" s="453" t="s">
        <v>698</v>
      </c>
      <c r="I204" s="453" t="s">
        <v>360</v>
      </c>
      <c r="J204" s="453" t="s">
        <v>1453</v>
      </c>
      <c r="K204" s="453">
        <v>2</v>
      </c>
      <c r="L204" s="454">
        <v>44167</v>
      </c>
      <c r="M204" s="455">
        <v>3043759</v>
      </c>
      <c r="N204" s="453" t="s">
        <v>3445</v>
      </c>
      <c r="O204" s="453" t="s">
        <v>2338</v>
      </c>
      <c r="P204" s="453" t="s">
        <v>2307</v>
      </c>
      <c r="Q204" s="453" t="s">
        <v>3446</v>
      </c>
    </row>
    <row r="205" spans="1:17" x14ac:dyDescent="0.25">
      <c r="A205" s="453">
        <v>151</v>
      </c>
      <c r="B205" s="453">
        <v>3</v>
      </c>
      <c r="C205" s="453" t="str">
        <f t="shared" si="3"/>
        <v>1513</v>
      </c>
      <c r="D205" s="453" t="s">
        <v>1970</v>
      </c>
      <c r="E205" s="453">
        <v>48</v>
      </c>
      <c r="F205" s="453">
        <v>118</v>
      </c>
      <c r="G205" s="453">
        <v>2020</v>
      </c>
      <c r="H205" s="453" t="s">
        <v>698</v>
      </c>
      <c r="I205" s="453" t="s">
        <v>360</v>
      </c>
      <c r="J205" s="453" t="s">
        <v>1453</v>
      </c>
      <c r="K205" s="453">
        <v>3</v>
      </c>
      <c r="L205" s="454">
        <v>44167</v>
      </c>
      <c r="M205" s="455">
        <v>14300000</v>
      </c>
      <c r="N205" s="453" t="s">
        <v>3447</v>
      </c>
      <c r="O205" s="453" t="s">
        <v>2337</v>
      </c>
      <c r="P205" s="453" t="s">
        <v>2307</v>
      </c>
      <c r="Q205" s="453" t="s">
        <v>3448</v>
      </c>
    </row>
    <row r="206" spans="1:17" x14ac:dyDescent="0.25">
      <c r="A206" s="453">
        <v>151</v>
      </c>
      <c r="B206" s="453">
        <v>4</v>
      </c>
      <c r="C206" s="453" t="str">
        <f t="shared" si="3"/>
        <v>1514</v>
      </c>
      <c r="D206" s="453" t="s">
        <v>1970</v>
      </c>
      <c r="E206" s="453">
        <v>48</v>
      </c>
      <c r="F206" s="453">
        <v>106</v>
      </c>
      <c r="G206" s="453">
        <v>2019</v>
      </c>
      <c r="H206" s="453" t="s">
        <v>698</v>
      </c>
      <c r="I206" s="453" t="s">
        <v>360</v>
      </c>
      <c r="J206" s="453" t="s">
        <v>1453</v>
      </c>
      <c r="K206" s="453">
        <v>1</v>
      </c>
      <c r="L206" s="454">
        <v>43525</v>
      </c>
      <c r="M206" s="455">
        <v>3211606</v>
      </c>
      <c r="N206" s="453" t="s">
        <v>698</v>
      </c>
      <c r="O206" s="453" t="s">
        <v>3449</v>
      </c>
      <c r="P206" s="453" t="s">
        <v>2528</v>
      </c>
      <c r="Q206" s="453" t="s">
        <v>3450</v>
      </c>
    </row>
    <row r="207" spans="1:17" x14ac:dyDescent="0.25">
      <c r="A207" s="453">
        <v>151</v>
      </c>
      <c r="B207" s="453">
        <v>5</v>
      </c>
      <c r="C207" s="453" t="str">
        <f t="shared" si="3"/>
        <v>1515</v>
      </c>
      <c r="D207" s="453" t="s">
        <v>1970</v>
      </c>
      <c r="E207" s="453">
        <v>48</v>
      </c>
      <c r="F207" s="453">
        <v>107</v>
      </c>
      <c r="G207" s="453">
        <v>2019</v>
      </c>
      <c r="H207" s="453" t="s">
        <v>698</v>
      </c>
      <c r="I207" s="453" t="s">
        <v>360</v>
      </c>
      <c r="J207" s="453" t="s">
        <v>1453</v>
      </c>
      <c r="K207" s="453">
        <v>2</v>
      </c>
      <c r="L207" s="454">
        <v>43770</v>
      </c>
      <c r="M207" s="455">
        <v>4213557</v>
      </c>
      <c r="N207" s="453" t="s">
        <v>698</v>
      </c>
      <c r="O207" s="453" t="s">
        <v>3449</v>
      </c>
      <c r="P207" s="453" t="s">
        <v>2528</v>
      </c>
      <c r="Q207" s="453" t="s">
        <v>3451</v>
      </c>
    </row>
    <row r="208" spans="1:17" x14ac:dyDescent="0.25">
      <c r="A208" s="453">
        <v>151</v>
      </c>
      <c r="B208" s="453">
        <v>6</v>
      </c>
      <c r="C208" s="453" t="str">
        <f t="shared" si="3"/>
        <v>1516</v>
      </c>
      <c r="D208" s="453" t="s">
        <v>1970</v>
      </c>
      <c r="E208" s="453">
        <v>48</v>
      </c>
      <c r="F208" s="453">
        <v>108</v>
      </c>
      <c r="G208" s="453">
        <v>2019</v>
      </c>
      <c r="H208" s="453" t="s">
        <v>698</v>
      </c>
      <c r="I208" s="453" t="s">
        <v>360</v>
      </c>
      <c r="J208" s="453" t="s">
        <v>1453</v>
      </c>
      <c r="K208" s="453">
        <v>3</v>
      </c>
      <c r="L208" s="454">
        <v>43800</v>
      </c>
      <c r="M208" s="455">
        <v>2659419</v>
      </c>
      <c r="N208" s="453" t="s">
        <v>698</v>
      </c>
      <c r="O208" s="453" t="s">
        <v>3449</v>
      </c>
      <c r="P208" s="453" t="s">
        <v>2528</v>
      </c>
      <c r="Q208" s="453" t="s">
        <v>3452</v>
      </c>
    </row>
    <row r="209" spans="1:17" x14ac:dyDescent="0.25">
      <c r="A209" s="453">
        <v>151</v>
      </c>
      <c r="B209" s="453">
        <v>7</v>
      </c>
      <c r="C209" s="453" t="str">
        <f t="shared" si="3"/>
        <v>1517</v>
      </c>
      <c r="D209" s="453" t="s">
        <v>1970</v>
      </c>
      <c r="E209" s="453">
        <v>48</v>
      </c>
      <c r="F209" s="453">
        <v>109</v>
      </c>
      <c r="G209" s="453">
        <v>2019</v>
      </c>
      <c r="H209" s="453" t="s">
        <v>698</v>
      </c>
      <c r="I209" s="453" t="s">
        <v>360</v>
      </c>
      <c r="J209" s="453" t="s">
        <v>1453</v>
      </c>
      <c r="K209" s="453">
        <v>4</v>
      </c>
      <c r="L209" s="454">
        <v>43497</v>
      </c>
      <c r="M209" s="455">
        <v>2373000</v>
      </c>
      <c r="N209" s="453" t="s">
        <v>698</v>
      </c>
      <c r="O209" s="453" t="s">
        <v>3449</v>
      </c>
      <c r="P209" s="453" t="s">
        <v>2528</v>
      </c>
      <c r="Q209" s="453" t="s">
        <v>3453</v>
      </c>
    </row>
    <row r="210" spans="1:17" x14ac:dyDescent="0.25">
      <c r="A210" s="453">
        <v>151</v>
      </c>
      <c r="B210" s="453">
        <v>8</v>
      </c>
      <c r="C210" s="453" t="str">
        <f t="shared" si="3"/>
        <v>1518</v>
      </c>
      <c r="D210" s="453" t="s">
        <v>1970</v>
      </c>
      <c r="E210" s="453">
        <v>48</v>
      </c>
      <c r="F210" s="453">
        <v>110</v>
      </c>
      <c r="G210" s="453">
        <v>2019</v>
      </c>
      <c r="H210" s="453" t="s">
        <v>698</v>
      </c>
      <c r="I210" s="453" t="s">
        <v>360</v>
      </c>
      <c r="J210" s="453" t="s">
        <v>1453</v>
      </c>
      <c r="K210" s="453">
        <v>5</v>
      </c>
      <c r="L210" s="454">
        <v>43525</v>
      </c>
      <c r="M210" s="455">
        <v>4508400</v>
      </c>
      <c r="N210" s="453" t="s">
        <v>698</v>
      </c>
      <c r="O210" s="453" t="s">
        <v>3449</v>
      </c>
      <c r="P210" s="453" t="s">
        <v>2528</v>
      </c>
      <c r="Q210" s="453" t="s">
        <v>3454</v>
      </c>
    </row>
    <row r="211" spans="1:17" x14ac:dyDescent="0.25">
      <c r="A211" s="453">
        <v>151</v>
      </c>
      <c r="B211" s="453">
        <v>9</v>
      </c>
      <c r="C211" s="453" t="str">
        <f t="shared" si="3"/>
        <v>1519</v>
      </c>
      <c r="D211" s="453" t="s">
        <v>1970</v>
      </c>
      <c r="E211" s="453">
        <v>48</v>
      </c>
      <c r="F211" s="453">
        <v>111</v>
      </c>
      <c r="G211" s="453">
        <v>2019</v>
      </c>
      <c r="H211" s="453" t="s">
        <v>698</v>
      </c>
      <c r="I211" s="453" t="s">
        <v>360</v>
      </c>
      <c r="J211" s="453" t="s">
        <v>1453</v>
      </c>
      <c r="K211" s="453">
        <v>6</v>
      </c>
      <c r="L211" s="454">
        <v>43466</v>
      </c>
      <c r="M211" s="455">
        <v>1548369</v>
      </c>
      <c r="N211" s="453" t="s">
        <v>698</v>
      </c>
      <c r="O211" s="453" t="s">
        <v>3449</v>
      </c>
      <c r="P211" s="453" t="s">
        <v>2528</v>
      </c>
      <c r="Q211" s="453" t="s">
        <v>3455</v>
      </c>
    </row>
    <row r="212" spans="1:17" x14ac:dyDescent="0.25">
      <c r="A212" s="453">
        <v>151</v>
      </c>
      <c r="B212" s="453">
        <v>10</v>
      </c>
      <c r="C212" s="453" t="str">
        <f t="shared" si="3"/>
        <v>15110</v>
      </c>
      <c r="D212" s="453" t="s">
        <v>1970</v>
      </c>
      <c r="E212" s="453">
        <v>48</v>
      </c>
      <c r="F212" s="453">
        <v>112</v>
      </c>
      <c r="G212" s="453">
        <v>2019</v>
      </c>
      <c r="H212" s="453" t="s">
        <v>698</v>
      </c>
      <c r="I212" s="453" t="s">
        <v>360</v>
      </c>
      <c r="J212" s="453" t="s">
        <v>1453</v>
      </c>
      <c r="K212" s="453">
        <v>7</v>
      </c>
      <c r="L212" s="454">
        <v>43556</v>
      </c>
      <c r="M212" s="455">
        <v>5249997</v>
      </c>
      <c r="N212" s="453" t="s">
        <v>698</v>
      </c>
      <c r="O212" s="453" t="s">
        <v>3449</v>
      </c>
      <c r="P212" s="453" t="s">
        <v>2528</v>
      </c>
      <c r="Q212" s="453" t="s">
        <v>3456</v>
      </c>
    </row>
    <row r="213" spans="1:17" x14ac:dyDescent="0.25">
      <c r="A213" s="453">
        <v>151</v>
      </c>
      <c r="B213" s="453">
        <v>11</v>
      </c>
      <c r="C213" s="453" t="str">
        <f t="shared" si="3"/>
        <v>15111</v>
      </c>
      <c r="D213" s="453" t="s">
        <v>1970</v>
      </c>
      <c r="E213" s="453">
        <v>48</v>
      </c>
      <c r="F213" s="453">
        <v>113</v>
      </c>
      <c r="G213" s="453">
        <v>2019</v>
      </c>
      <c r="H213" s="453" t="s">
        <v>698</v>
      </c>
      <c r="I213" s="453" t="s">
        <v>360</v>
      </c>
      <c r="J213" s="453" t="s">
        <v>1453</v>
      </c>
      <c r="K213" s="453">
        <v>8</v>
      </c>
      <c r="L213" s="454">
        <v>43586</v>
      </c>
      <c r="M213" s="455">
        <v>1177050</v>
      </c>
      <c r="N213" s="453" t="s">
        <v>698</v>
      </c>
      <c r="O213" s="453" t="s">
        <v>3449</v>
      </c>
      <c r="P213" s="453" t="s">
        <v>2528</v>
      </c>
      <c r="Q213" s="453" t="s">
        <v>3457</v>
      </c>
    </row>
    <row r="214" spans="1:17" x14ac:dyDescent="0.25">
      <c r="A214" s="453">
        <v>151</v>
      </c>
      <c r="B214" s="453">
        <v>12</v>
      </c>
      <c r="C214" s="453" t="str">
        <f t="shared" si="3"/>
        <v>15112</v>
      </c>
      <c r="D214" s="453" t="s">
        <v>1970</v>
      </c>
      <c r="E214" s="453">
        <v>48</v>
      </c>
      <c r="F214" s="453">
        <v>99</v>
      </c>
      <c r="G214" s="453">
        <v>2018</v>
      </c>
      <c r="H214" s="453" t="s">
        <v>698</v>
      </c>
      <c r="I214" s="453" t="s">
        <v>360</v>
      </c>
      <c r="J214" s="453" t="s">
        <v>1453</v>
      </c>
      <c r="K214" s="453">
        <v>1</v>
      </c>
      <c r="L214" s="454">
        <v>43159</v>
      </c>
      <c r="M214" s="455">
        <v>75000000</v>
      </c>
      <c r="N214" s="453" t="s">
        <v>698</v>
      </c>
      <c r="O214" s="453" t="s">
        <v>2527</v>
      </c>
      <c r="P214" s="453" t="s">
        <v>2528</v>
      </c>
      <c r="Q214" s="453" t="s">
        <v>2533</v>
      </c>
    </row>
    <row r="215" spans="1:17" x14ac:dyDescent="0.25">
      <c r="A215" s="453">
        <v>151</v>
      </c>
      <c r="B215" s="453">
        <v>13</v>
      </c>
      <c r="C215" s="453" t="str">
        <f t="shared" si="3"/>
        <v>15113</v>
      </c>
      <c r="D215" s="453" t="s">
        <v>1970</v>
      </c>
      <c r="E215" s="453">
        <v>48</v>
      </c>
      <c r="F215" s="453">
        <v>100</v>
      </c>
      <c r="G215" s="453">
        <v>2018</v>
      </c>
      <c r="H215" s="453" t="s">
        <v>698</v>
      </c>
      <c r="I215" s="453" t="s">
        <v>360</v>
      </c>
      <c r="J215" s="453" t="s">
        <v>1453</v>
      </c>
      <c r="K215" s="453">
        <v>2</v>
      </c>
      <c r="L215" s="454">
        <v>43369</v>
      </c>
      <c r="M215" s="455">
        <v>6000000</v>
      </c>
      <c r="N215" s="453" t="s">
        <v>698</v>
      </c>
      <c r="O215" s="453" t="s">
        <v>2527</v>
      </c>
      <c r="P215" s="453" t="s">
        <v>2528</v>
      </c>
      <c r="Q215" s="453" t="s">
        <v>2532</v>
      </c>
    </row>
    <row r="216" spans="1:17" x14ac:dyDescent="0.25">
      <c r="A216" s="453">
        <v>151</v>
      </c>
      <c r="B216" s="453">
        <v>14</v>
      </c>
      <c r="C216" s="453" t="str">
        <f t="shared" si="3"/>
        <v>15114</v>
      </c>
      <c r="D216" s="453" t="s">
        <v>1970</v>
      </c>
      <c r="E216" s="453">
        <v>48</v>
      </c>
      <c r="F216" s="453">
        <v>101</v>
      </c>
      <c r="G216" s="453">
        <v>2018</v>
      </c>
      <c r="H216" s="453" t="s">
        <v>698</v>
      </c>
      <c r="I216" s="453" t="s">
        <v>360</v>
      </c>
      <c r="J216" s="453" t="s">
        <v>1453</v>
      </c>
      <c r="K216" s="453">
        <v>3</v>
      </c>
      <c r="L216" s="454">
        <v>43424</v>
      </c>
      <c r="M216" s="455">
        <v>3000000</v>
      </c>
      <c r="N216" s="453" t="s">
        <v>698</v>
      </c>
      <c r="O216" s="453" t="s">
        <v>2527</v>
      </c>
      <c r="P216" s="453" t="s">
        <v>2528</v>
      </c>
      <c r="Q216" s="453" t="s">
        <v>2531</v>
      </c>
    </row>
    <row r="217" spans="1:17" x14ac:dyDescent="0.25">
      <c r="A217" s="453">
        <v>151</v>
      </c>
      <c r="B217" s="453">
        <v>15</v>
      </c>
      <c r="C217" s="453" t="str">
        <f t="shared" si="3"/>
        <v>15115</v>
      </c>
      <c r="D217" s="453" t="s">
        <v>1970</v>
      </c>
      <c r="E217" s="453">
        <v>48</v>
      </c>
      <c r="F217" s="453">
        <v>102</v>
      </c>
      <c r="G217" s="453">
        <v>2018</v>
      </c>
      <c r="H217" s="453" t="s">
        <v>698</v>
      </c>
      <c r="I217" s="453" t="s">
        <v>360</v>
      </c>
      <c r="J217" s="453" t="s">
        <v>1453</v>
      </c>
      <c r="K217" s="453">
        <v>4</v>
      </c>
      <c r="L217" s="454">
        <v>43435</v>
      </c>
      <c r="M217" s="455">
        <v>3000000</v>
      </c>
      <c r="N217" s="453" t="s">
        <v>698</v>
      </c>
      <c r="O217" s="453" t="s">
        <v>2527</v>
      </c>
      <c r="P217" s="453" t="s">
        <v>2528</v>
      </c>
      <c r="Q217" s="453" t="s">
        <v>2530</v>
      </c>
    </row>
    <row r="218" spans="1:17" x14ac:dyDescent="0.25">
      <c r="A218" s="453">
        <v>151</v>
      </c>
      <c r="B218" s="453">
        <v>16</v>
      </c>
      <c r="C218" s="453" t="str">
        <f t="shared" si="3"/>
        <v>15116</v>
      </c>
      <c r="D218" s="453" t="s">
        <v>1970</v>
      </c>
      <c r="E218" s="453">
        <v>48</v>
      </c>
      <c r="F218" s="453">
        <v>103</v>
      </c>
      <c r="G218" s="453">
        <v>2018</v>
      </c>
      <c r="H218" s="453" t="s">
        <v>698</v>
      </c>
      <c r="I218" s="453" t="s">
        <v>360</v>
      </c>
      <c r="J218" s="453" t="s">
        <v>1453</v>
      </c>
      <c r="K218" s="453">
        <v>5</v>
      </c>
      <c r="L218" s="454">
        <v>43297</v>
      </c>
      <c r="M218" s="455">
        <v>2642814</v>
      </c>
      <c r="N218" s="453" t="s">
        <v>698</v>
      </c>
      <c r="O218" s="453" t="s">
        <v>2527</v>
      </c>
      <c r="P218" s="453" t="s">
        <v>2528</v>
      </c>
      <c r="Q218" s="453" t="s">
        <v>2529</v>
      </c>
    </row>
    <row r="219" spans="1:17" x14ac:dyDescent="0.25">
      <c r="A219" s="453">
        <v>152</v>
      </c>
      <c r="B219" s="453">
        <v>1</v>
      </c>
      <c r="C219" s="453" t="str">
        <f t="shared" si="3"/>
        <v>1521</v>
      </c>
      <c r="D219" s="453" t="s">
        <v>190</v>
      </c>
      <c r="E219" s="453">
        <v>140</v>
      </c>
      <c r="F219" s="453">
        <v>8</v>
      </c>
      <c r="G219" s="453">
        <v>2020</v>
      </c>
      <c r="H219" s="453" t="s">
        <v>190</v>
      </c>
      <c r="I219" s="453" t="s">
        <v>191</v>
      </c>
      <c r="J219" s="453" t="s">
        <v>1453</v>
      </c>
      <c r="K219" s="453">
        <v>1</v>
      </c>
      <c r="L219" s="454">
        <v>43952</v>
      </c>
      <c r="M219" s="455">
        <v>1401598</v>
      </c>
      <c r="N219" s="453" t="s">
        <v>190</v>
      </c>
      <c r="O219" s="453" t="s">
        <v>2281</v>
      </c>
      <c r="P219" s="453" t="s">
        <v>3458</v>
      </c>
      <c r="Q219" s="453" t="s">
        <v>3459</v>
      </c>
    </row>
    <row r="220" spans="1:17" x14ac:dyDescent="0.25">
      <c r="A220" s="453">
        <v>157</v>
      </c>
      <c r="B220" s="453">
        <v>1</v>
      </c>
      <c r="C220" s="453" t="str">
        <f t="shared" si="3"/>
        <v>1571</v>
      </c>
      <c r="D220" s="453" t="s">
        <v>1484</v>
      </c>
      <c r="E220" s="453">
        <v>39</v>
      </c>
      <c r="F220" s="453">
        <v>7</v>
      </c>
      <c r="G220" s="453">
        <v>2020</v>
      </c>
      <c r="H220" s="453" t="s">
        <v>2788</v>
      </c>
      <c r="I220" s="453" t="s">
        <v>707</v>
      </c>
      <c r="J220" s="453" t="s">
        <v>1453</v>
      </c>
      <c r="K220" s="453">
        <v>1</v>
      </c>
      <c r="L220" s="454">
        <v>44179</v>
      </c>
      <c r="M220" s="455">
        <v>79600000</v>
      </c>
      <c r="N220" s="453" t="s">
        <v>3460</v>
      </c>
      <c r="O220" s="453" t="s">
        <v>3461</v>
      </c>
      <c r="P220" s="453" t="s">
        <v>3461</v>
      </c>
      <c r="Q220" s="453" t="s">
        <v>3462</v>
      </c>
    </row>
    <row r="221" spans="1:17" x14ac:dyDescent="0.25">
      <c r="A221" s="453">
        <v>162</v>
      </c>
      <c r="B221" s="453">
        <v>1</v>
      </c>
      <c r="C221" s="453" t="str">
        <f t="shared" si="3"/>
        <v>1621</v>
      </c>
      <c r="D221" s="453" t="s">
        <v>1066</v>
      </c>
      <c r="E221" s="453">
        <v>117</v>
      </c>
      <c r="F221" s="453">
        <v>6</v>
      </c>
      <c r="G221" s="453">
        <v>2020</v>
      </c>
      <c r="H221" s="453" t="s">
        <v>1066</v>
      </c>
      <c r="I221" s="453" t="s">
        <v>1067</v>
      </c>
      <c r="J221" s="453" t="s">
        <v>1453</v>
      </c>
      <c r="K221" s="453">
        <v>1</v>
      </c>
      <c r="L221" s="454">
        <v>43382</v>
      </c>
      <c r="M221" s="455">
        <v>6090978</v>
      </c>
      <c r="N221" s="453" t="s">
        <v>1066</v>
      </c>
      <c r="O221" s="453" t="s">
        <v>3463</v>
      </c>
      <c r="P221" s="453" t="s">
        <v>1070</v>
      </c>
      <c r="Q221" s="453" t="s">
        <v>3464</v>
      </c>
    </row>
    <row r="222" spans="1:17" x14ac:dyDescent="0.25">
      <c r="A222" s="453">
        <v>162</v>
      </c>
      <c r="B222" s="453">
        <v>2</v>
      </c>
      <c r="C222" s="453" t="str">
        <f t="shared" si="3"/>
        <v>1622</v>
      </c>
      <c r="D222" s="453" t="s">
        <v>1066</v>
      </c>
      <c r="E222" s="453">
        <v>117</v>
      </c>
      <c r="F222" s="453">
        <v>5</v>
      </c>
      <c r="G222" s="453">
        <v>2018</v>
      </c>
      <c r="H222" s="453" t="s">
        <v>1066</v>
      </c>
      <c r="I222" s="453" t="s">
        <v>1067</v>
      </c>
      <c r="J222" s="453" t="s">
        <v>1453</v>
      </c>
      <c r="K222" s="453">
        <v>1</v>
      </c>
      <c r="L222" s="454">
        <v>43388</v>
      </c>
      <c r="M222" s="455">
        <v>6223436</v>
      </c>
      <c r="N222" s="453" t="s">
        <v>2534</v>
      </c>
      <c r="O222" s="453" t="s">
        <v>2535</v>
      </c>
      <c r="P222" s="453" t="s">
        <v>1070</v>
      </c>
      <c r="Q222" s="453" t="s">
        <v>2536</v>
      </c>
    </row>
    <row r="223" spans="1:17" x14ac:dyDescent="0.25">
      <c r="A223" s="453">
        <v>163</v>
      </c>
      <c r="B223" s="453">
        <v>1</v>
      </c>
      <c r="C223" s="453" t="str">
        <f t="shared" si="3"/>
        <v>1631</v>
      </c>
      <c r="D223" s="453" t="s">
        <v>1961</v>
      </c>
      <c r="E223" s="453">
        <v>74</v>
      </c>
      <c r="F223" s="453">
        <v>417</v>
      </c>
      <c r="G223" s="453">
        <v>2020</v>
      </c>
      <c r="H223" s="453" t="s">
        <v>696</v>
      </c>
      <c r="I223" s="453" t="s">
        <v>360</v>
      </c>
      <c r="J223" s="453" t="s">
        <v>1453</v>
      </c>
      <c r="K223" s="453">
        <v>1</v>
      </c>
      <c r="L223" s="454">
        <v>44005</v>
      </c>
      <c r="M223" s="455">
        <v>2800000</v>
      </c>
      <c r="N223" s="453" t="s">
        <v>696</v>
      </c>
      <c r="O223" s="453" t="s">
        <v>3465</v>
      </c>
      <c r="P223" s="453" t="s">
        <v>968</v>
      </c>
      <c r="Q223" s="453" t="s">
        <v>3466</v>
      </c>
    </row>
    <row r="224" spans="1:17" x14ac:dyDescent="0.25">
      <c r="A224" s="453">
        <v>163</v>
      </c>
      <c r="B224" s="453">
        <v>2</v>
      </c>
      <c r="C224" s="453" t="str">
        <f t="shared" si="3"/>
        <v>1632</v>
      </c>
      <c r="D224" s="453" t="s">
        <v>1961</v>
      </c>
      <c r="E224" s="453">
        <v>74</v>
      </c>
      <c r="F224" s="453">
        <v>418</v>
      </c>
      <c r="G224" s="453">
        <v>2020</v>
      </c>
      <c r="H224" s="453" t="s">
        <v>696</v>
      </c>
      <c r="I224" s="453" t="s">
        <v>360</v>
      </c>
      <c r="J224" s="453" t="s">
        <v>1453</v>
      </c>
      <c r="K224" s="453">
        <v>2</v>
      </c>
      <c r="L224" s="454">
        <v>44136</v>
      </c>
      <c r="M224" s="455">
        <v>1300000</v>
      </c>
      <c r="N224" s="453" t="s">
        <v>3467</v>
      </c>
      <c r="O224" s="453" t="s">
        <v>3468</v>
      </c>
      <c r="P224" s="453" t="s">
        <v>968</v>
      </c>
      <c r="Q224" s="453" t="s">
        <v>3469</v>
      </c>
    </row>
    <row r="225" spans="1:17" x14ac:dyDescent="0.25">
      <c r="A225" s="453">
        <v>163</v>
      </c>
      <c r="B225" s="453">
        <v>3</v>
      </c>
      <c r="C225" s="453" t="str">
        <f t="shared" si="3"/>
        <v>1633</v>
      </c>
      <c r="D225" s="453" t="s">
        <v>1961</v>
      </c>
      <c r="E225" s="453">
        <v>74</v>
      </c>
      <c r="F225" s="453">
        <v>419</v>
      </c>
      <c r="G225" s="453">
        <v>2020</v>
      </c>
      <c r="H225" s="453" t="s">
        <v>696</v>
      </c>
      <c r="I225" s="453" t="s">
        <v>360</v>
      </c>
      <c r="J225" s="453" t="s">
        <v>1453</v>
      </c>
      <c r="K225" s="453">
        <v>3</v>
      </c>
      <c r="L225" s="454">
        <v>43886</v>
      </c>
      <c r="M225" s="455">
        <v>3100000</v>
      </c>
      <c r="N225" s="453" t="s">
        <v>696</v>
      </c>
      <c r="O225" s="453" t="s">
        <v>3465</v>
      </c>
      <c r="P225" s="453" t="s">
        <v>968</v>
      </c>
      <c r="Q225" s="453" t="s">
        <v>3470</v>
      </c>
    </row>
    <row r="226" spans="1:17" x14ac:dyDescent="0.25">
      <c r="A226" s="453">
        <v>163</v>
      </c>
      <c r="B226" s="453">
        <v>4</v>
      </c>
      <c r="C226" s="453" t="str">
        <f t="shared" si="3"/>
        <v>1634</v>
      </c>
      <c r="D226" s="453" t="s">
        <v>1961</v>
      </c>
      <c r="E226" s="453">
        <v>74</v>
      </c>
      <c r="F226" s="453">
        <v>420</v>
      </c>
      <c r="G226" s="453">
        <v>2020</v>
      </c>
      <c r="H226" s="453" t="s">
        <v>696</v>
      </c>
      <c r="I226" s="453" t="s">
        <v>360</v>
      </c>
      <c r="J226" s="453" t="s">
        <v>1453</v>
      </c>
      <c r="K226" s="453">
        <v>4</v>
      </c>
      <c r="L226" s="454">
        <v>44131</v>
      </c>
      <c r="M226" s="455">
        <v>7100000</v>
      </c>
      <c r="N226" s="453" t="s">
        <v>696</v>
      </c>
      <c r="O226" s="453" t="s">
        <v>3465</v>
      </c>
      <c r="P226" s="453" t="s">
        <v>968</v>
      </c>
      <c r="Q226" s="453" t="s">
        <v>3471</v>
      </c>
    </row>
    <row r="227" spans="1:17" x14ac:dyDescent="0.25">
      <c r="A227" s="453">
        <v>163</v>
      </c>
      <c r="B227" s="453">
        <v>5</v>
      </c>
      <c r="C227" s="453" t="str">
        <f t="shared" si="3"/>
        <v>1635</v>
      </c>
      <c r="D227" s="453" t="s">
        <v>1961</v>
      </c>
      <c r="E227" s="453">
        <v>74</v>
      </c>
      <c r="F227" s="453">
        <v>404</v>
      </c>
      <c r="G227" s="453">
        <v>2019</v>
      </c>
      <c r="H227" s="453" t="s">
        <v>696</v>
      </c>
      <c r="I227" s="453" t="s">
        <v>360</v>
      </c>
      <c r="J227" s="453" t="s">
        <v>1453</v>
      </c>
      <c r="K227" s="453">
        <v>1</v>
      </c>
      <c r="L227" s="454">
        <v>43487</v>
      </c>
      <c r="M227" s="455">
        <v>1088000</v>
      </c>
      <c r="N227" s="453" t="s">
        <v>696</v>
      </c>
      <c r="O227" s="453" t="s">
        <v>3472</v>
      </c>
      <c r="P227" s="453" t="s">
        <v>968</v>
      </c>
      <c r="Q227" s="453" t="s">
        <v>3473</v>
      </c>
    </row>
    <row r="228" spans="1:17" x14ac:dyDescent="0.25">
      <c r="A228" s="453">
        <v>163</v>
      </c>
      <c r="B228" s="453">
        <v>6</v>
      </c>
      <c r="C228" s="453" t="str">
        <f t="shared" si="3"/>
        <v>1636</v>
      </c>
      <c r="D228" s="453" t="s">
        <v>1961</v>
      </c>
      <c r="E228" s="453">
        <v>74</v>
      </c>
      <c r="F228" s="453">
        <v>405</v>
      </c>
      <c r="G228" s="453">
        <v>2019</v>
      </c>
      <c r="H228" s="453" t="s">
        <v>696</v>
      </c>
      <c r="I228" s="453" t="s">
        <v>360</v>
      </c>
      <c r="J228" s="453" t="s">
        <v>1453</v>
      </c>
      <c r="K228" s="453">
        <v>2</v>
      </c>
      <c r="L228" s="454">
        <v>43809</v>
      </c>
      <c r="M228" s="455">
        <v>10041000</v>
      </c>
      <c r="N228" s="453" t="s">
        <v>696</v>
      </c>
      <c r="O228" s="453" t="s">
        <v>3472</v>
      </c>
      <c r="P228" s="453" t="s">
        <v>968</v>
      </c>
      <c r="Q228" s="453" t="s">
        <v>3474</v>
      </c>
    </row>
    <row r="229" spans="1:17" x14ac:dyDescent="0.25">
      <c r="A229" s="453">
        <v>163</v>
      </c>
      <c r="B229" s="453">
        <v>7</v>
      </c>
      <c r="C229" s="453" t="str">
        <f t="shared" si="3"/>
        <v>1637</v>
      </c>
      <c r="D229" s="453" t="s">
        <v>1961</v>
      </c>
      <c r="E229" s="453">
        <v>74</v>
      </c>
      <c r="F229" s="453">
        <v>406</v>
      </c>
      <c r="G229" s="453">
        <v>2019</v>
      </c>
      <c r="H229" s="453" t="s">
        <v>696</v>
      </c>
      <c r="I229" s="453" t="s">
        <v>360</v>
      </c>
      <c r="J229" s="453" t="s">
        <v>1453</v>
      </c>
      <c r="K229" s="453">
        <v>3</v>
      </c>
      <c r="L229" s="454">
        <v>43775</v>
      </c>
      <c r="M229" s="455">
        <v>2788232</v>
      </c>
      <c r="N229" s="453" t="s">
        <v>696</v>
      </c>
      <c r="O229" s="453" t="s">
        <v>3472</v>
      </c>
      <c r="P229" s="453" t="s">
        <v>968</v>
      </c>
      <c r="Q229" s="453" t="s">
        <v>3475</v>
      </c>
    </row>
    <row r="230" spans="1:17" x14ac:dyDescent="0.25">
      <c r="A230" s="453">
        <v>163</v>
      </c>
      <c r="B230" s="453">
        <v>8</v>
      </c>
      <c r="C230" s="453" t="str">
        <f t="shared" si="3"/>
        <v>1638</v>
      </c>
      <c r="D230" s="453" t="s">
        <v>1961</v>
      </c>
      <c r="E230" s="453">
        <v>74</v>
      </c>
      <c r="F230" s="453">
        <v>379</v>
      </c>
      <c r="G230" s="453">
        <v>2018</v>
      </c>
      <c r="H230" s="453" t="s">
        <v>696</v>
      </c>
      <c r="I230" s="453" t="s">
        <v>360</v>
      </c>
      <c r="J230" s="453" t="s">
        <v>1453</v>
      </c>
      <c r="K230" s="453">
        <v>1</v>
      </c>
      <c r="L230" s="454">
        <v>43277</v>
      </c>
      <c r="M230" s="455">
        <v>2700000</v>
      </c>
      <c r="N230" s="453" t="s">
        <v>696</v>
      </c>
      <c r="O230" s="453" t="s">
        <v>1964</v>
      </c>
      <c r="P230" s="453" t="s">
        <v>968</v>
      </c>
      <c r="Q230" s="453" t="s">
        <v>2541</v>
      </c>
    </row>
    <row r="231" spans="1:17" x14ac:dyDescent="0.25">
      <c r="A231" s="453">
        <v>163</v>
      </c>
      <c r="B231" s="453">
        <v>9</v>
      </c>
      <c r="C231" s="453" t="str">
        <f t="shared" si="3"/>
        <v>1639</v>
      </c>
      <c r="D231" s="453" t="s">
        <v>1961</v>
      </c>
      <c r="E231" s="453">
        <v>74</v>
      </c>
      <c r="F231" s="453">
        <v>380</v>
      </c>
      <c r="G231" s="453">
        <v>2018</v>
      </c>
      <c r="H231" s="453" t="s">
        <v>696</v>
      </c>
      <c r="I231" s="453" t="s">
        <v>360</v>
      </c>
      <c r="J231" s="453" t="s">
        <v>1453</v>
      </c>
      <c r="K231" s="453">
        <v>2</v>
      </c>
      <c r="L231" s="454">
        <v>43242</v>
      </c>
      <c r="M231" s="455">
        <v>1832000</v>
      </c>
      <c r="N231" s="453" t="s">
        <v>696</v>
      </c>
      <c r="O231" s="453" t="s">
        <v>1964</v>
      </c>
      <c r="P231" s="453" t="s">
        <v>968</v>
      </c>
      <c r="Q231" s="453" t="s">
        <v>2540</v>
      </c>
    </row>
    <row r="232" spans="1:17" x14ac:dyDescent="0.25">
      <c r="A232" s="453">
        <v>163</v>
      </c>
      <c r="B232" s="453">
        <v>10</v>
      </c>
      <c r="C232" s="453" t="str">
        <f t="shared" si="3"/>
        <v>16310</v>
      </c>
      <c r="D232" s="453" t="s">
        <v>1961</v>
      </c>
      <c r="E232" s="453">
        <v>74</v>
      </c>
      <c r="F232" s="453">
        <v>381</v>
      </c>
      <c r="G232" s="453">
        <v>2018</v>
      </c>
      <c r="H232" s="453" t="s">
        <v>696</v>
      </c>
      <c r="I232" s="453" t="s">
        <v>360</v>
      </c>
      <c r="J232" s="453" t="s">
        <v>1453</v>
      </c>
      <c r="K232" s="453">
        <v>3</v>
      </c>
      <c r="L232" s="454">
        <v>43431</v>
      </c>
      <c r="M232" s="455">
        <v>2000000</v>
      </c>
      <c r="N232" s="453" t="s">
        <v>696</v>
      </c>
      <c r="O232" s="453" t="s">
        <v>1964</v>
      </c>
      <c r="P232" s="453" t="s">
        <v>968</v>
      </c>
      <c r="Q232" s="453" t="s">
        <v>2539</v>
      </c>
    </row>
    <row r="233" spans="1:17" x14ac:dyDescent="0.25">
      <c r="A233" s="453">
        <v>163</v>
      </c>
      <c r="B233" s="453">
        <v>11</v>
      </c>
      <c r="C233" s="453" t="str">
        <f t="shared" si="3"/>
        <v>16311</v>
      </c>
      <c r="D233" s="453" t="s">
        <v>1961</v>
      </c>
      <c r="E233" s="453">
        <v>74</v>
      </c>
      <c r="F233" s="453">
        <v>382</v>
      </c>
      <c r="G233" s="453">
        <v>2018</v>
      </c>
      <c r="H233" s="453" t="s">
        <v>696</v>
      </c>
      <c r="I233" s="453" t="s">
        <v>360</v>
      </c>
      <c r="J233" s="453" t="s">
        <v>1453</v>
      </c>
      <c r="K233" s="453">
        <v>4</v>
      </c>
      <c r="L233" s="454">
        <v>43277</v>
      </c>
      <c r="M233" s="455">
        <v>1125000</v>
      </c>
      <c r="N233" s="453" t="s">
        <v>696</v>
      </c>
      <c r="O233" s="453" t="s">
        <v>1964</v>
      </c>
      <c r="P233" s="453" t="s">
        <v>968</v>
      </c>
      <c r="Q233" s="453" t="s">
        <v>2538</v>
      </c>
    </row>
    <row r="234" spans="1:17" x14ac:dyDescent="0.25">
      <c r="A234" s="453">
        <v>163</v>
      </c>
      <c r="B234" s="453">
        <v>12</v>
      </c>
      <c r="C234" s="453" t="str">
        <f t="shared" si="3"/>
        <v>16312</v>
      </c>
      <c r="D234" s="453" t="s">
        <v>1961</v>
      </c>
      <c r="E234" s="453">
        <v>74</v>
      </c>
      <c r="F234" s="453">
        <v>383</v>
      </c>
      <c r="G234" s="453">
        <v>2018</v>
      </c>
      <c r="H234" s="453" t="s">
        <v>696</v>
      </c>
      <c r="I234" s="453" t="s">
        <v>360</v>
      </c>
      <c r="J234" s="453" t="s">
        <v>1453</v>
      </c>
      <c r="K234" s="453">
        <v>5</v>
      </c>
      <c r="L234" s="454">
        <v>43396</v>
      </c>
      <c r="M234" s="455">
        <v>1760000</v>
      </c>
      <c r="N234" s="453" t="s">
        <v>696</v>
      </c>
      <c r="O234" s="453" t="s">
        <v>1964</v>
      </c>
      <c r="P234" s="453" t="s">
        <v>968</v>
      </c>
      <c r="Q234" s="453" t="s">
        <v>2537</v>
      </c>
    </row>
    <row r="235" spans="1:17" x14ac:dyDescent="0.25">
      <c r="A235" s="453">
        <v>168</v>
      </c>
      <c r="B235" s="453">
        <v>1</v>
      </c>
      <c r="C235" s="453" t="str">
        <f t="shared" si="3"/>
        <v>1681</v>
      </c>
      <c r="D235" s="453" t="s">
        <v>1478</v>
      </c>
      <c r="E235" s="453">
        <v>82</v>
      </c>
      <c r="F235" s="453">
        <v>29</v>
      </c>
      <c r="G235" s="453">
        <v>2020</v>
      </c>
      <c r="H235" s="453" t="s">
        <v>1478</v>
      </c>
      <c r="I235" s="453" t="s">
        <v>1479</v>
      </c>
      <c r="J235" s="453" t="s">
        <v>1453</v>
      </c>
      <c r="K235" s="453">
        <v>1</v>
      </c>
      <c r="L235" s="454">
        <v>43846</v>
      </c>
      <c r="M235" s="455">
        <v>1348000</v>
      </c>
      <c r="N235" s="453" t="s">
        <v>1478</v>
      </c>
      <c r="O235" s="453" t="s">
        <v>2543</v>
      </c>
      <c r="P235" s="453" t="s">
        <v>1482</v>
      </c>
      <c r="Q235" s="453" t="s">
        <v>3476</v>
      </c>
    </row>
    <row r="236" spans="1:17" x14ac:dyDescent="0.25">
      <c r="A236" s="453">
        <v>168</v>
      </c>
      <c r="B236" s="453">
        <v>2</v>
      </c>
      <c r="C236" s="453" t="str">
        <f t="shared" si="3"/>
        <v>1682</v>
      </c>
      <c r="D236" s="453" t="s">
        <v>1478</v>
      </c>
      <c r="E236" s="453">
        <v>82</v>
      </c>
      <c r="F236" s="453">
        <v>27</v>
      </c>
      <c r="G236" s="453">
        <v>2019</v>
      </c>
      <c r="H236" s="453" t="s">
        <v>1478</v>
      </c>
      <c r="I236" s="453" t="s">
        <v>1479</v>
      </c>
      <c r="J236" s="453" t="s">
        <v>1453</v>
      </c>
      <c r="K236" s="453">
        <v>1</v>
      </c>
      <c r="L236" s="454">
        <v>43727</v>
      </c>
      <c r="M236" s="455">
        <v>1387000</v>
      </c>
      <c r="N236" s="453" t="s">
        <v>1478</v>
      </c>
      <c r="O236" s="453" t="s">
        <v>2543</v>
      </c>
      <c r="P236" s="453" t="s">
        <v>2544</v>
      </c>
      <c r="Q236" s="453" t="s">
        <v>3477</v>
      </c>
    </row>
    <row r="237" spans="1:17" x14ac:dyDescent="0.25">
      <c r="A237" s="453">
        <v>168</v>
      </c>
      <c r="B237" s="453">
        <v>3</v>
      </c>
      <c r="C237" s="453" t="str">
        <f t="shared" si="3"/>
        <v>1683</v>
      </c>
      <c r="D237" s="453" t="s">
        <v>1478</v>
      </c>
      <c r="E237" s="453">
        <v>82</v>
      </c>
      <c r="F237" s="453">
        <v>28</v>
      </c>
      <c r="G237" s="453">
        <v>2019</v>
      </c>
      <c r="H237" s="453" t="s">
        <v>1478</v>
      </c>
      <c r="I237" s="453" t="s">
        <v>1479</v>
      </c>
      <c r="J237" s="453" t="s">
        <v>1453</v>
      </c>
      <c r="K237" s="453">
        <v>2</v>
      </c>
      <c r="L237" s="454">
        <v>43636</v>
      </c>
      <c r="M237" s="455">
        <v>2524000</v>
      </c>
      <c r="N237" s="453" t="s">
        <v>3478</v>
      </c>
      <c r="O237" s="453" t="s">
        <v>2543</v>
      </c>
      <c r="P237" s="453" t="s">
        <v>2544</v>
      </c>
      <c r="Q237" s="453" t="s">
        <v>3479</v>
      </c>
    </row>
    <row r="238" spans="1:17" x14ac:dyDescent="0.25">
      <c r="A238" s="453">
        <v>168</v>
      </c>
      <c r="B238" s="453">
        <v>4</v>
      </c>
      <c r="C238" s="453" t="str">
        <f t="shared" si="3"/>
        <v>1684</v>
      </c>
      <c r="D238" s="453" t="s">
        <v>1478</v>
      </c>
      <c r="E238" s="453">
        <v>82</v>
      </c>
      <c r="F238" s="453">
        <v>25</v>
      </c>
      <c r="G238" s="453">
        <v>2018</v>
      </c>
      <c r="H238" s="453" t="s">
        <v>1478</v>
      </c>
      <c r="I238" s="453" t="s">
        <v>1479</v>
      </c>
      <c r="J238" s="453" t="s">
        <v>1453</v>
      </c>
      <c r="K238" s="453">
        <v>1</v>
      </c>
      <c r="L238" s="454">
        <v>43431</v>
      </c>
      <c r="M238" s="455">
        <v>10300000</v>
      </c>
      <c r="N238" s="453" t="s">
        <v>1478</v>
      </c>
      <c r="O238" s="453" t="s">
        <v>2543</v>
      </c>
      <c r="P238" s="453" t="s">
        <v>2544</v>
      </c>
      <c r="Q238" s="453" t="s">
        <v>2545</v>
      </c>
    </row>
    <row r="239" spans="1:17" x14ac:dyDescent="0.25">
      <c r="A239" s="453">
        <v>168</v>
      </c>
      <c r="B239" s="453">
        <v>5</v>
      </c>
      <c r="C239" s="453" t="str">
        <f t="shared" si="3"/>
        <v>1685</v>
      </c>
      <c r="D239" s="453" t="s">
        <v>1478</v>
      </c>
      <c r="E239" s="453">
        <v>82</v>
      </c>
      <c r="F239" s="453">
        <v>26</v>
      </c>
      <c r="G239" s="453">
        <v>2018</v>
      </c>
      <c r="H239" s="453" t="s">
        <v>1478</v>
      </c>
      <c r="I239" s="453" t="s">
        <v>1479</v>
      </c>
      <c r="J239" s="453" t="s">
        <v>1453</v>
      </c>
      <c r="K239" s="453">
        <v>2</v>
      </c>
      <c r="L239" s="454">
        <v>43252</v>
      </c>
      <c r="M239" s="455">
        <v>18800000</v>
      </c>
      <c r="N239" s="453" t="s">
        <v>1478</v>
      </c>
      <c r="O239" s="453" t="s">
        <v>2318</v>
      </c>
      <c r="P239" s="453" t="s">
        <v>1482</v>
      </c>
      <c r="Q239" s="453" t="s">
        <v>2542</v>
      </c>
    </row>
    <row r="240" spans="1:17" x14ac:dyDescent="0.25">
      <c r="A240" s="453">
        <v>170</v>
      </c>
      <c r="B240" s="453">
        <v>1</v>
      </c>
      <c r="C240" s="453" t="str">
        <f t="shared" si="3"/>
        <v>1701</v>
      </c>
      <c r="D240" s="453" t="s">
        <v>2773</v>
      </c>
      <c r="E240" s="453">
        <v>43</v>
      </c>
      <c r="F240" s="453">
        <v>382</v>
      </c>
      <c r="G240" s="453">
        <v>2020</v>
      </c>
      <c r="H240" s="453" t="s">
        <v>2800</v>
      </c>
      <c r="I240" s="453" t="s">
        <v>1486</v>
      </c>
      <c r="J240" s="453" t="s">
        <v>1453</v>
      </c>
      <c r="K240" s="453">
        <v>1</v>
      </c>
      <c r="L240" s="454">
        <v>44194</v>
      </c>
      <c r="M240" s="455">
        <v>1200000</v>
      </c>
      <c r="N240" s="453" t="s">
        <v>3480</v>
      </c>
      <c r="O240" s="453" t="s">
        <v>3481</v>
      </c>
      <c r="P240" s="453" t="s">
        <v>3482</v>
      </c>
      <c r="Q240" s="453" t="s">
        <v>3483</v>
      </c>
    </row>
    <row r="241" spans="1:17" x14ac:dyDescent="0.25">
      <c r="A241" s="453">
        <v>172</v>
      </c>
      <c r="B241" s="453">
        <v>1</v>
      </c>
      <c r="C241" s="453" t="str">
        <f t="shared" si="3"/>
        <v>1721</v>
      </c>
      <c r="D241" s="453" t="s">
        <v>1360</v>
      </c>
      <c r="E241" s="453">
        <v>218</v>
      </c>
      <c r="F241" s="453">
        <v>5</v>
      </c>
      <c r="G241" s="453">
        <v>2020</v>
      </c>
      <c r="H241" s="453" t="s">
        <v>363</v>
      </c>
      <c r="I241" s="453" t="s">
        <v>1147</v>
      </c>
      <c r="J241" s="453" t="s">
        <v>1453</v>
      </c>
      <c r="K241" s="453">
        <v>1</v>
      </c>
      <c r="L241" s="454">
        <v>43794</v>
      </c>
      <c r="M241" s="455">
        <v>1123373</v>
      </c>
      <c r="N241" s="453" t="s">
        <v>3484</v>
      </c>
      <c r="O241" s="453" t="s">
        <v>2547</v>
      </c>
      <c r="P241" s="453" t="s">
        <v>1150</v>
      </c>
      <c r="Q241" s="453" t="s">
        <v>3485</v>
      </c>
    </row>
    <row r="242" spans="1:17" x14ac:dyDescent="0.25">
      <c r="A242" s="453">
        <v>172</v>
      </c>
      <c r="B242" s="453">
        <v>2</v>
      </c>
      <c r="C242" s="453" t="str">
        <f t="shared" si="3"/>
        <v>1722</v>
      </c>
      <c r="D242" s="453" t="s">
        <v>1360</v>
      </c>
      <c r="E242" s="453">
        <v>218</v>
      </c>
      <c r="F242" s="453">
        <v>6</v>
      </c>
      <c r="G242" s="453">
        <v>2020</v>
      </c>
      <c r="H242" s="453" t="s">
        <v>363</v>
      </c>
      <c r="I242" s="453" t="s">
        <v>1147</v>
      </c>
      <c r="J242" s="453" t="s">
        <v>1453</v>
      </c>
      <c r="K242" s="453">
        <v>2</v>
      </c>
      <c r="L242" s="454">
        <v>43987</v>
      </c>
      <c r="M242" s="455">
        <v>6466000</v>
      </c>
      <c r="N242" s="453" t="s">
        <v>3486</v>
      </c>
      <c r="O242" s="453" t="s">
        <v>3487</v>
      </c>
      <c r="P242" s="453" t="s">
        <v>1150</v>
      </c>
      <c r="Q242" s="453" t="s">
        <v>3488</v>
      </c>
    </row>
    <row r="243" spans="1:17" x14ac:dyDescent="0.25">
      <c r="A243" s="453">
        <v>172</v>
      </c>
      <c r="B243" s="453">
        <v>3</v>
      </c>
      <c r="C243" s="453" t="str">
        <f t="shared" si="3"/>
        <v>1723</v>
      </c>
      <c r="D243" s="453" t="s">
        <v>1360</v>
      </c>
      <c r="E243" s="453">
        <v>218</v>
      </c>
      <c r="F243" s="453">
        <v>4</v>
      </c>
      <c r="G243" s="453">
        <v>2018</v>
      </c>
      <c r="H243" s="453" t="s">
        <v>363</v>
      </c>
      <c r="I243" s="453" t="s">
        <v>1147</v>
      </c>
      <c r="J243" s="453" t="s">
        <v>1453</v>
      </c>
      <c r="K243" s="453">
        <v>1</v>
      </c>
      <c r="L243" s="454">
        <v>43004</v>
      </c>
      <c r="M243" s="455">
        <v>6200000</v>
      </c>
      <c r="N243" s="453" t="s">
        <v>2546</v>
      </c>
      <c r="O243" s="453" t="s">
        <v>2547</v>
      </c>
      <c r="P243" s="453" t="s">
        <v>1150</v>
      </c>
      <c r="Q243" s="453" t="s">
        <v>2548</v>
      </c>
    </row>
    <row r="244" spans="1:17" x14ac:dyDescent="0.25">
      <c r="A244" s="453">
        <v>177</v>
      </c>
      <c r="B244" s="453">
        <v>1</v>
      </c>
      <c r="C244" s="453" t="str">
        <f t="shared" si="3"/>
        <v>1771</v>
      </c>
      <c r="D244" s="453" t="s">
        <v>1274</v>
      </c>
      <c r="E244" s="453">
        <v>208</v>
      </c>
      <c r="F244" s="453">
        <v>21</v>
      </c>
      <c r="G244" s="453">
        <v>2020</v>
      </c>
      <c r="H244" s="453" t="s">
        <v>1691</v>
      </c>
      <c r="I244" s="453" t="s">
        <v>863</v>
      </c>
      <c r="J244" s="453" t="s">
        <v>1453</v>
      </c>
      <c r="K244" s="453">
        <v>1</v>
      </c>
      <c r="L244" s="454">
        <v>44105</v>
      </c>
      <c r="M244" s="455">
        <v>3329448</v>
      </c>
      <c r="N244" s="453" t="s">
        <v>3489</v>
      </c>
      <c r="O244" s="453" t="s">
        <v>3490</v>
      </c>
      <c r="P244" s="453" t="s">
        <v>3491</v>
      </c>
      <c r="Q244" s="453" t="s">
        <v>3492</v>
      </c>
    </row>
    <row r="245" spans="1:17" x14ac:dyDescent="0.25">
      <c r="A245" s="453">
        <v>180</v>
      </c>
      <c r="B245" s="453">
        <v>1</v>
      </c>
      <c r="C245" s="453" t="str">
        <f t="shared" si="3"/>
        <v>1801</v>
      </c>
      <c r="D245" s="453" t="s">
        <v>2773</v>
      </c>
      <c r="E245" s="453">
        <v>43</v>
      </c>
      <c r="F245" s="453">
        <v>383</v>
      </c>
      <c r="G245" s="453">
        <v>2020</v>
      </c>
      <c r="H245" s="453" t="s">
        <v>2814</v>
      </c>
      <c r="I245" s="453" t="s">
        <v>359</v>
      </c>
      <c r="J245" s="453" t="s">
        <v>1453</v>
      </c>
      <c r="K245" s="453">
        <v>1</v>
      </c>
      <c r="L245" s="454">
        <v>43945</v>
      </c>
      <c r="M245" s="455">
        <v>7088923</v>
      </c>
      <c r="N245" s="453" t="s">
        <v>2814</v>
      </c>
      <c r="O245" s="453" t="s">
        <v>3493</v>
      </c>
      <c r="P245" s="453" t="s">
        <v>3494</v>
      </c>
      <c r="Q245" s="453" t="s">
        <v>3495</v>
      </c>
    </row>
    <row r="246" spans="1:17" x14ac:dyDescent="0.25">
      <c r="A246" s="453">
        <v>180</v>
      </c>
      <c r="B246" s="453">
        <v>2</v>
      </c>
      <c r="C246" s="453" t="str">
        <f t="shared" si="3"/>
        <v>1802</v>
      </c>
      <c r="D246" s="453" t="s">
        <v>2773</v>
      </c>
      <c r="E246" s="453">
        <v>43</v>
      </c>
      <c r="F246" s="453">
        <v>353</v>
      </c>
      <c r="G246" s="453">
        <v>2019</v>
      </c>
      <c r="H246" s="453" t="s">
        <v>2814</v>
      </c>
      <c r="I246" s="453" t="s">
        <v>359</v>
      </c>
      <c r="J246" s="453" t="s">
        <v>1453</v>
      </c>
      <c r="K246" s="453">
        <v>1</v>
      </c>
      <c r="L246" s="454">
        <v>43817</v>
      </c>
      <c r="M246" s="455">
        <v>1032636</v>
      </c>
      <c r="N246" s="453" t="s">
        <v>3496</v>
      </c>
      <c r="O246" s="453" t="s">
        <v>2550</v>
      </c>
      <c r="P246" s="453" t="s">
        <v>3494</v>
      </c>
      <c r="Q246" s="453" t="s">
        <v>3497</v>
      </c>
    </row>
    <row r="247" spans="1:17" x14ac:dyDescent="0.25">
      <c r="A247" s="453">
        <v>180</v>
      </c>
      <c r="B247" s="453">
        <v>3</v>
      </c>
      <c r="C247" s="453" t="str">
        <f t="shared" si="3"/>
        <v>1803</v>
      </c>
      <c r="D247" s="453" t="s">
        <v>2773</v>
      </c>
      <c r="E247" s="453">
        <v>43</v>
      </c>
      <c r="F247" s="453">
        <v>330</v>
      </c>
      <c r="G247" s="453">
        <v>2018</v>
      </c>
      <c r="H247" s="453" t="s">
        <v>358</v>
      </c>
      <c r="I247" s="453" t="s">
        <v>359</v>
      </c>
      <c r="J247" s="453" t="s">
        <v>1453</v>
      </c>
      <c r="K247" s="453">
        <v>1</v>
      </c>
      <c r="L247" s="454">
        <v>43390</v>
      </c>
      <c r="M247" s="455">
        <v>2033073</v>
      </c>
      <c r="N247" s="453" t="s">
        <v>2549</v>
      </c>
      <c r="O247" s="453" t="s">
        <v>2550</v>
      </c>
      <c r="P247" s="453" t="s">
        <v>2551</v>
      </c>
      <c r="Q247" s="453" t="s">
        <v>2552</v>
      </c>
    </row>
    <row r="248" spans="1:17" x14ac:dyDescent="0.25">
      <c r="A248" s="453">
        <v>185</v>
      </c>
      <c r="B248" s="453">
        <v>1</v>
      </c>
      <c r="C248" s="453" t="str">
        <f t="shared" si="3"/>
        <v>1851</v>
      </c>
      <c r="D248" s="453" t="s">
        <v>2773</v>
      </c>
      <c r="E248" s="453">
        <v>43</v>
      </c>
      <c r="F248" s="453">
        <v>384</v>
      </c>
      <c r="G248" s="453">
        <v>2020</v>
      </c>
      <c r="H248" s="453" t="s">
        <v>2819</v>
      </c>
      <c r="I248" s="453" t="s">
        <v>125</v>
      </c>
      <c r="J248" s="453" t="s">
        <v>1453</v>
      </c>
      <c r="K248" s="453">
        <v>1</v>
      </c>
      <c r="L248" s="454">
        <v>43973</v>
      </c>
      <c r="M248" s="455">
        <v>4582678</v>
      </c>
      <c r="N248" s="453" t="s">
        <v>2819</v>
      </c>
      <c r="O248" s="453" t="s">
        <v>3498</v>
      </c>
      <c r="P248" s="453" t="s">
        <v>119</v>
      </c>
      <c r="Q248" s="453" t="s">
        <v>3499</v>
      </c>
    </row>
    <row r="249" spans="1:17" x14ac:dyDescent="0.25">
      <c r="A249" s="453">
        <v>185</v>
      </c>
      <c r="B249" s="453">
        <v>2</v>
      </c>
      <c r="C249" s="453" t="str">
        <f t="shared" si="3"/>
        <v>1852</v>
      </c>
      <c r="D249" s="453" t="s">
        <v>2773</v>
      </c>
      <c r="E249" s="453">
        <v>43</v>
      </c>
      <c r="F249" s="453">
        <v>385</v>
      </c>
      <c r="G249" s="453">
        <v>2020</v>
      </c>
      <c r="H249" s="453" t="s">
        <v>2819</v>
      </c>
      <c r="I249" s="453" t="s">
        <v>125</v>
      </c>
      <c r="J249" s="453" t="s">
        <v>1453</v>
      </c>
      <c r="K249" s="453">
        <v>2</v>
      </c>
      <c r="L249" s="454">
        <v>44127</v>
      </c>
      <c r="M249" s="455">
        <v>3368000</v>
      </c>
      <c r="N249" s="453" t="s">
        <v>2819</v>
      </c>
      <c r="O249" s="453" t="s">
        <v>3498</v>
      </c>
      <c r="P249" s="453" t="s">
        <v>119</v>
      </c>
      <c r="Q249" s="453" t="s">
        <v>3500</v>
      </c>
    </row>
    <row r="250" spans="1:17" x14ac:dyDescent="0.25">
      <c r="A250" s="453">
        <v>185</v>
      </c>
      <c r="B250" s="453">
        <v>3</v>
      </c>
      <c r="C250" s="453" t="str">
        <f t="shared" si="3"/>
        <v>1853</v>
      </c>
      <c r="D250" s="453" t="s">
        <v>2773</v>
      </c>
      <c r="E250" s="453">
        <v>43</v>
      </c>
      <c r="F250" s="453">
        <v>386</v>
      </c>
      <c r="G250" s="453">
        <v>2020</v>
      </c>
      <c r="H250" s="453" t="s">
        <v>2819</v>
      </c>
      <c r="I250" s="453" t="s">
        <v>125</v>
      </c>
      <c r="J250" s="453" t="s">
        <v>1453</v>
      </c>
      <c r="K250" s="453">
        <v>3</v>
      </c>
      <c r="L250" s="454">
        <v>44155</v>
      </c>
      <c r="M250" s="455">
        <v>3635000</v>
      </c>
      <c r="N250" s="453" t="s">
        <v>2819</v>
      </c>
      <c r="O250" s="453" t="s">
        <v>1968</v>
      </c>
      <c r="P250" s="453" t="s">
        <v>119</v>
      </c>
      <c r="Q250" s="453" t="s">
        <v>3501</v>
      </c>
    </row>
    <row r="251" spans="1:17" x14ac:dyDescent="0.25">
      <c r="A251" s="453">
        <v>185</v>
      </c>
      <c r="B251" s="453">
        <v>4</v>
      </c>
      <c r="C251" s="453" t="str">
        <f t="shared" si="3"/>
        <v>1854</v>
      </c>
      <c r="D251" s="453" t="s">
        <v>2773</v>
      </c>
      <c r="E251" s="453">
        <v>43</v>
      </c>
      <c r="F251" s="453">
        <v>387</v>
      </c>
      <c r="G251" s="453">
        <v>2020</v>
      </c>
      <c r="H251" s="453" t="s">
        <v>2819</v>
      </c>
      <c r="I251" s="453" t="s">
        <v>125</v>
      </c>
      <c r="J251" s="453" t="s">
        <v>1453</v>
      </c>
      <c r="K251" s="453">
        <v>4</v>
      </c>
      <c r="L251" s="454">
        <v>44187</v>
      </c>
      <c r="M251" s="455">
        <v>1200000</v>
      </c>
      <c r="N251" s="453" t="s">
        <v>2819</v>
      </c>
      <c r="O251" s="453" t="s">
        <v>1968</v>
      </c>
      <c r="P251" s="453" t="s">
        <v>119</v>
      </c>
      <c r="Q251" s="453" t="s">
        <v>3502</v>
      </c>
    </row>
    <row r="252" spans="1:17" x14ac:dyDescent="0.25">
      <c r="A252" s="453">
        <v>185</v>
      </c>
      <c r="B252" s="453">
        <v>5</v>
      </c>
      <c r="C252" s="453" t="str">
        <f t="shared" si="3"/>
        <v>1855</v>
      </c>
      <c r="D252" s="453" t="s">
        <v>2773</v>
      </c>
      <c r="E252" s="453">
        <v>43</v>
      </c>
      <c r="F252" s="453">
        <v>388</v>
      </c>
      <c r="G252" s="453">
        <v>2020</v>
      </c>
      <c r="H252" s="453" t="s">
        <v>2819</v>
      </c>
      <c r="I252" s="453" t="s">
        <v>125</v>
      </c>
      <c r="J252" s="453" t="s">
        <v>1453</v>
      </c>
      <c r="K252" s="453">
        <v>5</v>
      </c>
      <c r="L252" s="454">
        <v>43881</v>
      </c>
      <c r="M252" s="455">
        <v>13697067</v>
      </c>
      <c r="N252" s="453" t="s">
        <v>2819</v>
      </c>
      <c r="O252" s="453" t="s">
        <v>1968</v>
      </c>
      <c r="P252" s="453" t="s">
        <v>119</v>
      </c>
      <c r="Q252" s="453" t="s">
        <v>3303</v>
      </c>
    </row>
    <row r="253" spans="1:17" x14ac:dyDescent="0.25">
      <c r="A253" s="453">
        <v>185</v>
      </c>
      <c r="B253" s="453">
        <v>6</v>
      </c>
      <c r="C253" s="453" t="str">
        <f t="shared" si="3"/>
        <v>1856</v>
      </c>
      <c r="D253" s="453" t="s">
        <v>2773</v>
      </c>
      <c r="E253" s="453">
        <v>43</v>
      </c>
      <c r="F253" s="453">
        <v>354</v>
      </c>
      <c r="G253" s="453">
        <v>2019</v>
      </c>
      <c r="H253" s="453" t="s">
        <v>2819</v>
      </c>
      <c r="I253" s="453" t="s">
        <v>125</v>
      </c>
      <c r="J253" s="453" t="s">
        <v>1453</v>
      </c>
      <c r="K253" s="453">
        <v>1</v>
      </c>
      <c r="L253" s="454">
        <v>43818</v>
      </c>
      <c r="M253" s="455">
        <v>3768825</v>
      </c>
      <c r="N253" s="453" t="s">
        <v>2819</v>
      </c>
      <c r="O253" s="453" t="s">
        <v>1968</v>
      </c>
      <c r="P253" s="453" t="s">
        <v>119</v>
      </c>
      <c r="Q253" s="453" t="s">
        <v>3305</v>
      </c>
    </row>
    <row r="254" spans="1:17" x14ac:dyDescent="0.25">
      <c r="A254" s="453">
        <v>185</v>
      </c>
      <c r="B254" s="453">
        <v>7</v>
      </c>
      <c r="C254" s="453" t="str">
        <f t="shared" si="3"/>
        <v>1857</v>
      </c>
      <c r="D254" s="453" t="s">
        <v>2773</v>
      </c>
      <c r="E254" s="453">
        <v>43</v>
      </c>
      <c r="F254" s="453">
        <v>355</v>
      </c>
      <c r="G254" s="453">
        <v>2019</v>
      </c>
      <c r="H254" s="453" t="s">
        <v>2819</v>
      </c>
      <c r="I254" s="453" t="s">
        <v>125</v>
      </c>
      <c r="J254" s="453" t="s">
        <v>1453</v>
      </c>
      <c r="K254" s="453">
        <v>2</v>
      </c>
      <c r="L254" s="454">
        <v>43766</v>
      </c>
      <c r="M254" s="455">
        <v>4669070</v>
      </c>
      <c r="N254" s="453" t="s">
        <v>2819</v>
      </c>
      <c r="O254" s="453" t="s">
        <v>1968</v>
      </c>
      <c r="P254" s="453" t="s">
        <v>119</v>
      </c>
      <c r="Q254" s="453" t="s">
        <v>3503</v>
      </c>
    </row>
    <row r="255" spans="1:17" x14ac:dyDescent="0.25">
      <c r="A255" s="453">
        <v>185</v>
      </c>
      <c r="B255" s="453">
        <v>8</v>
      </c>
      <c r="C255" s="453" t="str">
        <f t="shared" si="3"/>
        <v>1858</v>
      </c>
      <c r="D255" s="453" t="s">
        <v>2773</v>
      </c>
      <c r="E255" s="453">
        <v>43</v>
      </c>
      <c r="F255" s="453">
        <v>356</v>
      </c>
      <c r="G255" s="453">
        <v>2019</v>
      </c>
      <c r="H255" s="453" t="s">
        <v>2819</v>
      </c>
      <c r="I255" s="453" t="s">
        <v>125</v>
      </c>
      <c r="J255" s="453" t="s">
        <v>1453</v>
      </c>
      <c r="K255" s="453">
        <v>3</v>
      </c>
      <c r="L255" s="454">
        <v>43818</v>
      </c>
      <c r="M255" s="455">
        <v>1426055</v>
      </c>
      <c r="N255" s="453" t="s">
        <v>2819</v>
      </c>
      <c r="O255" s="453" t="s">
        <v>1968</v>
      </c>
      <c r="P255" s="453" t="s">
        <v>119</v>
      </c>
      <c r="Q255" s="453" t="s">
        <v>3504</v>
      </c>
    </row>
    <row r="256" spans="1:17" x14ac:dyDescent="0.25">
      <c r="A256" s="453">
        <v>185</v>
      </c>
      <c r="B256" s="453">
        <v>9</v>
      </c>
      <c r="C256" s="453" t="str">
        <f t="shared" si="3"/>
        <v>1859</v>
      </c>
      <c r="D256" s="453" t="s">
        <v>2773</v>
      </c>
      <c r="E256" s="453">
        <v>43</v>
      </c>
      <c r="F256" s="453">
        <v>357</v>
      </c>
      <c r="G256" s="453">
        <v>2019</v>
      </c>
      <c r="H256" s="453" t="s">
        <v>2819</v>
      </c>
      <c r="I256" s="453" t="s">
        <v>125</v>
      </c>
      <c r="J256" s="453" t="s">
        <v>1453</v>
      </c>
      <c r="K256" s="453">
        <v>4</v>
      </c>
      <c r="L256" s="454">
        <v>43629</v>
      </c>
      <c r="M256" s="455">
        <v>4889581</v>
      </c>
      <c r="N256" s="453" t="s">
        <v>2819</v>
      </c>
      <c r="O256" s="453" t="s">
        <v>1968</v>
      </c>
      <c r="P256" s="453" t="s">
        <v>119</v>
      </c>
      <c r="Q256" s="453" t="s">
        <v>3505</v>
      </c>
    </row>
    <row r="257" spans="1:17" x14ac:dyDescent="0.25">
      <c r="A257" s="453">
        <v>185</v>
      </c>
      <c r="B257" s="453">
        <v>10</v>
      </c>
      <c r="C257" s="453" t="str">
        <f t="shared" si="3"/>
        <v>18510</v>
      </c>
      <c r="D257" s="453" t="s">
        <v>2773</v>
      </c>
      <c r="E257" s="453">
        <v>43</v>
      </c>
      <c r="F257" s="453">
        <v>358</v>
      </c>
      <c r="G257" s="453">
        <v>2019</v>
      </c>
      <c r="H257" s="453" t="s">
        <v>2819</v>
      </c>
      <c r="I257" s="453" t="s">
        <v>125</v>
      </c>
      <c r="J257" s="453" t="s">
        <v>1453</v>
      </c>
      <c r="K257" s="453">
        <v>5</v>
      </c>
      <c r="L257" s="454">
        <v>43781</v>
      </c>
      <c r="M257" s="455">
        <v>3451700</v>
      </c>
      <c r="N257" s="453" t="s">
        <v>2819</v>
      </c>
      <c r="O257" s="453" t="s">
        <v>3506</v>
      </c>
      <c r="P257" s="453" t="s">
        <v>119</v>
      </c>
      <c r="Q257" s="453" t="s">
        <v>3507</v>
      </c>
    </row>
    <row r="258" spans="1:17" x14ac:dyDescent="0.25">
      <c r="A258" s="453">
        <v>185</v>
      </c>
      <c r="B258" s="453">
        <v>11</v>
      </c>
      <c r="C258" s="453" t="str">
        <f t="shared" si="3"/>
        <v>18511</v>
      </c>
      <c r="D258" s="453" t="s">
        <v>2773</v>
      </c>
      <c r="E258" s="453">
        <v>43</v>
      </c>
      <c r="F258" s="453">
        <v>359</v>
      </c>
      <c r="G258" s="453">
        <v>2019</v>
      </c>
      <c r="H258" s="453" t="s">
        <v>2819</v>
      </c>
      <c r="I258" s="453" t="s">
        <v>125</v>
      </c>
      <c r="J258" s="453" t="s">
        <v>1453</v>
      </c>
      <c r="K258" s="453">
        <v>6</v>
      </c>
      <c r="L258" s="454">
        <v>43580</v>
      </c>
      <c r="M258" s="455">
        <v>4136070</v>
      </c>
      <c r="N258" s="453" t="s">
        <v>2819</v>
      </c>
      <c r="O258" s="453" t="s">
        <v>1968</v>
      </c>
      <c r="P258" s="453" t="s">
        <v>119</v>
      </c>
      <c r="Q258" s="453" t="s">
        <v>3508</v>
      </c>
    </row>
    <row r="259" spans="1:17" x14ac:dyDescent="0.25">
      <c r="A259" s="453">
        <v>185</v>
      </c>
      <c r="B259" s="453">
        <v>12</v>
      </c>
      <c r="C259" s="453" t="str">
        <f t="shared" si="3"/>
        <v>18512</v>
      </c>
      <c r="D259" s="453" t="s">
        <v>2773</v>
      </c>
      <c r="E259" s="453">
        <v>43</v>
      </c>
      <c r="F259" s="453">
        <v>360</v>
      </c>
      <c r="G259" s="453">
        <v>2019</v>
      </c>
      <c r="H259" s="453" t="s">
        <v>2819</v>
      </c>
      <c r="I259" s="453" t="s">
        <v>125</v>
      </c>
      <c r="J259" s="453" t="s">
        <v>1453</v>
      </c>
      <c r="K259" s="453">
        <v>7</v>
      </c>
      <c r="L259" s="454">
        <v>43766</v>
      </c>
      <c r="M259" s="455">
        <v>2478044</v>
      </c>
      <c r="N259" s="453" t="s">
        <v>2819</v>
      </c>
      <c r="O259" s="453" t="s">
        <v>3509</v>
      </c>
      <c r="P259" s="453" t="s">
        <v>119</v>
      </c>
      <c r="Q259" s="453" t="s">
        <v>3510</v>
      </c>
    </row>
    <row r="260" spans="1:17" x14ac:dyDescent="0.25">
      <c r="A260" s="453">
        <v>185</v>
      </c>
      <c r="B260" s="453">
        <v>13</v>
      </c>
      <c r="C260" s="453" t="str">
        <f t="shared" ref="C260:C276" si="4">CONCATENATE(A260,B260)</f>
        <v>18513</v>
      </c>
      <c r="D260" s="453" t="s">
        <v>2773</v>
      </c>
      <c r="E260" s="453">
        <v>43</v>
      </c>
      <c r="F260" s="453">
        <v>361</v>
      </c>
      <c r="G260" s="453">
        <v>2019</v>
      </c>
      <c r="H260" s="453" t="s">
        <v>2819</v>
      </c>
      <c r="I260" s="453" t="s">
        <v>125</v>
      </c>
      <c r="J260" s="453" t="s">
        <v>1453</v>
      </c>
      <c r="K260" s="453">
        <v>8</v>
      </c>
      <c r="L260" s="454">
        <v>43518</v>
      </c>
      <c r="M260" s="455">
        <v>1148488</v>
      </c>
      <c r="N260" s="453" t="s">
        <v>2819</v>
      </c>
      <c r="O260" s="453" t="s">
        <v>1968</v>
      </c>
      <c r="P260" s="453" t="s">
        <v>119</v>
      </c>
      <c r="Q260" s="453" t="s">
        <v>3511</v>
      </c>
    </row>
    <row r="261" spans="1:17" x14ac:dyDescent="0.25">
      <c r="A261" s="453">
        <v>185</v>
      </c>
      <c r="B261" s="453">
        <v>14</v>
      </c>
      <c r="C261" s="453" t="str">
        <f t="shared" si="4"/>
        <v>18514</v>
      </c>
      <c r="D261" s="453" t="s">
        <v>2773</v>
      </c>
      <c r="E261" s="453">
        <v>43</v>
      </c>
      <c r="F261" s="453">
        <v>362</v>
      </c>
      <c r="G261" s="453">
        <v>2019</v>
      </c>
      <c r="H261" s="453" t="s">
        <v>2819</v>
      </c>
      <c r="I261" s="453" t="s">
        <v>125</v>
      </c>
      <c r="J261" s="453" t="s">
        <v>1453</v>
      </c>
      <c r="K261" s="453">
        <v>9</v>
      </c>
      <c r="L261" s="454">
        <v>43781</v>
      </c>
      <c r="M261" s="455">
        <v>3013000</v>
      </c>
      <c r="N261" s="453" t="s">
        <v>2819</v>
      </c>
      <c r="O261" s="453" t="s">
        <v>3509</v>
      </c>
      <c r="P261" s="453" t="s">
        <v>119</v>
      </c>
      <c r="Q261" s="453" t="s">
        <v>3512</v>
      </c>
    </row>
    <row r="262" spans="1:17" x14ac:dyDescent="0.25">
      <c r="A262" s="453">
        <v>185</v>
      </c>
      <c r="B262" s="453">
        <v>15</v>
      </c>
      <c r="C262" s="453" t="str">
        <f t="shared" si="4"/>
        <v>18515</v>
      </c>
      <c r="D262" s="453" t="s">
        <v>2773</v>
      </c>
      <c r="E262" s="453">
        <v>43</v>
      </c>
      <c r="F262" s="453">
        <v>363</v>
      </c>
      <c r="G262" s="453">
        <v>2019</v>
      </c>
      <c r="H262" s="453" t="s">
        <v>2819</v>
      </c>
      <c r="I262" s="453" t="s">
        <v>125</v>
      </c>
      <c r="J262" s="453" t="s">
        <v>1453</v>
      </c>
      <c r="K262" s="453">
        <v>10</v>
      </c>
      <c r="L262" s="454">
        <v>43706</v>
      </c>
      <c r="M262" s="455">
        <v>2390400</v>
      </c>
      <c r="N262" s="453" t="s">
        <v>2819</v>
      </c>
      <c r="O262" s="453" t="s">
        <v>1968</v>
      </c>
      <c r="P262" s="453" t="s">
        <v>119</v>
      </c>
      <c r="Q262" s="453" t="s">
        <v>3513</v>
      </c>
    </row>
    <row r="263" spans="1:17" x14ac:dyDescent="0.25">
      <c r="A263" s="453">
        <v>185</v>
      </c>
      <c r="B263" s="453">
        <v>16</v>
      </c>
      <c r="C263" s="453" t="str">
        <f t="shared" si="4"/>
        <v>18516</v>
      </c>
      <c r="D263" s="453" t="s">
        <v>2773</v>
      </c>
      <c r="E263" s="453">
        <v>43</v>
      </c>
      <c r="F263" s="453">
        <v>364</v>
      </c>
      <c r="G263" s="453">
        <v>2019</v>
      </c>
      <c r="H263" s="453" t="s">
        <v>2819</v>
      </c>
      <c r="I263" s="453" t="s">
        <v>125</v>
      </c>
      <c r="J263" s="453" t="s">
        <v>1453</v>
      </c>
      <c r="K263" s="453">
        <v>11</v>
      </c>
      <c r="L263" s="454">
        <v>43781</v>
      </c>
      <c r="M263" s="455">
        <v>6198322</v>
      </c>
      <c r="N263" s="453" t="s">
        <v>2819</v>
      </c>
      <c r="O263" s="453" t="s">
        <v>1968</v>
      </c>
      <c r="P263" s="453" t="s">
        <v>119</v>
      </c>
      <c r="Q263" s="453" t="s">
        <v>3514</v>
      </c>
    </row>
    <row r="264" spans="1:17" x14ac:dyDescent="0.25">
      <c r="A264" s="453">
        <v>185</v>
      </c>
      <c r="B264" s="453">
        <v>17</v>
      </c>
      <c r="C264" s="453" t="str">
        <f t="shared" si="4"/>
        <v>18517</v>
      </c>
      <c r="D264" s="453" t="s">
        <v>2773</v>
      </c>
      <c r="E264" s="453">
        <v>43</v>
      </c>
      <c r="F264" s="453">
        <v>365</v>
      </c>
      <c r="G264" s="453">
        <v>2019</v>
      </c>
      <c r="H264" s="453" t="s">
        <v>2819</v>
      </c>
      <c r="I264" s="453" t="s">
        <v>125</v>
      </c>
      <c r="J264" s="453" t="s">
        <v>1453</v>
      </c>
      <c r="K264" s="453">
        <v>12</v>
      </c>
      <c r="L264" s="454">
        <v>43766</v>
      </c>
      <c r="M264" s="455">
        <v>1200000</v>
      </c>
      <c r="N264" s="453" t="s">
        <v>2819</v>
      </c>
      <c r="O264" s="453" t="s">
        <v>3509</v>
      </c>
      <c r="P264" s="453" t="s">
        <v>119</v>
      </c>
      <c r="Q264" s="453" t="s">
        <v>3515</v>
      </c>
    </row>
    <row r="265" spans="1:17" x14ac:dyDescent="0.25">
      <c r="A265" s="453">
        <v>185</v>
      </c>
      <c r="B265" s="453">
        <v>18</v>
      </c>
      <c r="C265" s="453" t="str">
        <f t="shared" si="4"/>
        <v>18518</v>
      </c>
      <c r="D265" s="453" t="s">
        <v>2773</v>
      </c>
      <c r="E265" s="453">
        <v>43</v>
      </c>
      <c r="F265" s="453">
        <v>331</v>
      </c>
      <c r="G265" s="453">
        <v>2018</v>
      </c>
      <c r="H265" s="453" t="s">
        <v>1158</v>
      </c>
      <c r="I265" s="453" t="s">
        <v>125</v>
      </c>
      <c r="J265" s="453" t="s">
        <v>1453</v>
      </c>
      <c r="K265" s="453">
        <v>1</v>
      </c>
      <c r="L265" s="454">
        <v>43152</v>
      </c>
      <c r="M265" s="455">
        <v>5044365</v>
      </c>
      <c r="N265" s="453" t="s">
        <v>2553</v>
      </c>
      <c r="O265" s="453" t="s">
        <v>2554</v>
      </c>
      <c r="P265" s="453" t="s">
        <v>2555</v>
      </c>
      <c r="Q265" s="453" t="s">
        <v>2562</v>
      </c>
    </row>
    <row r="266" spans="1:17" x14ac:dyDescent="0.25">
      <c r="A266" s="453">
        <v>185</v>
      </c>
      <c r="B266" s="453">
        <v>19</v>
      </c>
      <c r="C266" s="453" t="str">
        <f t="shared" si="4"/>
        <v>18519</v>
      </c>
      <c r="D266" s="453" t="s">
        <v>2773</v>
      </c>
      <c r="E266" s="453">
        <v>43</v>
      </c>
      <c r="F266" s="453">
        <v>332</v>
      </c>
      <c r="G266" s="453">
        <v>2018</v>
      </c>
      <c r="H266" s="453" t="s">
        <v>1158</v>
      </c>
      <c r="I266" s="453" t="s">
        <v>125</v>
      </c>
      <c r="J266" s="453" t="s">
        <v>1453</v>
      </c>
      <c r="K266" s="453">
        <v>2</v>
      </c>
      <c r="L266" s="454">
        <v>43209</v>
      </c>
      <c r="M266" s="455">
        <v>4300000</v>
      </c>
      <c r="N266" s="453" t="s">
        <v>2553</v>
      </c>
      <c r="O266" s="453" t="s">
        <v>2560</v>
      </c>
      <c r="P266" s="453" t="s">
        <v>2555</v>
      </c>
      <c r="Q266" s="453" t="s">
        <v>2561</v>
      </c>
    </row>
    <row r="267" spans="1:17" x14ac:dyDescent="0.25">
      <c r="A267" s="453">
        <v>185</v>
      </c>
      <c r="B267" s="453">
        <v>20</v>
      </c>
      <c r="C267" s="453" t="str">
        <f t="shared" si="4"/>
        <v>18520</v>
      </c>
      <c r="D267" s="453" t="s">
        <v>2773</v>
      </c>
      <c r="E267" s="453">
        <v>43</v>
      </c>
      <c r="F267" s="453">
        <v>333</v>
      </c>
      <c r="G267" s="453">
        <v>2018</v>
      </c>
      <c r="H267" s="453" t="s">
        <v>1158</v>
      </c>
      <c r="I267" s="453" t="s">
        <v>125</v>
      </c>
      <c r="J267" s="453" t="s">
        <v>1453</v>
      </c>
      <c r="K267" s="453">
        <v>3</v>
      </c>
      <c r="L267" s="454">
        <v>43265</v>
      </c>
      <c r="M267" s="455">
        <v>5705836</v>
      </c>
      <c r="N267" s="453" t="s">
        <v>2553</v>
      </c>
      <c r="O267" s="453" t="s">
        <v>2560</v>
      </c>
      <c r="P267" s="453" t="s">
        <v>2555</v>
      </c>
      <c r="Q267" s="453" t="s">
        <v>2427</v>
      </c>
    </row>
    <row r="268" spans="1:17" x14ac:dyDescent="0.25">
      <c r="A268" s="453">
        <v>185</v>
      </c>
      <c r="B268" s="453">
        <v>21</v>
      </c>
      <c r="C268" s="453" t="str">
        <f t="shared" si="4"/>
        <v>18521</v>
      </c>
      <c r="D268" s="453" t="s">
        <v>2773</v>
      </c>
      <c r="E268" s="453">
        <v>43</v>
      </c>
      <c r="F268" s="453">
        <v>334</v>
      </c>
      <c r="G268" s="453">
        <v>2018</v>
      </c>
      <c r="H268" s="453" t="s">
        <v>1158</v>
      </c>
      <c r="I268" s="453" t="s">
        <v>125</v>
      </c>
      <c r="J268" s="453" t="s">
        <v>1453</v>
      </c>
      <c r="K268" s="453">
        <v>4</v>
      </c>
      <c r="L268" s="457">
        <v>43392</v>
      </c>
      <c r="M268" s="453">
        <v>4200000</v>
      </c>
      <c r="N268" s="453" t="s">
        <v>2553</v>
      </c>
      <c r="O268" s="453" t="s">
        <v>2554</v>
      </c>
      <c r="P268" s="453" t="s">
        <v>2555</v>
      </c>
      <c r="Q268" s="453" t="s">
        <v>2559</v>
      </c>
    </row>
    <row r="269" spans="1:17" x14ac:dyDescent="0.25">
      <c r="A269" s="453">
        <v>185</v>
      </c>
      <c r="B269" s="453">
        <v>22</v>
      </c>
      <c r="C269" s="453" t="str">
        <f t="shared" si="4"/>
        <v>18522</v>
      </c>
      <c r="D269" s="453" t="s">
        <v>2773</v>
      </c>
      <c r="E269" s="453">
        <v>43</v>
      </c>
      <c r="F269" s="453">
        <v>335</v>
      </c>
      <c r="G269" s="453">
        <v>2018</v>
      </c>
      <c r="H269" s="453" t="s">
        <v>1158</v>
      </c>
      <c r="I269" s="453" t="s">
        <v>125</v>
      </c>
      <c r="J269" s="453" t="s">
        <v>1453</v>
      </c>
      <c r="K269" s="453">
        <v>5</v>
      </c>
      <c r="L269" s="457">
        <v>43214</v>
      </c>
      <c r="M269" s="506">
        <v>3030262</v>
      </c>
      <c r="N269" s="453" t="s">
        <v>2553</v>
      </c>
      <c r="O269" s="453" t="s">
        <v>2554</v>
      </c>
      <c r="P269" s="453" t="s">
        <v>2555</v>
      </c>
      <c r="Q269" s="453" t="s">
        <v>2558</v>
      </c>
    </row>
    <row r="270" spans="1:17" x14ac:dyDescent="0.25">
      <c r="A270" s="453">
        <v>185</v>
      </c>
      <c r="B270" s="453">
        <v>23</v>
      </c>
      <c r="C270" s="453" t="str">
        <f t="shared" si="4"/>
        <v>18523</v>
      </c>
      <c r="D270" s="453" t="s">
        <v>2773</v>
      </c>
      <c r="E270" s="453">
        <v>43</v>
      </c>
      <c r="F270" s="453">
        <v>336</v>
      </c>
      <c r="G270" s="453">
        <v>2018</v>
      </c>
      <c r="H270" s="453" t="s">
        <v>1158</v>
      </c>
      <c r="I270" s="453" t="s">
        <v>125</v>
      </c>
      <c r="J270" s="453" t="s">
        <v>1453</v>
      </c>
      <c r="K270" s="453">
        <v>6</v>
      </c>
      <c r="L270" s="457">
        <v>43157</v>
      </c>
      <c r="M270" s="506">
        <v>2400000</v>
      </c>
      <c r="N270" s="453" t="s">
        <v>2553</v>
      </c>
      <c r="O270" s="453" t="s">
        <v>2554</v>
      </c>
      <c r="P270" s="453" t="s">
        <v>2555</v>
      </c>
      <c r="Q270" s="453" t="s">
        <v>2557</v>
      </c>
    </row>
    <row r="271" spans="1:17" x14ac:dyDescent="0.25">
      <c r="A271" s="453">
        <v>185</v>
      </c>
      <c r="B271" s="453">
        <v>24</v>
      </c>
      <c r="C271" s="453" t="str">
        <f t="shared" si="4"/>
        <v>18524</v>
      </c>
      <c r="D271" s="453" t="s">
        <v>2773</v>
      </c>
      <c r="E271" s="453">
        <v>43</v>
      </c>
      <c r="F271" s="453">
        <v>337</v>
      </c>
      <c r="G271" s="453">
        <v>2018</v>
      </c>
      <c r="H271" s="453" t="s">
        <v>1158</v>
      </c>
      <c r="I271" s="453" t="s">
        <v>125</v>
      </c>
      <c r="J271" s="453" t="s">
        <v>1453</v>
      </c>
      <c r="K271" s="453">
        <v>7</v>
      </c>
      <c r="L271" s="457">
        <v>43319</v>
      </c>
      <c r="M271" s="506">
        <v>111544771</v>
      </c>
      <c r="N271" s="453" t="s">
        <v>2553</v>
      </c>
      <c r="O271" s="453" t="s">
        <v>2554</v>
      </c>
      <c r="P271" s="453" t="s">
        <v>2555</v>
      </c>
      <c r="Q271" s="453" t="s">
        <v>2556</v>
      </c>
    </row>
    <row r="272" spans="1:17" x14ac:dyDescent="0.25">
      <c r="A272" s="430">
        <v>187</v>
      </c>
      <c r="B272" s="430">
        <v>1</v>
      </c>
      <c r="C272" s="453" t="str">
        <f t="shared" si="4"/>
        <v>1871</v>
      </c>
      <c r="D272" s="432" t="s">
        <v>3527</v>
      </c>
      <c r="E272" s="430">
        <v>43</v>
      </c>
      <c r="F272" s="430">
        <v>389</v>
      </c>
      <c r="G272" s="430">
        <v>2020</v>
      </c>
      <c r="H272" s="430" t="s">
        <v>861</v>
      </c>
      <c r="I272" s="430" t="s">
        <v>862</v>
      </c>
      <c r="J272" s="431" t="s">
        <v>1453</v>
      </c>
      <c r="K272" s="430">
        <v>1</v>
      </c>
      <c r="L272" s="430">
        <v>44187</v>
      </c>
      <c r="M272" s="432">
        <v>1806629</v>
      </c>
      <c r="N272" s="430" t="s">
        <v>3516</v>
      </c>
      <c r="O272" s="430" t="s">
        <v>3517</v>
      </c>
      <c r="P272" s="430" t="s">
        <v>3518</v>
      </c>
      <c r="Q272" s="430" t="s">
        <v>3519</v>
      </c>
    </row>
    <row r="273" spans="1:17" x14ac:dyDescent="0.25">
      <c r="A273" s="430">
        <v>187</v>
      </c>
      <c r="B273" s="430">
        <v>2</v>
      </c>
      <c r="C273" s="453" t="str">
        <f t="shared" si="4"/>
        <v>1872</v>
      </c>
      <c r="D273" s="432" t="s">
        <v>3527</v>
      </c>
      <c r="E273" s="430">
        <v>43</v>
      </c>
      <c r="F273" s="430">
        <v>366</v>
      </c>
      <c r="G273" s="430">
        <v>2019</v>
      </c>
      <c r="H273" s="430" t="s">
        <v>861</v>
      </c>
      <c r="I273" s="430" t="s">
        <v>862</v>
      </c>
      <c r="J273" s="431" t="s">
        <v>1453</v>
      </c>
      <c r="K273" s="430">
        <v>1</v>
      </c>
      <c r="L273" s="430">
        <v>43817</v>
      </c>
      <c r="M273" s="432">
        <v>3370414</v>
      </c>
      <c r="N273" s="430" t="s">
        <v>3520</v>
      </c>
      <c r="O273" s="430" t="s">
        <v>3521</v>
      </c>
      <c r="P273" s="430" t="s">
        <v>3522</v>
      </c>
      <c r="Q273" s="430" t="s">
        <v>3523</v>
      </c>
    </row>
    <row r="274" spans="1:17" x14ac:dyDescent="0.25">
      <c r="A274" s="430">
        <v>191</v>
      </c>
      <c r="B274" s="430">
        <v>1</v>
      </c>
      <c r="C274" s="453" t="str">
        <f t="shared" si="4"/>
        <v>1911</v>
      </c>
      <c r="D274" s="432" t="s">
        <v>3528</v>
      </c>
      <c r="E274" s="430">
        <v>24</v>
      </c>
      <c r="F274" s="430">
        <v>93</v>
      </c>
      <c r="G274" s="430">
        <v>2020</v>
      </c>
      <c r="H274" s="430" t="s">
        <v>1697</v>
      </c>
      <c r="I274" s="430" t="s">
        <v>1698</v>
      </c>
      <c r="J274" s="431" t="s">
        <v>1453</v>
      </c>
      <c r="K274" s="430">
        <v>1</v>
      </c>
      <c r="L274" s="430">
        <v>44040</v>
      </c>
      <c r="M274" s="432">
        <v>1633000</v>
      </c>
      <c r="N274" s="430" t="s">
        <v>1697</v>
      </c>
      <c r="O274" s="430" t="s">
        <v>2264</v>
      </c>
      <c r="P274" s="430" t="s">
        <v>2350</v>
      </c>
      <c r="Q274" s="430" t="s">
        <v>3524</v>
      </c>
    </row>
    <row r="275" spans="1:17" x14ac:dyDescent="0.25">
      <c r="A275" s="430">
        <v>191</v>
      </c>
      <c r="B275" s="430">
        <v>2</v>
      </c>
      <c r="C275" s="453" t="str">
        <f t="shared" si="4"/>
        <v>1912</v>
      </c>
      <c r="D275" s="432" t="s">
        <v>3528</v>
      </c>
      <c r="E275" s="430">
        <v>24</v>
      </c>
      <c r="F275" s="430">
        <v>94</v>
      </c>
      <c r="G275" s="430">
        <v>2020</v>
      </c>
      <c r="H275" s="430" t="s">
        <v>1697</v>
      </c>
      <c r="I275" s="430" t="s">
        <v>1698</v>
      </c>
      <c r="J275" s="431" t="s">
        <v>1453</v>
      </c>
      <c r="K275" s="430">
        <v>2</v>
      </c>
      <c r="L275" s="430">
        <v>44103</v>
      </c>
      <c r="M275" s="432">
        <v>1435000</v>
      </c>
      <c r="N275" s="430" t="s">
        <v>1697</v>
      </c>
      <c r="O275" s="430" t="s">
        <v>2264</v>
      </c>
      <c r="P275" s="430" t="s">
        <v>2350</v>
      </c>
      <c r="Q275" s="430" t="s">
        <v>3525</v>
      </c>
    </row>
    <row r="276" spans="1:17" x14ac:dyDescent="0.25">
      <c r="A276" s="430">
        <v>191</v>
      </c>
      <c r="B276" s="430">
        <v>3</v>
      </c>
      <c r="C276" s="453" t="str">
        <f t="shared" si="4"/>
        <v>1913</v>
      </c>
      <c r="D276" s="432" t="s">
        <v>3528</v>
      </c>
      <c r="E276" s="430">
        <v>24</v>
      </c>
      <c r="F276" s="430">
        <v>85</v>
      </c>
      <c r="G276" s="430">
        <v>2019</v>
      </c>
      <c r="H276" s="430" t="s">
        <v>1697</v>
      </c>
      <c r="I276" s="430" t="s">
        <v>1698</v>
      </c>
      <c r="J276" s="431" t="s">
        <v>1453</v>
      </c>
      <c r="K276" s="430">
        <v>1</v>
      </c>
      <c r="L276" s="430">
        <v>43735</v>
      </c>
      <c r="M276" s="432">
        <v>1000511</v>
      </c>
      <c r="N276" s="430" t="s">
        <v>1697</v>
      </c>
      <c r="O276" s="430" t="s">
        <v>2264</v>
      </c>
      <c r="P276" s="430" t="s">
        <v>1697</v>
      </c>
      <c r="Q276" s="430" t="s">
        <v>3526</v>
      </c>
    </row>
  </sheetData>
  <sheetProtection algorithmName="SHA-512" hashValue="nVuW7fl2hSHE2IoqEced1ja07HuEbu8fJeWYIINaxBTPO3+kU3mbYygZCMKs17L6Q77P/gxQ8UY0Qxxs6kQLWg==" saltValue="Fq0cUAjHfOKfwkHcC28IBQ==" spinCount="100000" sheet="1" objects="1" scenarios="1"/>
  <conditionalFormatting sqref="C1:C1048576">
    <cfRule type="duplicateValues" dxfId="0" priority="1"/>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Z812"/>
  <sheetViews>
    <sheetView view="pageBreakPreview" zoomScale="85" zoomScaleNormal="100" zoomScaleSheetLayoutView="85" workbookViewId="0">
      <selection activeCell="O6" sqref="O6"/>
    </sheetView>
  </sheetViews>
  <sheetFormatPr defaultColWidth="7.7109375" defaultRowHeight="25.5" customHeight="1" x14ac:dyDescent="0.2"/>
  <cols>
    <col min="1" max="19" width="7.7109375" style="1" customWidth="1"/>
    <col min="20" max="16384" width="7.7109375" style="1"/>
  </cols>
  <sheetData>
    <row r="1" spans="1:26" ht="25.5" customHeight="1" x14ac:dyDescent="0.4">
      <c r="A1" s="807" t="s">
        <v>2830</v>
      </c>
      <c r="B1" s="808"/>
      <c r="C1" s="808"/>
      <c r="D1" s="808"/>
      <c r="E1" s="808"/>
      <c r="F1" s="808"/>
      <c r="G1" s="808"/>
      <c r="H1" s="808"/>
      <c r="I1" s="808"/>
      <c r="J1" s="808"/>
      <c r="K1" s="808"/>
      <c r="L1" s="808"/>
      <c r="M1" s="808"/>
      <c r="N1" s="2"/>
      <c r="O1" s="2"/>
      <c r="P1" s="2"/>
      <c r="Q1" s="2"/>
      <c r="R1" s="2"/>
    </row>
    <row r="2" spans="1:26" ht="25.5" customHeight="1" x14ac:dyDescent="0.4">
      <c r="A2" s="809" t="s">
        <v>72</v>
      </c>
      <c r="B2" s="809"/>
      <c r="C2" s="809"/>
      <c r="D2" s="809"/>
      <c r="E2" s="809"/>
      <c r="F2" s="809"/>
      <c r="G2" s="809"/>
      <c r="H2" s="809"/>
      <c r="I2" s="809"/>
      <c r="J2" s="809"/>
      <c r="K2" s="809"/>
      <c r="L2" s="809"/>
      <c r="M2" s="809"/>
      <c r="N2" s="2"/>
      <c r="O2" s="2"/>
      <c r="P2" s="2"/>
      <c r="Q2" s="2"/>
      <c r="R2" s="2"/>
    </row>
    <row r="3" spans="1:26" ht="25.5" customHeight="1" x14ac:dyDescent="0.2">
      <c r="A3" s="810" t="s">
        <v>73</v>
      </c>
      <c r="B3" s="674"/>
      <c r="C3" s="674"/>
      <c r="D3" s="674"/>
      <c r="E3" s="674"/>
      <c r="F3" s="674"/>
      <c r="G3" s="674"/>
      <c r="H3" s="674"/>
      <c r="I3" s="674"/>
      <c r="J3" s="674"/>
      <c r="K3" s="674"/>
      <c r="L3" s="674"/>
      <c r="M3" s="674"/>
      <c r="N3" s="2"/>
      <c r="O3" s="2"/>
      <c r="P3" s="2"/>
      <c r="Q3" s="2"/>
      <c r="R3" s="2"/>
    </row>
    <row r="4" spans="1:26" ht="25.5" customHeight="1" x14ac:dyDescent="0.2">
      <c r="A4" s="567" t="s">
        <v>74</v>
      </c>
      <c r="B4" s="567"/>
      <c r="C4" s="567"/>
      <c r="D4" s="567"/>
      <c r="E4" s="567"/>
      <c r="F4" s="567"/>
      <c r="G4" s="567"/>
      <c r="H4" s="567"/>
      <c r="I4" s="567"/>
      <c r="J4" s="567"/>
      <c r="K4" s="567"/>
      <c r="L4" s="567"/>
      <c r="M4" s="567"/>
      <c r="N4" s="2"/>
      <c r="O4" s="2"/>
      <c r="P4" s="2"/>
      <c r="Q4" s="2"/>
      <c r="R4" s="2"/>
    </row>
    <row r="5" spans="1:26" ht="25.5" customHeight="1" x14ac:dyDescent="0.2">
      <c r="A5" s="804" t="s">
        <v>75</v>
      </c>
      <c r="B5" s="805"/>
      <c r="C5" s="806"/>
      <c r="D5" s="4"/>
      <c r="E5" s="811" t="str">
        <f>IF(NOT(ISNUMBER(D5)),"This is the unique ID assigned to your facility for the HCCIS data collection.  Please click on the HCCIS ID link, select your ID from the list, and enter it here.",IF((D5)&gt;=200,"There are many items that Psychiatric or Specialty hospitals will NOT need to complete.  Watch for links that will enable you to ""skip"" these non-required items.",""))</f>
        <v>This is the unique ID assigned to your facility for the HCCIS data collection.  Please click on the HCCIS ID link, select your ID from the list, and enter it here.</v>
      </c>
      <c r="F5" s="812"/>
      <c r="G5" s="812"/>
      <c r="H5" s="812"/>
      <c r="I5" s="812"/>
      <c r="J5" s="812"/>
      <c r="K5" s="812"/>
      <c r="L5" s="812"/>
      <c r="M5" s="812"/>
      <c r="N5" s="2"/>
      <c r="O5" s="2"/>
      <c r="P5" s="2"/>
      <c r="Q5" s="2"/>
      <c r="R5" s="2"/>
    </row>
    <row r="6" spans="1:26" ht="25.5" customHeight="1" x14ac:dyDescent="0.2">
      <c r="A6" s="804" t="s">
        <v>76</v>
      </c>
      <c r="B6" s="805"/>
      <c r="C6" s="806"/>
      <c r="D6" s="813" t="str">
        <f>IF(ISBLANK(D5),"",IF(LEN(VLOOKUP($D$5,ID_list,2,FALSE))=0,"",VLOOKUP($D$5,ID_list,2,FALSE)))</f>
        <v/>
      </c>
      <c r="E6" s="814"/>
      <c r="F6" s="815" t="s">
        <v>77</v>
      </c>
      <c r="G6" s="617"/>
      <c r="H6" s="617"/>
      <c r="I6" s="617"/>
      <c r="J6" s="617"/>
      <c r="K6" s="617"/>
      <c r="L6" s="617"/>
      <c r="M6" s="617"/>
      <c r="N6" s="2"/>
      <c r="O6" s="2"/>
      <c r="P6" s="2"/>
      <c r="Q6" s="2"/>
      <c r="R6" s="2"/>
    </row>
    <row r="7" spans="1:26" ht="25.5" customHeight="1" x14ac:dyDescent="0.2">
      <c r="A7" s="655" t="s">
        <v>78</v>
      </c>
      <c r="B7" s="656"/>
      <c r="C7" s="657"/>
      <c r="D7" s="658" t="str">
        <f>IF(ISBLANK($D$5),"",IF(LEN(VLOOKUP($D$5,ID_list,3,FALSE))=0,"",(VLOOKUP($D$5,ID_list,3,FALSE))))</f>
        <v/>
      </c>
      <c r="E7" s="659"/>
      <c r="F7" s="659"/>
      <c r="G7" s="659"/>
      <c r="H7" s="659"/>
      <c r="I7" s="669"/>
      <c r="J7" s="2"/>
      <c r="K7" s="2"/>
      <c r="L7" s="2"/>
      <c r="M7" s="2"/>
      <c r="N7" s="2"/>
      <c r="O7" s="2"/>
      <c r="P7" s="2"/>
      <c r="Q7" s="2"/>
      <c r="R7" s="2"/>
    </row>
    <row r="8" spans="1:26" ht="25.5" customHeight="1" x14ac:dyDescent="0.2">
      <c r="A8" s="655" t="s">
        <v>79</v>
      </c>
      <c r="B8" s="656"/>
      <c r="C8" s="657"/>
      <c r="D8" s="658" t="str">
        <f>IF(ISBLANK(D5),"",CONCATENATE(VLOOKUP($D$5,ID_list,5,FALSE)," ",VLOOKUP($D$5,ID_list,6,FALSE)))</f>
        <v/>
      </c>
      <c r="E8" s="659"/>
      <c r="F8" s="659"/>
      <c r="G8" s="659"/>
      <c r="H8" s="659"/>
      <c r="I8" s="669"/>
      <c r="J8" s="816" t="s">
        <v>80</v>
      </c>
      <c r="K8" s="817"/>
      <c r="L8" s="796"/>
      <c r="M8" s="797"/>
      <c r="N8" s="2"/>
      <c r="O8" s="2"/>
      <c r="P8" s="2"/>
      <c r="Q8" s="2"/>
      <c r="R8" s="2"/>
    </row>
    <row r="9" spans="1:26" ht="25.5" customHeight="1" x14ac:dyDescent="0.2">
      <c r="A9" s="655" t="s">
        <v>81</v>
      </c>
      <c r="B9" s="656"/>
      <c r="C9" s="657"/>
      <c r="D9" s="658" t="str">
        <f>IF(ISBLANK(D5),"",IF(LEN(VLOOKUP($D$5,ID_list,7,FALSE))=0,"",VLOOKUP($D$5,ID_list,7,FALSE)))</f>
        <v/>
      </c>
      <c r="E9" s="659"/>
      <c r="F9" s="659"/>
      <c r="G9" s="659"/>
      <c r="H9" s="659"/>
      <c r="I9" s="669"/>
      <c r="J9" s="816" t="s">
        <v>82</v>
      </c>
      <c r="K9" s="817"/>
      <c r="L9" s="796"/>
      <c r="M9" s="801"/>
      <c r="N9" s="2"/>
      <c r="O9" s="2"/>
      <c r="P9" s="2"/>
      <c r="Q9" s="2"/>
      <c r="R9" s="2"/>
    </row>
    <row r="10" spans="1:26" ht="25.5" customHeight="1" x14ac:dyDescent="0.2">
      <c r="A10" s="655" t="s">
        <v>83</v>
      </c>
      <c r="B10" s="656"/>
      <c r="C10" s="657"/>
      <c r="D10" s="658" t="str">
        <f>IF(ISBLANK(D5),"",VLOOKUP($D$5,ID_list,4,FALSE))</f>
        <v/>
      </c>
      <c r="E10" s="659"/>
      <c r="F10" s="659"/>
      <c r="G10" s="659"/>
      <c r="H10" s="659"/>
      <c r="I10" s="669"/>
      <c r="J10" s="798" t="s">
        <v>84</v>
      </c>
      <c r="K10" s="799"/>
      <c r="L10" s="799"/>
      <c r="M10" s="800"/>
      <c r="N10" s="2"/>
      <c r="O10" s="2"/>
      <c r="P10" s="2"/>
      <c r="Q10" s="2"/>
      <c r="R10" s="2"/>
    </row>
    <row r="11" spans="1:26" ht="25.5" customHeight="1" x14ac:dyDescent="0.2">
      <c r="A11" s="655" t="s">
        <v>85</v>
      </c>
      <c r="B11" s="656"/>
      <c r="C11" s="657"/>
      <c r="D11" s="658" t="str">
        <f>IF(ISBLANK(D5),"",CONCATENATE(VLOOKUP($D$5,ID_list,10,FALSE),"-",VLOOKUP($D$5,ID_list,11,FALSE)))</f>
        <v/>
      </c>
      <c r="E11" s="659"/>
      <c r="F11" s="659"/>
      <c r="G11" s="659"/>
      <c r="H11" s="659"/>
      <c r="I11" s="669"/>
      <c r="J11" s="834" t="s">
        <v>2833</v>
      </c>
      <c r="K11" s="830"/>
      <c r="L11" s="835"/>
      <c r="M11" s="836"/>
      <c r="N11" s="826" t="str">
        <f>IF(ISBLANK(D5),"",IF(ISBLANK(L11),"This item can not be left blank. Please review instructions.",""))</f>
        <v/>
      </c>
      <c r="O11" s="827"/>
      <c r="P11" s="827"/>
      <c r="Q11" s="827"/>
      <c r="R11" s="828"/>
    </row>
    <row r="12" spans="1:26" ht="25.5" customHeight="1" x14ac:dyDescent="0.2">
      <c r="A12" s="655" t="s">
        <v>86</v>
      </c>
      <c r="B12" s="656"/>
      <c r="C12" s="657"/>
      <c r="D12" s="658" t="str">
        <f>IF(ISBLANK(D5),"",VLOOKUP($D$5,ID_list,8,FALSE))</f>
        <v/>
      </c>
      <c r="E12" s="659"/>
      <c r="F12" s="659"/>
      <c r="G12" s="659"/>
      <c r="H12" s="659"/>
      <c r="I12" s="659"/>
      <c r="J12" s="829" t="s">
        <v>87</v>
      </c>
      <c r="K12" s="830"/>
      <c r="L12" s="831"/>
      <c r="M12" s="832"/>
      <c r="N12" s="833" t="str">
        <f>IF(ISBLANK(D5),"",IF(ISBLANK(L12),"This item can not be left blank. Please review instructions.",IF(NOT(ISNUMBER(L12)),"Please enter positive integers only",IF(L12&lt;&gt;12,"All reports must be for a 12 month period.",""))))</f>
        <v/>
      </c>
      <c r="O12" s="833"/>
      <c r="P12" s="833"/>
      <c r="Q12" s="833"/>
      <c r="R12" s="833"/>
      <c r="Z12" s="383"/>
    </row>
    <row r="13" spans="1:26" ht="25.5" customHeight="1" x14ac:dyDescent="0.2">
      <c r="A13" s="655" t="s">
        <v>88</v>
      </c>
      <c r="B13" s="656"/>
      <c r="C13" s="657"/>
      <c r="D13" s="837" t="str">
        <f>IF(ISBLANK(D5),"",VLOOKUP($D$5,ID_list,12,FALSE))</f>
        <v/>
      </c>
      <c r="E13" s="838"/>
      <c r="F13" s="838"/>
      <c r="G13" s="838"/>
      <c r="H13" s="838"/>
      <c r="I13" s="839"/>
      <c r="J13" s="840" t="s">
        <v>89</v>
      </c>
      <c r="K13" s="841"/>
      <c r="L13" s="841"/>
      <c r="M13" s="842"/>
      <c r="N13" s="2"/>
      <c r="O13" s="2"/>
      <c r="P13" s="2"/>
      <c r="Q13" s="2"/>
      <c r="R13" s="2"/>
      <c r="Z13" s="383" t="s">
        <v>364</v>
      </c>
    </row>
    <row r="14" spans="1:26" ht="25.5" customHeight="1" x14ac:dyDescent="0.2">
      <c r="A14" s="655" t="s">
        <v>90</v>
      </c>
      <c r="B14" s="656"/>
      <c r="C14" s="657"/>
      <c r="D14" s="837" t="str">
        <f>IF(ISBLANK(D5),"",VLOOKUP($D$5,ID_list,13,FALSE))</f>
        <v/>
      </c>
      <c r="E14" s="838"/>
      <c r="F14" s="838"/>
      <c r="G14" s="838"/>
      <c r="H14" s="838"/>
      <c r="I14" s="839"/>
      <c r="J14" s="798" t="s">
        <v>91</v>
      </c>
      <c r="K14" s="800"/>
      <c r="L14" s="798" t="s">
        <v>92</v>
      </c>
      <c r="M14" s="800"/>
      <c r="N14" s="2"/>
      <c r="O14" s="2"/>
      <c r="P14" s="2"/>
      <c r="Q14" s="2"/>
      <c r="R14" s="2"/>
      <c r="Z14" s="383" t="s">
        <v>365</v>
      </c>
    </row>
    <row r="15" spans="1:26" ht="25.5" customHeight="1" x14ac:dyDescent="0.2">
      <c r="A15" s="655" t="s">
        <v>93</v>
      </c>
      <c r="B15" s="656"/>
      <c r="C15" s="657"/>
      <c r="D15" s="658" t="str">
        <f>IF(ISBLANK(D5),"",CONCATENATE(VLOOKUP($D$5,ID_list,14,FALSE)," ",VLOOKUP($D$5,ID_list,15,FALSE)))</f>
        <v/>
      </c>
      <c r="E15" s="659"/>
      <c r="F15" s="659"/>
      <c r="G15" s="659"/>
      <c r="H15" s="659"/>
      <c r="I15" s="669"/>
      <c r="J15" s="802" t="str">
        <f>IF(ISBLANK(D5),"",IF(EXACT(VLOOKUP($D$5,ID_list,36,0),1),"X",""))</f>
        <v/>
      </c>
      <c r="K15" s="803"/>
      <c r="L15" s="802" t="str">
        <f>IF(ISBLANK(D5),"",IF(EXACT(VLOOKUP($D$5,ID_list,36,FALSE),0),"X",""))</f>
        <v/>
      </c>
      <c r="M15" s="803"/>
      <c r="N15" s="615" t="str">
        <f>IF(ISBLANK(D5),"",IF(COUNTBLANK(J15:M15)=3,"",IF(COUNTBLANK(J15:M15)&lt;&gt;3,"Please indicate your CAH status","")))</f>
        <v/>
      </c>
      <c r="O15" s="616"/>
      <c r="P15" s="616"/>
      <c r="Q15" s="616"/>
      <c r="R15" s="616"/>
      <c r="Z15" s="383" t="s">
        <v>366</v>
      </c>
    </row>
    <row r="16" spans="1:26" ht="25.5" customHeight="1" x14ac:dyDescent="0.2">
      <c r="A16" s="655" t="s">
        <v>94</v>
      </c>
      <c r="B16" s="656"/>
      <c r="C16" s="657"/>
      <c r="D16" s="658" t="str">
        <f>IF(ISBLANK(D5),"",VLOOKUP($D$5,ID_list,16,FALSE))</f>
        <v/>
      </c>
      <c r="E16" s="659"/>
      <c r="F16" s="659"/>
      <c r="G16" s="659"/>
      <c r="H16" s="659"/>
      <c r="I16" s="669"/>
      <c r="J16" s="829" t="s">
        <v>95</v>
      </c>
      <c r="K16" s="830"/>
      <c r="L16" s="843" t="str">
        <f>IF(ISBLANK(D5),"",VLOOKUP($D$5,ID_list,17,FALSE))</f>
        <v/>
      </c>
      <c r="M16" s="844"/>
      <c r="N16" s="2"/>
      <c r="O16" s="2"/>
      <c r="P16" s="2"/>
      <c r="Q16" s="2"/>
      <c r="R16" s="2"/>
      <c r="Z16" s="383" t="s">
        <v>367</v>
      </c>
    </row>
    <row r="17" spans="1:26" ht="25.5" customHeight="1" x14ac:dyDescent="0.2">
      <c r="A17" s="655" t="s">
        <v>96</v>
      </c>
      <c r="B17" s="656"/>
      <c r="C17" s="657"/>
      <c r="D17" s="658" t="str">
        <f>IF(ISBLANK(D5),"",VLOOKUP($D$5,ID_list,18,FALSE))</f>
        <v/>
      </c>
      <c r="E17" s="659"/>
      <c r="F17" s="659"/>
      <c r="G17" s="659"/>
      <c r="H17" s="659"/>
      <c r="I17" s="659"/>
      <c r="J17" s="829" t="s">
        <v>97</v>
      </c>
      <c r="K17" s="830"/>
      <c r="L17" s="845" t="str">
        <f>IF(ISBLANK(D5),"",VLOOKUP($D$5,ID_list,33,FALSE))</f>
        <v/>
      </c>
      <c r="M17" s="846"/>
      <c r="N17" s="2"/>
      <c r="O17" s="2"/>
      <c r="P17" s="2"/>
      <c r="Q17" s="2"/>
      <c r="R17" s="2"/>
      <c r="Z17" s="383" t="s">
        <v>368</v>
      </c>
    </row>
    <row r="18" spans="1:26" ht="25.5" customHeight="1" x14ac:dyDescent="0.2">
      <c r="A18" s="655" t="s">
        <v>98</v>
      </c>
      <c r="B18" s="656"/>
      <c r="C18" s="657"/>
      <c r="D18" s="658" t="str">
        <f>IF(ISBLANK(D5),"",VLOOKUP($D$5,ID_list,34,FALSE))</f>
        <v/>
      </c>
      <c r="E18" s="659"/>
      <c r="F18" s="659"/>
      <c r="G18" s="659"/>
      <c r="H18" s="659"/>
      <c r="I18" s="659"/>
      <c r="J18" s="798" t="s">
        <v>99</v>
      </c>
      <c r="K18" s="799"/>
      <c r="L18" s="799"/>
      <c r="M18" s="800"/>
      <c r="N18" s="2"/>
      <c r="O18" s="2"/>
      <c r="P18" s="2"/>
      <c r="Q18" s="2"/>
      <c r="R18" s="2"/>
      <c r="Z18" s="383" t="s">
        <v>369</v>
      </c>
    </row>
    <row r="19" spans="1:26" ht="25.5" customHeight="1" x14ac:dyDescent="0.2">
      <c r="A19" s="655" t="s">
        <v>1390</v>
      </c>
      <c r="B19" s="656"/>
      <c r="C19" s="657"/>
      <c r="D19" s="658"/>
      <c r="E19" s="659"/>
      <c r="F19" s="659"/>
      <c r="G19" s="659"/>
      <c r="H19" s="659"/>
      <c r="I19" s="659"/>
      <c r="J19" s="6" t="s">
        <v>100</v>
      </c>
      <c r="K19" s="6" t="s">
        <v>101</v>
      </c>
      <c r="L19" s="6" t="s">
        <v>102</v>
      </c>
      <c r="M19" s="6" t="s">
        <v>103</v>
      </c>
      <c r="N19" s="459"/>
      <c r="O19" s="2"/>
      <c r="P19" s="2"/>
      <c r="Q19" s="2"/>
      <c r="R19" s="2"/>
      <c r="Z19" s="383" t="s">
        <v>370</v>
      </c>
    </row>
    <row r="20" spans="1:26" ht="25.5" customHeight="1" x14ac:dyDescent="0.2">
      <c r="A20" s="655" t="s">
        <v>104</v>
      </c>
      <c r="B20" s="656"/>
      <c r="C20" s="657"/>
      <c r="D20" s="658" t="str">
        <f>IF(ISBLANK(D5),"",VLOOKUP($D$5,ID_list,37,FALSE))</f>
        <v/>
      </c>
      <c r="E20" s="659"/>
      <c r="F20" s="659"/>
      <c r="G20" s="659"/>
      <c r="H20" s="659"/>
      <c r="I20" s="669"/>
      <c r="J20" s="7" t="str">
        <f>IF(ISBLANK(D5),"",IF(EXACT(VLOOKUP($D$5,ID_list,35,FALSE),"Owned"),"X",""))</f>
        <v/>
      </c>
      <c r="K20" s="7" t="str">
        <f>IF(ISBLANK(D5),"",IF(EXACT(VLOOKUP($D$5,ID_list,35,FALSE),"Managed"),"X",""))</f>
        <v/>
      </c>
      <c r="L20" s="7" t="str">
        <f>IF(ISBLANK(D5),"",IF(EXACT(VLOOKUP($D$5,ID_list,35,FALSE),"Leased"),"X",""))</f>
        <v/>
      </c>
      <c r="M20" s="7" t="str">
        <f>IF(ISBLANK(VLOOKUP($D$5,ID_list,35,FALSE)),"X","")</f>
        <v/>
      </c>
      <c r="N20" s="2"/>
      <c r="O20" s="2"/>
      <c r="P20" s="2"/>
      <c r="Q20" s="2"/>
      <c r="R20" s="2"/>
      <c r="Z20" s="383" t="s">
        <v>371</v>
      </c>
    </row>
    <row r="21" spans="1:26" ht="25.5" customHeight="1" x14ac:dyDescent="0.2">
      <c r="A21" s="866" t="str">
        <f>IF(ISBLANK(D5),"",IF(ISBLANK(D19),"Please enter Hospital Ownership Type. This was previously reported as '"&amp;VLOOKUP(D5,ID_list,77,FALSE)&amp;"'.",IF(EXACT(D19,VLOOKUP(D5,ID_list,77,FALSE)),"","Selected Hospital Ownership Type is different from previous year. Please verify this change on Page 26.")))</f>
        <v/>
      </c>
      <c r="B21" s="866"/>
      <c r="C21" s="866"/>
      <c r="D21" s="866"/>
      <c r="E21" s="866"/>
      <c r="F21" s="866"/>
      <c r="G21" s="866"/>
      <c r="H21" s="866"/>
      <c r="I21" s="866"/>
      <c r="J21" s="660" t="str">
        <f>IF(ISBLANK(D5),"",IF(COUNTBLANK(J20:M20)=4,"Please enter Type of Affiliation",IF(COUNTBLANK(J20:M20)&lt;&gt;3,"Please VERIFY Type of Affiliation","")))</f>
        <v/>
      </c>
      <c r="K21" s="660"/>
      <c r="L21" s="660"/>
      <c r="M21" s="660"/>
      <c r="N21" s="2"/>
      <c r="O21" s="2"/>
      <c r="P21" s="2"/>
      <c r="Q21" s="2"/>
      <c r="R21" s="2"/>
      <c r="Z21" s="383" t="s">
        <v>372</v>
      </c>
    </row>
    <row r="22" spans="1:26" ht="25.5" customHeight="1" x14ac:dyDescent="0.2">
      <c r="A22" s="567" t="s">
        <v>105</v>
      </c>
      <c r="B22" s="567"/>
      <c r="C22" s="567"/>
      <c r="D22" s="567"/>
      <c r="E22" s="567"/>
      <c r="F22" s="567"/>
      <c r="G22" s="567"/>
      <c r="H22" s="567"/>
      <c r="I22" s="567"/>
      <c r="J22" s="567"/>
      <c r="K22" s="567"/>
      <c r="L22" s="567"/>
      <c r="M22" s="567"/>
      <c r="N22" s="2"/>
      <c r="O22" s="2"/>
      <c r="P22" s="2"/>
      <c r="Q22" s="2"/>
      <c r="R22" s="2"/>
      <c r="Z22" s="383" t="s">
        <v>373</v>
      </c>
    </row>
    <row r="23" spans="1:26" ht="25.5" customHeight="1" thickBot="1" x14ac:dyDescent="0.25">
      <c r="A23" s="847" t="s">
        <v>106</v>
      </c>
      <c r="B23" s="847"/>
      <c r="C23" s="847"/>
      <c r="D23" s="847"/>
      <c r="E23" s="847"/>
      <c r="F23" s="847"/>
      <c r="G23" s="847"/>
      <c r="H23" s="847"/>
      <c r="I23" s="847"/>
      <c r="J23" s="847"/>
      <c r="K23" s="847"/>
      <c r="L23" s="847"/>
      <c r="M23" s="847"/>
      <c r="N23" s="2"/>
      <c r="O23" s="2"/>
      <c r="P23" s="2"/>
      <c r="Q23" s="2"/>
      <c r="R23" s="2"/>
      <c r="Z23" s="383" t="s">
        <v>374</v>
      </c>
    </row>
    <row r="24" spans="1:26" ht="25.5" customHeight="1" thickTop="1" x14ac:dyDescent="0.2">
      <c r="A24" s="821" t="s">
        <v>107</v>
      </c>
      <c r="B24" s="822"/>
      <c r="C24" s="8"/>
      <c r="D24" s="8"/>
      <c r="E24" s="8"/>
      <c r="F24" s="8"/>
      <c r="G24" s="8"/>
      <c r="H24" s="8"/>
      <c r="I24" s="8"/>
      <c r="J24" s="8"/>
      <c r="K24" s="8"/>
      <c r="L24" s="8"/>
      <c r="M24" s="9"/>
      <c r="N24" s="2"/>
      <c r="O24" s="2"/>
      <c r="P24" s="2"/>
      <c r="Q24" s="2"/>
      <c r="R24" s="2"/>
      <c r="Z24" s="383" t="s">
        <v>1179</v>
      </c>
    </row>
    <row r="25" spans="1:26" ht="25.5" customHeight="1" x14ac:dyDescent="0.2">
      <c r="A25" s="823" t="s">
        <v>108</v>
      </c>
      <c r="B25" s="824"/>
      <c r="C25" s="10"/>
      <c r="D25" s="10"/>
      <c r="E25" s="10"/>
      <c r="F25" s="10"/>
      <c r="G25" s="10"/>
      <c r="H25" s="10"/>
      <c r="I25" s="10"/>
      <c r="J25" s="10"/>
      <c r="K25" s="10"/>
      <c r="L25" s="10"/>
      <c r="M25" s="11"/>
      <c r="N25" s="2"/>
      <c r="O25" s="2"/>
      <c r="P25" s="2"/>
      <c r="Q25" s="2"/>
      <c r="R25" s="2"/>
      <c r="Z25" s="383" t="s">
        <v>1581</v>
      </c>
    </row>
    <row r="26" spans="1:26" ht="25.5" customHeight="1" thickBot="1" x14ac:dyDescent="0.25">
      <c r="A26" s="857" t="s">
        <v>109</v>
      </c>
      <c r="B26" s="858"/>
      <c r="C26" s="12"/>
      <c r="D26" s="12"/>
      <c r="E26" s="12"/>
      <c r="F26" s="12"/>
      <c r="G26" s="12"/>
      <c r="H26" s="12"/>
      <c r="I26" s="13" t="s">
        <v>110</v>
      </c>
      <c r="J26" s="12"/>
      <c r="K26" s="12"/>
      <c r="L26" s="12"/>
      <c r="M26" s="14"/>
      <c r="N26" s="2"/>
      <c r="O26" s="2"/>
      <c r="P26" s="2"/>
      <c r="Q26" s="2"/>
      <c r="R26" s="2"/>
    </row>
    <row r="27" spans="1:26" ht="25.5" customHeight="1" thickTop="1" x14ac:dyDescent="0.2">
      <c r="A27" s="819" t="str">
        <f>IF(OR('Audit Checks'!A85="Fatal Error: The accounts below MUST be the same, and should be rounded to the nearest dollar. Please revise.",'Audit Checks'!H76&lt;&gt;"",'Audit Checks'!H79&lt;&gt;""),"Warning! There is a fatal error which will result in your HAR being rejected.  Please review the Audit Checks tab and correct any errors before submitting.","")</f>
        <v/>
      </c>
      <c r="B27" s="820"/>
      <c r="C27" s="820"/>
      <c r="D27" s="820"/>
      <c r="E27" s="820"/>
      <c r="F27" s="820"/>
      <c r="G27" s="820"/>
      <c r="H27" s="820"/>
      <c r="I27" s="820"/>
      <c r="J27" s="820"/>
      <c r="K27" s="820"/>
      <c r="L27" s="820"/>
      <c r="M27" s="820"/>
      <c r="N27" s="654" t="str">
        <f>IF(A27&lt;&gt;"","Click here to go to the Audt Checks Tab","")</f>
        <v/>
      </c>
      <c r="O27" s="654"/>
      <c r="P27" s="654"/>
      <c r="Q27" s="654"/>
      <c r="R27" s="654"/>
      <c r="S27" s="271"/>
    </row>
    <row r="28" spans="1:26" ht="25.5" customHeight="1" x14ac:dyDescent="0.2">
      <c r="A28" s="616"/>
      <c r="B28" s="825"/>
      <c r="C28" s="825"/>
      <c r="D28" s="825"/>
      <c r="E28" s="825"/>
      <c r="F28" s="825"/>
      <c r="G28" s="825"/>
      <c r="H28" s="825"/>
      <c r="I28" s="825"/>
      <c r="J28" s="825"/>
      <c r="K28" s="825"/>
      <c r="L28" s="825"/>
      <c r="M28" s="825"/>
      <c r="N28" s="2"/>
      <c r="O28" s="2"/>
      <c r="P28" s="2"/>
      <c r="Q28" s="2"/>
      <c r="R28" s="2"/>
    </row>
    <row r="29" spans="1:26" ht="25.5" customHeight="1" x14ac:dyDescent="0.2">
      <c r="A29" s="2"/>
      <c r="B29" s="2"/>
      <c r="C29" s="2"/>
      <c r="D29" s="2"/>
      <c r="E29" s="2"/>
      <c r="F29" s="2"/>
      <c r="G29" s="2"/>
      <c r="H29" s="2"/>
      <c r="I29" s="2"/>
      <c r="J29" s="2"/>
      <c r="K29" s="2"/>
      <c r="L29" s="2"/>
      <c r="M29" s="2"/>
      <c r="N29" s="2"/>
      <c r="O29" s="2"/>
      <c r="P29" s="2"/>
      <c r="Q29" s="2"/>
      <c r="R29" s="2"/>
    </row>
    <row r="30" spans="1:26" ht="25.5" customHeight="1" x14ac:dyDescent="0.2">
      <c r="A30" s="2"/>
      <c r="B30" s="2"/>
      <c r="C30" s="2"/>
      <c r="D30" s="2"/>
      <c r="E30" s="2"/>
      <c r="F30" s="2"/>
      <c r="G30" s="2"/>
      <c r="H30" s="2"/>
      <c r="I30" s="2"/>
      <c r="J30" s="2"/>
      <c r="K30" s="2"/>
      <c r="L30" s="2"/>
      <c r="M30" s="2"/>
      <c r="N30" s="2"/>
      <c r="O30" s="2"/>
      <c r="P30" s="2"/>
      <c r="Q30" s="2"/>
      <c r="R30" s="2"/>
    </row>
    <row r="31" spans="1:26" ht="25.5" customHeight="1" x14ac:dyDescent="0.2">
      <c r="A31" s="2"/>
      <c r="B31" s="2"/>
      <c r="C31" s="2"/>
      <c r="D31" s="2"/>
      <c r="E31" s="2"/>
      <c r="F31" s="2"/>
      <c r="G31" s="2"/>
      <c r="H31" s="2"/>
      <c r="I31" s="2"/>
      <c r="J31" s="2"/>
      <c r="K31" s="2"/>
      <c r="L31" s="2"/>
      <c r="M31" s="2"/>
      <c r="N31" s="2"/>
      <c r="O31" s="2"/>
      <c r="P31" s="2"/>
      <c r="Q31" s="2"/>
      <c r="R31" s="2"/>
    </row>
    <row r="32" spans="1:26" ht="25.5" customHeight="1" x14ac:dyDescent="0.2">
      <c r="A32" s="2"/>
      <c r="B32" s="2"/>
      <c r="C32" s="2"/>
      <c r="D32" s="2"/>
      <c r="E32" s="2"/>
      <c r="F32" s="2"/>
      <c r="G32" s="2"/>
      <c r="H32" s="2"/>
      <c r="I32" s="2"/>
      <c r="J32" s="2"/>
      <c r="K32" s="2"/>
      <c r="L32" s="2"/>
      <c r="M32" s="2"/>
      <c r="N32" s="2"/>
      <c r="O32" s="2"/>
      <c r="P32" s="2"/>
      <c r="Q32" s="2"/>
      <c r="R32" s="2"/>
    </row>
    <row r="33" spans="1:18" ht="25.5" customHeight="1" x14ac:dyDescent="0.2">
      <c r="A33" s="15" t="str">
        <f>CONCATENATE($D$5," ",UPPER($D$7))</f>
        <v xml:space="preserve"> </v>
      </c>
      <c r="B33" s="2"/>
      <c r="C33" s="2"/>
      <c r="D33" s="2"/>
      <c r="E33" s="2"/>
      <c r="F33" s="2"/>
      <c r="G33" s="2"/>
      <c r="H33" s="2"/>
      <c r="I33" s="2"/>
      <c r="J33" s="2"/>
      <c r="K33" s="2"/>
      <c r="L33" s="2"/>
      <c r="M33" s="2"/>
      <c r="N33" s="2"/>
      <c r="O33" s="2"/>
      <c r="P33" s="2"/>
      <c r="Q33" s="2"/>
      <c r="R33" s="2"/>
    </row>
    <row r="34" spans="1:18" ht="25.5" customHeight="1" x14ac:dyDescent="0.2">
      <c r="A34" s="567" t="s">
        <v>111</v>
      </c>
      <c r="B34" s="567"/>
      <c r="C34" s="567"/>
      <c r="D34" s="567"/>
      <c r="E34" s="567"/>
      <c r="F34" s="567"/>
      <c r="G34" s="567"/>
      <c r="H34" s="567"/>
      <c r="I34" s="567"/>
      <c r="J34" s="567"/>
      <c r="K34" s="567"/>
      <c r="L34" s="567"/>
      <c r="M34" s="567"/>
      <c r="N34" s="2"/>
      <c r="O34" s="2"/>
      <c r="P34" s="2"/>
      <c r="Q34" s="2"/>
      <c r="R34" s="2"/>
    </row>
    <row r="35" spans="1:18" ht="25.5" customHeight="1" x14ac:dyDescent="0.2">
      <c r="A35" s="818" t="s">
        <v>112</v>
      </c>
      <c r="B35" s="818"/>
      <c r="C35" s="818"/>
      <c r="D35" s="818"/>
      <c r="E35" s="818"/>
      <c r="F35" s="818"/>
      <c r="G35" s="818"/>
      <c r="H35" s="818"/>
      <c r="I35" s="818"/>
      <c r="J35" s="818"/>
      <c r="K35" s="818"/>
      <c r="L35" s="818"/>
      <c r="M35" s="818"/>
      <c r="N35" s="16"/>
      <c r="O35" s="16"/>
      <c r="P35" s="16"/>
      <c r="Q35" s="16"/>
      <c r="R35" s="16"/>
    </row>
    <row r="36" spans="1:18" ht="25.5" customHeight="1" x14ac:dyDescent="0.2">
      <c r="A36" s="848" t="s">
        <v>113</v>
      </c>
      <c r="B36" s="849"/>
      <c r="C36" s="849"/>
      <c r="D36" s="850"/>
      <c r="E36" s="851" t="str">
        <f>IF(ISBLANK(D5),"",CONCATENATE(VLOOKUP($D$5,ID_list,19,FALSE)," ",VLOOKUP($D$5,ID_list,20,FALSE)))</f>
        <v/>
      </c>
      <c r="F36" s="852"/>
      <c r="G36" s="852"/>
      <c r="H36" s="853"/>
      <c r="I36" s="17" t="s">
        <v>114</v>
      </c>
      <c r="J36" s="851" t="str">
        <f>IF(ISBLANK(D5),"",IF(ISBLANK(VLOOKUP($D$5,ID_list,21,FALSE)),"",VLOOKUP($D$5,ID_list,21,FALSE)))</f>
        <v/>
      </c>
      <c r="K36" s="852"/>
      <c r="L36" s="852"/>
      <c r="M36" s="853"/>
      <c r="N36" s="2"/>
      <c r="O36" s="2"/>
      <c r="P36" s="2"/>
      <c r="Q36" s="2"/>
      <c r="R36" s="2"/>
    </row>
    <row r="37" spans="1:18" ht="25.5" customHeight="1" x14ac:dyDescent="0.2">
      <c r="A37" s="848" t="s">
        <v>215</v>
      </c>
      <c r="B37" s="849"/>
      <c r="C37" s="849"/>
      <c r="D37" s="850"/>
      <c r="E37" s="851" t="str">
        <f>IF(ISBLANK(D5),"",IF(ISBLANK(VLOOKUP($D$5,ID_list,26,FALSE)),"",CONCATENATE(VLOOKUP($D$5,ID_list,26,FALSE),", ",VLOOKUP($D$5,ID_list,27,FALSE))))</f>
        <v/>
      </c>
      <c r="F37" s="852"/>
      <c r="G37" s="852"/>
      <c r="H37" s="853"/>
      <c r="I37" s="17" t="s">
        <v>216</v>
      </c>
      <c r="J37" s="845" t="str">
        <f>IF(ISBLANK(D5),"",IF(ISBLANK(VLOOKUP($D$5,ID_list,25,FALSE)),"",VLOOKUP($D$5,ID_list,25,FALSE)))</f>
        <v/>
      </c>
      <c r="K37" s="854"/>
      <c r="L37" s="855"/>
      <c r="M37" s="856"/>
      <c r="N37" s="2"/>
      <c r="O37" s="2"/>
      <c r="P37" s="2"/>
      <c r="Q37" s="2"/>
      <c r="R37" s="2"/>
    </row>
    <row r="38" spans="1:18" ht="25.5" customHeight="1" x14ac:dyDescent="0.2">
      <c r="A38" s="848" t="s">
        <v>217</v>
      </c>
      <c r="B38" s="849"/>
      <c r="C38" s="849"/>
      <c r="D38" s="850"/>
      <c r="E38" s="851" t="str">
        <f>IF(ISBLANK(D5),"",IF(ISBLANK(VLOOKUP($D$5,ID_list,28,FALSE)),"",VLOOKUP($D$5,ID_list,28,FALSE)))</f>
        <v/>
      </c>
      <c r="F38" s="852"/>
      <c r="G38" s="852"/>
      <c r="H38" s="853"/>
      <c r="I38" s="17" t="s">
        <v>218</v>
      </c>
      <c r="J38" s="859" t="str">
        <f>IF(ISBLANK(D5),"",CONCATENATE(TEXT(VLOOKUP($D$5,ID_list,22,FALSE),"(000) 000-0000"),IF(ISBLANK(VLOOKUP($D$5,ID_list,23,FALSE)),," ext. "),VLOOKUP($D$5,ID_list,23,FALSE)))</f>
        <v/>
      </c>
      <c r="K38" s="860"/>
      <c r="L38" s="860"/>
      <c r="M38" s="861"/>
      <c r="N38" s="2"/>
      <c r="O38" s="2"/>
      <c r="P38" s="2"/>
      <c r="Q38" s="2"/>
      <c r="R38" s="2"/>
    </row>
    <row r="39" spans="1:18" ht="25.5" customHeight="1" x14ac:dyDescent="0.2">
      <c r="A39" s="848" t="s">
        <v>219</v>
      </c>
      <c r="B39" s="849"/>
      <c r="C39" s="849"/>
      <c r="D39" s="850"/>
      <c r="E39" s="851" t="str">
        <f>IF(ISBLANK(D5),"",IF(ISBLANK(VLOOKUP($D$5,ID_list,29,FALSE)),"",VLOOKUP($D$5,ID_list,29,FALSE)))</f>
        <v/>
      </c>
      <c r="F39" s="852"/>
      <c r="G39" s="852"/>
      <c r="H39" s="853"/>
      <c r="I39" s="17" t="s">
        <v>220</v>
      </c>
      <c r="J39" s="862" t="str">
        <f>IF(ISBLANK(D5),"",IF(ISBLANK(VLOOKUP($D$5,ID_list,24,FALSE)),"",VLOOKUP($D$5,ID_list,24,FALSE)))</f>
        <v/>
      </c>
      <c r="K39" s="863"/>
      <c r="L39" s="863"/>
      <c r="M39" s="864"/>
      <c r="N39" s="2"/>
      <c r="O39" s="2"/>
      <c r="P39" s="2"/>
      <c r="Q39" s="2"/>
      <c r="R39" s="2"/>
    </row>
    <row r="40" spans="1:18" ht="25.5" customHeight="1" x14ac:dyDescent="0.2">
      <c r="A40" s="848" t="s">
        <v>221</v>
      </c>
      <c r="B40" s="849"/>
      <c r="C40" s="849"/>
      <c r="D40" s="850"/>
      <c r="E40" s="851" t="str">
        <f>IF(ISBLANK(D5),"",IF(ISBLANK(VLOOKUP($D$5,ID_list,30,FALSE)),"",CONCATENATE(VLOOKUP($D$5,ID_list,30,FALSE),"-",VLOOKUP($D$5,ID_list,31,FALSE))))</f>
        <v/>
      </c>
      <c r="F40" s="852"/>
      <c r="G40" s="852"/>
      <c r="H40" s="853"/>
      <c r="I40" s="16"/>
      <c r="J40" s="16"/>
      <c r="K40" s="16"/>
      <c r="L40" s="16"/>
      <c r="M40" s="16"/>
      <c r="N40" s="2"/>
      <c r="O40" s="2"/>
      <c r="P40" s="2"/>
      <c r="Q40" s="2"/>
      <c r="R40" s="2"/>
    </row>
    <row r="41" spans="1:18" ht="25.5" customHeight="1" x14ac:dyDescent="0.2">
      <c r="A41" s="848" t="s">
        <v>222</v>
      </c>
      <c r="B41" s="849"/>
      <c r="C41" s="849"/>
      <c r="D41" s="850"/>
      <c r="E41" s="851" t="str">
        <f>IF(ISBLANK(D5),"",IF(ISBLANK(VLOOKUP($D$5,ID_list,32,FALSE)),"",VLOOKUP($D$5,ID_list,32,FALSE)))</f>
        <v/>
      </c>
      <c r="F41" s="852"/>
      <c r="G41" s="852"/>
      <c r="H41" s="853"/>
      <c r="I41" s="16"/>
      <c r="J41" s="16"/>
      <c r="K41" s="16"/>
      <c r="L41" s="16"/>
      <c r="M41" s="16"/>
      <c r="N41" s="2"/>
      <c r="O41" s="2"/>
      <c r="P41" s="2"/>
      <c r="Q41" s="2"/>
      <c r="R41" s="2"/>
    </row>
    <row r="42" spans="1:18" ht="25.5" customHeight="1" x14ac:dyDescent="0.2">
      <c r="A42" s="2"/>
      <c r="B42" s="2"/>
      <c r="C42" s="2"/>
      <c r="D42" s="2"/>
      <c r="E42" s="2"/>
      <c r="F42" s="2"/>
      <c r="G42" s="2"/>
      <c r="H42" s="2"/>
      <c r="I42" s="2"/>
      <c r="J42" s="2"/>
      <c r="K42" s="2"/>
      <c r="L42" s="2"/>
      <c r="M42" s="2"/>
      <c r="N42" s="2"/>
      <c r="O42" s="2"/>
      <c r="P42" s="2"/>
      <c r="Q42" s="2"/>
      <c r="R42" s="2"/>
    </row>
    <row r="43" spans="1:18" ht="25.5" customHeight="1" x14ac:dyDescent="0.2">
      <c r="A43" s="810" t="s">
        <v>223</v>
      </c>
      <c r="B43" s="865"/>
      <c r="C43" s="865"/>
      <c r="D43" s="865"/>
      <c r="E43" s="865"/>
      <c r="F43" s="865"/>
      <c r="G43" s="865"/>
      <c r="H43" s="865"/>
      <c r="I43" s="865"/>
      <c r="J43" s="865"/>
      <c r="K43" s="865"/>
      <c r="L43" s="865"/>
      <c r="M43" s="865"/>
      <c r="N43" s="2"/>
      <c r="O43" s="2"/>
      <c r="P43" s="2"/>
      <c r="Q43" s="2"/>
      <c r="R43" s="2"/>
    </row>
    <row r="44" spans="1:18" ht="25.5" customHeight="1" x14ac:dyDescent="0.2">
      <c r="A44" s="848" t="s">
        <v>224</v>
      </c>
      <c r="B44" s="849"/>
      <c r="C44" s="849"/>
      <c r="D44" s="850"/>
      <c r="E44" s="851" t="str">
        <f>IF(ISBLANK(D5),"",IF(ISBLANK(VLOOKUP($D$5,ID_list,38,FALSE)),"",CONCATENATE(VLOOKUP($D$5,ID_list,38,FALSE)," ",VLOOKUP($D$5,ID_list,39,FALSE))))</f>
        <v/>
      </c>
      <c r="F44" s="852"/>
      <c r="G44" s="852"/>
      <c r="H44" s="853"/>
      <c r="I44" s="17" t="s">
        <v>114</v>
      </c>
      <c r="J44" s="851" t="str">
        <f>IF(ISBLANK(D5),"",IF(ISBLANK(VLOOKUP($D$5,ID_list,40,FALSE)),"",VLOOKUP($D$5,ID_list,40,FALSE)))</f>
        <v/>
      </c>
      <c r="K44" s="852"/>
      <c r="L44" s="852"/>
      <c r="M44" s="853"/>
      <c r="N44" s="2"/>
      <c r="O44" s="2"/>
      <c r="P44" s="2"/>
      <c r="Q44" s="2"/>
      <c r="R44" s="2"/>
    </row>
    <row r="45" spans="1:18" ht="25.5" customHeight="1" x14ac:dyDescent="0.2">
      <c r="A45" s="848" t="s">
        <v>215</v>
      </c>
      <c r="B45" s="849"/>
      <c r="C45" s="849"/>
      <c r="D45" s="850"/>
      <c r="E45" s="851" t="str">
        <f>IF(ISBLANK(D5),"",IF(ISBLANK(VLOOKUP($D$5,ID_list,45,FALSE)),"",CONCATENATE(VLOOKUP($D$5,ID_list,45,FALSE),", ",VLOOKUP($D$5,ID_list,46,FALSE))))</f>
        <v/>
      </c>
      <c r="F45" s="852"/>
      <c r="G45" s="852"/>
      <c r="H45" s="853"/>
      <c r="I45" s="17" t="s">
        <v>216</v>
      </c>
      <c r="J45" s="845" t="str">
        <f>IF(ISBLANK(D5),"",IF(ISBLANK(VLOOKUP($D$5,ID_list,44,FALSE)),"",VLOOKUP($D$5,ID_list,44,FALSE)))</f>
        <v/>
      </c>
      <c r="K45" s="854"/>
      <c r="L45" s="855"/>
      <c r="M45" s="856"/>
      <c r="N45" s="2"/>
      <c r="O45" s="2"/>
      <c r="P45" s="2"/>
      <c r="Q45" s="2"/>
      <c r="R45" s="2"/>
    </row>
    <row r="46" spans="1:18" ht="25.5" customHeight="1" x14ac:dyDescent="0.2">
      <c r="A46" s="848" t="s">
        <v>217</v>
      </c>
      <c r="B46" s="849"/>
      <c r="C46" s="849"/>
      <c r="D46" s="850"/>
      <c r="E46" s="851" t="str">
        <f>IF(ISBLANK(D5),"",IF(ISBLANK(VLOOKUP($D$5,ID_list,47,FALSE)),"",VLOOKUP($D$5,ID_list,47,FALSE)))</f>
        <v/>
      </c>
      <c r="F46" s="852"/>
      <c r="G46" s="852"/>
      <c r="H46" s="853"/>
      <c r="I46" s="17" t="s">
        <v>218</v>
      </c>
      <c r="J46" s="862" t="str">
        <f>IF(ISBLANK(D5),"",CONCATENATE(TEXT(VLOOKUP($D$5,ID_list,41,FALSE),"(000) 000-0000"),IF(ISBLANK(VLOOKUP($D$5,ID_list,42,FALSE)),," ext. "),VLOOKUP($D$5,ID_list,42,FALSE)))</f>
        <v/>
      </c>
      <c r="K46" s="863"/>
      <c r="L46" s="863"/>
      <c r="M46" s="864"/>
      <c r="N46" s="2"/>
      <c r="O46" s="2"/>
      <c r="P46" s="2"/>
      <c r="Q46" s="2"/>
      <c r="R46" s="2"/>
    </row>
    <row r="47" spans="1:18" ht="25.5" customHeight="1" x14ac:dyDescent="0.2">
      <c r="A47" s="848" t="s">
        <v>219</v>
      </c>
      <c r="B47" s="849"/>
      <c r="C47" s="849"/>
      <c r="D47" s="850"/>
      <c r="E47" s="851" t="str">
        <f>IF(ISBLANK(D5),"",IF(ISBLANK(VLOOKUP($D$5,ID_list,48,FALSE)),"",VLOOKUP($D$5,ID_list,48,FALSE)))</f>
        <v/>
      </c>
      <c r="F47" s="852"/>
      <c r="G47" s="852"/>
      <c r="H47" s="853"/>
      <c r="I47" s="17" t="s">
        <v>220</v>
      </c>
      <c r="J47" s="862" t="str">
        <f>IF(ISBLANK(D5),"",IF(ISBLANK(VLOOKUP($D$5,ID_list,43,FALSE)),"",VLOOKUP($D$5,ID_list,43,FALSE)))</f>
        <v/>
      </c>
      <c r="K47" s="863"/>
      <c r="L47" s="863"/>
      <c r="M47" s="864"/>
      <c r="N47" s="2"/>
      <c r="O47" s="2"/>
      <c r="P47" s="2"/>
      <c r="Q47" s="2"/>
      <c r="R47" s="2"/>
    </row>
    <row r="48" spans="1:18" ht="25.5" customHeight="1" x14ac:dyDescent="0.2">
      <c r="A48" s="848" t="s">
        <v>221</v>
      </c>
      <c r="B48" s="849"/>
      <c r="C48" s="849"/>
      <c r="D48" s="850"/>
      <c r="E48" s="851" t="str">
        <f>IF(ISBLANK(D5),"",IF(ISBLANK(VLOOKUP($D$5,ID_list,49,FALSE)),"",CONCATENATE(VLOOKUP($D$5,ID_list,49,FALSE),"-",VLOOKUP($D$5,ID_list,50,FALSE))))</f>
        <v/>
      </c>
      <c r="F48" s="852"/>
      <c r="G48" s="852"/>
      <c r="H48" s="853"/>
      <c r="I48" s="16"/>
      <c r="J48" s="16"/>
      <c r="K48" s="16"/>
      <c r="L48" s="16"/>
      <c r="M48" s="16"/>
      <c r="N48" s="2"/>
      <c r="O48" s="2"/>
      <c r="P48" s="2"/>
      <c r="Q48" s="2"/>
      <c r="R48" s="2"/>
    </row>
    <row r="49" spans="1:18" ht="25.5" customHeight="1" x14ac:dyDescent="0.2">
      <c r="A49" s="848" t="s">
        <v>222</v>
      </c>
      <c r="B49" s="849"/>
      <c r="C49" s="849"/>
      <c r="D49" s="850"/>
      <c r="E49" s="851"/>
      <c r="F49" s="852"/>
      <c r="G49" s="852"/>
      <c r="H49" s="853"/>
      <c r="I49" s="16"/>
      <c r="J49" s="16"/>
      <c r="K49" s="16"/>
      <c r="L49" s="16"/>
      <c r="M49" s="16"/>
      <c r="N49" s="2"/>
      <c r="O49" s="2"/>
      <c r="P49" s="2"/>
      <c r="Q49" s="2"/>
      <c r="R49" s="2"/>
    </row>
    <row r="50" spans="1:18" ht="25.5" customHeight="1" x14ac:dyDescent="0.2">
      <c r="A50" s="2"/>
      <c r="B50" s="2"/>
      <c r="C50" s="2"/>
      <c r="D50" s="2"/>
      <c r="E50" s="2"/>
      <c r="F50" s="2"/>
      <c r="G50" s="2"/>
      <c r="H50" s="2"/>
      <c r="I50" s="2"/>
      <c r="J50" s="2"/>
      <c r="K50" s="2"/>
      <c r="L50" s="2"/>
      <c r="M50" s="2"/>
      <c r="N50" s="2"/>
      <c r="O50" s="2"/>
      <c r="P50" s="2"/>
      <c r="Q50" s="2"/>
      <c r="R50" s="2"/>
    </row>
    <row r="51" spans="1:18" ht="25.5" customHeight="1" x14ac:dyDescent="0.2">
      <c r="A51" s="810" t="s">
        <v>225</v>
      </c>
      <c r="B51" s="865"/>
      <c r="C51" s="865"/>
      <c r="D51" s="865"/>
      <c r="E51" s="865"/>
      <c r="F51" s="865"/>
      <c r="G51" s="865"/>
      <c r="H51" s="865"/>
      <c r="I51" s="865"/>
      <c r="J51" s="865"/>
      <c r="K51" s="865"/>
      <c r="L51" s="865"/>
      <c r="M51" s="865"/>
      <c r="N51" s="2"/>
      <c r="O51" s="2"/>
      <c r="P51" s="2"/>
      <c r="Q51" s="2"/>
      <c r="R51" s="2"/>
    </row>
    <row r="52" spans="1:18" ht="25.5" customHeight="1" x14ac:dyDescent="0.2">
      <c r="A52" s="848" t="s">
        <v>226</v>
      </c>
      <c r="B52" s="849"/>
      <c r="C52" s="849"/>
      <c r="D52" s="850"/>
      <c r="E52" s="851" t="str">
        <f>IF(ISBLANK(D5),"",IF(ISBLANK(VLOOKUP($D$5,ID_list,51,FALSE)),"",CONCATENATE(VLOOKUP($D$5,ID_list,51,FALSE)," ",VLOOKUP($D$5,ID_list,52,FALSE))))</f>
        <v/>
      </c>
      <c r="F52" s="852"/>
      <c r="G52" s="852"/>
      <c r="H52" s="853"/>
      <c r="I52" s="17" t="s">
        <v>114</v>
      </c>
      <c r="J52" s="851" t="str">
        <f>IF(ISBLANK(D5),"",IF(ISBLANK(VLOOKUP($D$5,ID_list,53,FALSE)),"",VLOOKUP($D$5,ID_list,53,FALSE)))</f>
        <v/>
      </c>
      <c r="K52" s="852"/>
      <c r="L52" s="852"/>
      <c r="M52" s="853"/>
      <c r="N52" s="2"/>
      <c r="O52" s="2"/>
      <c r="P52" s="2"/>
      <c r="Q52" s="2"/>
      <c r="R52" s="2"/>
    </row>
    <row r="53" spans="1:18" ht="25.5" customHeight="1" x14ac:dyDescent="0.2">
      <c r="A53" s="848" t="s">
        <v>215</v>
      </c>
      <c r="B53" s="849"/>
      <c r="C53" s="849"/>
      <c r="D53" s="850"/>
      <c r="E53" s="851" t="str">
        <f>IF(ISBLANK(D5),"",IF(ISBLANK(VLOOKUP($D$5,ID_list,58,FALSE)),"",CONCATENATE(VLOOKUP($D$5,ID_list,58,FALSE),", ",VLOOKUP($D$5,ID_list,59,FALSE))))</f>
        <v/>
      </c>
      <c r="F53" s="852"/>
      <c r="G53" s="852"/>
      <c r="H53" s="853"/>
      <c r="I53" s="17" t="s">
        <v>216</v>
      </c>
      <c r="J53" s="845" t="str">
        <f>IF(ISBLANK(D5),"",IF(ISBLANK(VLOOKUP($D$5,ID_list,57,FALSE)),"",VLOOKUP($D$5,ID_list,57,FALSE)))</f>
        <v/>
      </c>
      <c r="K53" s="854"/>
      <c r="L53" s="855"/>
      <c r="M53" s="856"/>
      <c r="N53" s="2"/>
      <c r="O53" s="2"/>
      <c r="P53" s="2"/>
      <c r="Q53" s="2"/>
      <c r="R53" s="2"/>
    </row>
    <row r="54" spans="1:18" ht="25.5" customHeight="1" x14ac:dyDescent="0.2">
      <c r="A54" s="848" t="s">
        <v>217</v>
      </c>
      <c r="B54" s="849"/>
      <c r="C54" s="849"/>
      <c r="D54" s="850"/>
      <c r="E54" s="851" t="str">
        <f>IF(ISBLANK(D5),"",IF(ISBLANK(VLOOKUP($D$5,ID_list,60,FALSE)),"",VLOOKUP($D$5,ID_list,60,FALSE)))</f>
        <v/>
      </c>
      <c r="F54" s="852"/>
      <c r="G54" s="852"/>
      <c r="H54" s="853"/>
      <c r="I54" s="17" t="s">
        <v>218</v>
      </c>
      <c r="J54" s="862" t="str">
        <f>IF(ISBLANK(D5),"",CONCATENATE(TEXT(VLOOKUP($D$5,ID_list,54,FALSE),"(000) 000-0000"),IF(ISBLANK(VLOOKUP($D$5,ID_list,55,FALSE)),," ext. "),VLOOKUP($D$5,ID_list,55,FALSE)))</f>
        <v/>
      </c>
      <c r="K54" s="863"/>
      <c r="L54" s="863"/>
      <c r="M54" s="864"/>
      <c r="N54" s="2"/>
      <c r="O54" s="2"/>
      <c r="P54" s="2"/>
      <c r="Q54" s="2"/>
      <c r="R54" s="2"/>
    </row>
    <row r="55" spans="1:18" ht="25.5" customHeight="1" x14ac:dyDescent="0.2">
      <c r="A55" s="848" t="s">
        <v>219</v>
      </c>
      <c r="B55" s="849"/>
      <c r="C55" s="849"/>
      <c r="D55" s="850"/>
      <c r="E55" s="851" t="str">
        <f>IF(ISBLANK(D5),"",IF(ISBLANK(VLOOKUP($D$5,ID_list,61,FALSE)),"",VLOOKUP($D$5,ID_list,61,FALSE)))</f>
        <v/>
      </c>
      <c r="F55" s="852"/>
      <c r="G55" s="852"/>
      <c r="H55" s="853"/>
      <c r="I55" s="17" t="s">
        <v>220</v>
      </c>
      <c r="J55" s="862" t="str">
        <f>IF(ISBLANK(D5),"",IF(ISBLANK(VLOOKUP($D$5,ID_list,56,FALSE)),"",VLOOKUP($D$5,ID_list,56,FALSE)))</f>
        <v/>
      </c>
      <c r="K55" s="863"/>
      <c r="L55" s="863"/>
      <c r="M55" s="864"/>
      <c r="N55" s="2"/>
      <c r="O55" s="2"/>
      <c r="P55" s="2"/>
      <c r="Q55" s="2"/>
      <c r="R55" s="2"/>
    </row>
    <row r="56" spans="1:18" ht="25.5" customHeight="1" x14ac:dyDescent="0.2">
      <c r="A56" s="848" t="s">
        <v>221</v>
      </c>
      <c r="B56" s="849"/>
      <c r="C56" s="849"/>
      <c r="D56" s="850"/>
      <c r="E56" s="851" t="str">
        <f>IF(ISBLANK(D5),"",IF(ISBLANK(VLOOKUP($D$5,ID_list,62,FALSE)),"",CONCATENATE(VLOOKUP($D$5,ID_list,62,FALSE),"-",VLOOKUP($D$5,ID_list,63,FALSE))))</f>
        <v/>
      </c>
      <c r="F56" s="852"/>
      <c r="G56" s="852"/>
      <c r="H56" s="853"/>
      <c r="I56" s="16"/>
      <c r="J56" s="16"/>
      <c r="K56" s="16"/>
      <c r="L56" s="16"/>
      <c r="M56" s="16"/>
      <c r="N56" s="2"/>
      <c r="O56" s="2"/>
      <c r="P56" s="2"/>
      <c r="Q56" s="2"/>
      <c r="R56" s="2"/>
    </row>
    <row r="57" spans="1:18" ht="25.5" customHeight="1" x14ac:dyDescent="0.2">
      <c r="A57" s="848" t="s">
        <v>222</v>
      </c>
      <c r="B57" s="849"/>
      <c r="C57" s="849"/>
      <c r="D57" s="850"/>
      <c r="E57" s="851"/>
      <c r="F57" s="852"/>
      <c r="G57" s="852"/>
      <c r="H57" s="853"/>
      <c r="I57" s="16"/>
      <c r="J57" s="16"/>
      <c r="K57" s="16"/>
      <c r="L57" s="16"/>
      <c r="M57" s="16"/>
      <c r="N57" s="2"/>
      <c r="O57" s="2"/>
      <c r="P57" s="2"/>
      <c r="Q57" s="2"/>
      <c r="R57" s="2"/>
    </row>
    <row r="58" spans="1:18" ht="25.5" customHeight="1" x14ac:dyDescent="0.2">
      <c r="A58" s="2"/>
      <c r="B58" s="2"/>
      <c r="C58" s="2"/>
      <c r="D58" s="2"/>
      <c r="E58" s="2"/>
      <c r="F58" s="2"/>
      <c r="G58" s="2"/>
      <c r="H58" s="2"/>
      <c r="I58" s="2"/>
      <c r="J58" s="2"/>
      <c r="K58" s="2"/>
      <c r="L58" s="2"/>
      <c r="M58" s="2"/>
      <c r="N58" s="2"/>
      <c r="O58" s="2"/>
      <c r="P58" s="2"/>
      <c r="Q58" s="2"/>
      <c r="R58" s="2"/>
    </row>
    <row r="59" spans="1:18" ht="25.5" customHeight="1" x14ac:dyDescent="0.2">
      <c r="A59" s="810" t="s">
        <v>1283</v>
      </c>
      <c r="B59" s="865"/>
      <c r="C59" s="865"/>
      <c r="D59" s="865"/>
      <c r="E59" s="865"/>
      <c r="F59" s="865"/>
      <c r="G59" s="865"/>
      <c r="H59" s="865"/>
      <c r="I59" s="865"/>
      <c r="J59" s="865"/>
      <c r="K59" s="865"/>
      <c r="L59" s="865"/>
      <c r="M59" s="865"/>
      <c r="N59" s="867" t="s">
        <v>1284</v>
      </c>
      <c r="O59" s="654"/>
      <c r="P59" s="654"/>
      <c r="Q59" s="654"/>
      <c r="R59" s="654"/>
    </row>
    <row r="60" spans="1:18" ht="25.5" customHeight="1" x14ac:dyDescent="0.2">
      <c r="A60" s="848" t="s">
        <v>227</v>
      </c>
      <c r="B60" s="849"/>
      <c r="C60" s="849"/>
      <c r="D60" s="850"/>
      <c r="E60" s="851" t="str">
        <f>IF(ISBLANK(D5),"",IF(ISBLANK(VLOOKUP($D$5,ID_list,64,FALSE)),"",CONCATENATE(VLOOKUP($D$5,ID_list,64,FALSE)," ",VLOOKUP($D$5,ID_list,65,FALSE))))</f>
        <v/>
      </c>
      <c r="F60" s="852"/>
      <c r="G60" s="852"/>
      <c r="H60" s="853"/>
      <c r="I60" s="17" t="s">
        <v>114</v>
      </c>
      <c r="J60" s="851" t="str">
        <f>IF(ISBLANK(D5),"",IF(ISBLANK(VLOOKUP($D$5,ID_list,66,FALSE)),"",VLOOKUP($D$5,ID_list,66,FALSE)))</f>
        <v/>
      </c>
      <c r="K60" s="852"/>
      <c r="L60" s="852"/>
      <c r="M60" s="853"/>
      <c r="N60" s="653" t="s">
        <v>1285</v>
      </c>
      <c r="O60" s="654"/>
      <c r="P60" s="654"/>
      <c r="Q60" s="654"/>
      <c r="R60" s="654"/>
    </row>
    <row r="61" spans="1:18" ht="25.5" customHeight="1" x14ac:dyDescent="0.2">
      <c r="A61" s="848" t="s">
        <v>215</v>
      </c>
      <c r="B61" s="849"/>
      <c r="C61" s="849"/>
      <c r="D61" s="850"/>
      <c r="E61" s="851" t="str">
        <f>IF(ISBLANK(D5),"",IF(ISBLANK(VLOOKUP($D$5,ID_list,71,FALSE)),"",CONCATENATE(VLOOKUP($D$5,ID_list,71,FALSE),", ",VLOOKUP($D$5,ID_list,72,FALSE))))</f>
        <v/>
      </c>
      <c r="F61" s="852"/>
      <c r="G61" s="852"/>
      <c r="H61" s="853"/>
      <c r="I61" s="17" t="s">
        <v>216</v>
      </c>
      <c r="J61" s="845" t="str">
        <f>IF(ISBLANK(D5),"",IF(ISBLANK(VLOOKUP($D$5,ID_list,70,FALSE)),"",VLOOKUP($D$5,ID_list,70,FALSE)))</f>
        <v/>
      </c>
      <c r="K61" s="854"/>
      <c r="L61" s="855"/>
      <c r="M61" s="856"/>
      <c r="N61" s="2"/>
      <c r="O61" s="2"/>
      <c r="P61" s="2"/>
      <c r="Q61" s="2"/>
      <c r="R61" s="2"/>
    </row>
    <row r="62" spans="1:18" ht="25.5" customHeight="1" x14ac:dyDescent="0.2">
      <c r="A62" s="848" t="s">
        <v>217</v>
      </c>
      <c r="B62" s="849"/>
      <c r="C62" s="849"/>
      <c r="D62" s="850"/>
      <c r="E62" s="851" t="str">
        <f>IF(ISBLANK(D5),"",IF(ISBLANK(VLOOKUP($D$5,ID_list,73,FALSE)),"",VLOOKUP($D$5,ID_list,73,FALSE)))</f>
        <v/>
      </c>
      <c r="F62" s="852"/>
      <c r="G62" s="852"/>
      <c r="H62" s="853"/>
      <c r="I62" s="17" t="s">
        <v>218</v>
      </c>
      <c r="J62" s="862" t="str">
        <f>IF(ISBLANK(D5),"",CONCATENATE(TEXT(VLOOKUP($D$5,ID_list,67,FALSE),"(000) 000-0000"),IF(ISBLANK(VLOOKUP($D$5,ID_list,68,FALSE)),," ext. "),VLOOKUP($D$5,ID_list,68,FALSE)))</f>
        <v/>
      </c>
      <c r="K62" s="863"/>
      <c r="L62" s="863"/>
      <c r="M62" s="864"/>
      <c r="N62" s="2"/>
      <c r="O62" s="2"/>
      <c r="P62" s="2"/>
      <c r="Q62" s="2"/>
      <c r="R62" s="2"/>
    </row>
    <row r="63" spans="1:18" ht="25.5" customHeight="1" x14ac:dyDescent="0.2">
      <c r="A63" s="848" t="s">
        <v>219</v>
      </c>
      <c r="B63" s="849"/>
      <c r="C63" s="849"/>
      <c r="D63" s="850"/>
      <c r="E63" s="851" t="str">
        <f>IF(ISBLANK(D5),"",IF(ISBLANK(VLOOKUP($D$5,ID_list,74,FALSE)),"",VLOOKUP($D$5,ID_list,74,FALSE)))</f>
        <v/>
      </c>
      <c r="F63" s="852"/>
      <c r="G63" s="852"/>
      <c r="H63" s="853"/>
      <c r="I63" s="17" t="s">
        <v>220</v>
      </c>
      <c r="J63" s="862" t="str">
        <f>IF(ISBLANK(D5),"",IF(ISBLANK(VLOOKUP($D$5,ID_list,69,FALSE)),"",VLOOKUP($D$5,ID_list,69,FALSE)))</f>
        <v/>
      </c>
      <c r="K63" s="863"/>
      <c r="L63" s="863"/>
      <c r="M63" s="864"/>
      <c r="N63" s="2"/>
      <c r="O63" s="2"/>
      <c r="P63" s="2"/>
      <c r="Q63" s="2"/>
      <c r="R63" s="2"/>
    </row>
    <row r="64" spans="1:18" ht="25.5" customHeight="1" x14ac:dyDescent="0.2">
      <c r="A64" s="848" t="s">
        <v>221</v>
      </c>
      <c r="B64" s="849"/>
      <c r="C64" s="849"/>
      <c r="D64" s="850"/>
      <c r="E64" s="851" t="str">
        <f>IF(ISBLANK(D5),"",IF(ISBLANK(VLOOKUP($D$5,ID_list,75,FALSE)),"",CONCATENATE(VLOOKUP($D$5,ID_list,75,FALSE),"-",VLOOKUP($D$5,ID_list,76,FALSE))))</f>
        <v/>
      </c>
      <c r="F64" s="852"/>
      <c r="G64" s="852"/>
      <c r="H64" s="853"/>
      <c r="I64" s="16"/>
      <c r="J64" s="16"/>
      <c r="K64" s="16"/>
      <c r="L64" s="16"/>
      <c r="M64" s="16"/>
      <c r="N64" s="2"/>
      <c r="O64" s="2"/>
      <c r="P64" s="2"/>
      <c r="Q64" s="2"/>
      <c r="R64" s="2"/>
    </row>
    <row r="65" spans="1:18" ht="25.5" customHeight="1" x14ac:dyDescent="0.2">
      <c r="A65" s="848" t="s">
        <v>222</v>
      </c>
      <c r="B65" s="849"/>
      <c r="C65" s="849"/>
      <c r="D65" s="850"/>
      <c r="E65" s="851"/>
      <c r="F65" s="852"/>
      <c r="G65" s="852"/>
      <c r="H65" s="853"/>
      <c r="I65" s="16"/>
      <c r="J65" s="16"/>
      <c r="K65" s="16"/>
      <c r="L65" s="16"/>
      <c r="M65" s="16"/>
      <c r="N65" s="654" t="str">
        <f>IF($D$5&gt;=200,"Psychiatric or Specialty hospitals click here to skip to the next REQUIRED item.","")</f>
        <v/>
      </c>
      <c r="O65" s="654"/>
      <c r="P65" s="654"/>
      <c r="Q65" s="654"/>
      <c r="R65" s="654"/>
    </row>
    <row r="66" spans="1:18" ht="25.5" customHeight="1" x14ac:dyDescent="0.2">
      <c r="A66" s="15" t="str">
        <f>$A$33</f>
        <v xml:space="preserve"> </v>
      </c>
      <c r="B66" s="5"/>
      <c r="C66" s="5"/>
      <c r="D66" s="5"/>
      <c r="E66" s="5"/>
      <c r="F66" s="2"/>
      <c r="G66" s="2"/>
      <c r="H66" s="2"/>
      <c r="I66" s="2"/>
      <c r="J66" s="2"/>
      <c r="K66" s="2"/>
      <c r="L66" s="2"/>
      <c r="M66" s="2"/>
      <c r="N66" s="2"/>
      <c r="O66" s="2"/>
      <c r="P66" s="2"/>
      <c r="Q66" s="2"/>
      <c r="R66" s="2"/>
    </row>
    <row r="67" spans="1:18" ht="25.5" customHeight="1" x14ac:dyDescent="0.2">
      <c r="A67" s="567" t="s">
        <v>1286</v>
      </c>
      <c r="B67" s="567"/>
      <c r="C67" s="567"/>
      <c r="D67" s="567"/>
      <c r="E67" s="567"/>
      <c r="F67" s="567"/>
      <c r="G67" s="567"/>
      <c r="H67" s="567"/>
      <c r="I67" s="567"/>
      <c r="J67" s="567"/>
      <c r="K67" s="674"/>
      <c r="L67" s="781"/>
      <c r="M67" s="781"/>
      <c r="N67" s="2"/>
      <c r="O67" s="2"/>
      <c r="P67" s="2"/>
      <c r="Q67" s="2"/>
      <c r="R67" s="2"/>
    </row>
    <row r="68" spans="1:18" ht="25.5" customHeight="1" x14ac:dyDescent="0.2">
      <c r="A68" s="566" t="s">
        <v>228</v>
      </c>
      <c r="B68" s="566"/>
      <c r="C68" s="566"/>
      <c r="D68" s="566"/>
      <c r="E68" s="566"/>
      <c r="F68" s="566"/>
      <c r="G68" s="566"/>
      <c r="H68" s="566"/>
      <c r="I68" s="566"/>
      <c r="J68" s="566"/>
      <c r="K68" s="566"/>
      <c r="L68" s="566"/>
      <c r="M68" s="566"/>
      <c r="N68" s="2"/>
      <c r="O68" s="2"/>
      <c r="P68" s="2"/>
      <c r="Q68" s="2"/>
      <c r="R68" s="2"/>
    </row>
    <row r="69" spans="1:18" ht="25.5" customHeight="1" x14ac:dyDescent="0.2">
      <c r="A69" s="567" t="s">
        <v>229</v>
      </c>
      <c r="B69" s="567"/>
      <c r="C69" s="567"/>
      <c r="D69" s="567"/>
      <c r="E69" s="567"/>
      <c r="F69" s="567"/>
      <c r="G69" s="567"/>
      <c r="H69" s="567"/>
      <c r="I69" s="567"/>
      <c r="J69" s="567"/>
      <c r="K69" s="674"/>
      <c r="L69" s="871" t="s">
        <v>2834</v>
      </c>
      <c r="M69" s="593"/>
      <c r="N69" s="2"/>
      <c r="O69" s="2"/>
      <c r="P69" s="2"/>
      <c r="Q69" s="2"/>
      <c r="R69" s="2"/>
    </row>
    <row r="70" spans="1:18" ht="25.5" customHeight="1" x14ac:dyDescent="0.2">
      <c r="A70" s="20" t="s">
        <v>231</v>
      </c>
      <c r="B70" s="539" t="s">
        <v>232</v>
      </c>
      <c r="C70" s="528"/>
      <c r="D70" s="528"/>
      <c r="E70" s="528"/>
      <c r="F70" s="528"/>
      <c r="G70" s="528"/>
      <c r="H70" s="528"/>
      <c r="I70" s="528"/>
      <c r="J70" s="528"/>
      <c r="K70" s="529"/>
      <c r="L70" s="870"/>
      <c r="M70" s="673"/>
      <c r="N70" s="663" t="s">
        <v>1396</v>
      </c>
      <c r="O70" s="664"/>
      <c r="P70" s="664"/>
      <c r="Q70" s="664"/>
      <c r="R70" s="665"/>
    </row>
    <row r="71" spans="1:18" ht="25.5" customHeight="1" x14ac:dyDescent="0.2">
      <c r="A71" s="20">
        <v>204</v>
      </c>
      <c r="B71" s="539" t="s">
        <v>233</v>
      </c>
      <c r="C71" s="528"/>
      <c r="D71" s="528"/>
      <c r="E71" s="528"/>
      <c r="F71" s="528"/>
      <c r="G71" s="528"/>
      <c r="H71" s="528"/>
      <c r="I71" s="528"/>
      <c r="J71" s="528"/>
      <c r="K71" s="529"/>
      <c r="L71" s="870"/>
      <c r="M71" s="673"/>
      <c r="N71" s="666"/>
      <c r="O71" s="667"/>
      <c r="P71" s="667"/>
      <c r="Q71" s="667"/>
      <c r="R71" s="668"/>
    </row>
    <row r="72" spans="1:18" ht="25.5" customHeight="1" x14ac:dyDescent="0.2">
      <c r="A72" s="20">
        <v>207</v>
      </c>
      <c r="B72" s="539" t="s">
        <v>234</v>
      </c>
      <c r="C72" s="528"/>
      <c r="D72" s="528"/>
      <c r="E72" s="528"/>
      <c r="F72" s="528"/>
      <c r="G72" s="528"/>
      <c r="H72" s="528"/>
      <c r="I72" s="528"/>
      <c r="J72" s="528"/>
      <c r="K72" s="529"/>
      <c r="L72" s="870"/>
      <c r="M72" s="673"/>
      <c r="N72" s="653" t="str">
        <f>IF(NOT(ISBLANK($L$72)),"Any clinic included in 0207 needs to be listed on Offsite Locations tab.","")</f>
        <v/>
      </c>
      <c r="O72" s="654"/>
      <c r="P72" s="654"/>
      <c r="Q72" s="654"/>
      <c r="R72" s="654"/>
    </row>
    <row r="73" spans="1:18" ht="25.5" customHeight="1" x14ac:dyDescent="0.2">
      <c r="A73" s="20">
        <v>202</v>
      </c>
      <c r="B73" s="539" t="s">
        <v>235</v>
      </c>
      <c r="C73" s="528"/>
      <c r="D73" s="528"/>
      <c r="E73" s="528"/>
      <c r="F73" s="528"/>
      <c r="G73" s="528"/>
      <c r="H73" s="528"/>
      <c r="I73" s="528"/>
      <c r="J73" s="528"/>
      <c r="K73" s="529"/>
      <c r="L73" s="870"/>
      <c r="M73" s="673"/>
      <c r="N73" s="661"/>
      <c r="O73" s="662"/>
      <c r="P73" s="662"/>
      <c r="Q73" s="662"/>
      <c r="R73" s="662"/>
    </row>
    <row r="74" spans="1:18" ht="25.5" customHeight="1" x14ac:dyDescent="0.2">
      <c r="A74" s="20">
        <v>203</v>
      </c>
      <c r="B74" s="539" t="s">
        <v>236</v>
      </c>
      <c r="C74" s="528"/>
      <c r="D74" s="528"/>
      <c r="E74" s="528"/>
      <c r="F74" s="528"/>
      <c r="G74" s="528"/>
      <c r="H74" s="528"/>
      <c r="I74" s="528"/>
      <c r="J74" s="528"/>
      <c r="K74" s="529"/>
      <c r="L74" s="870"/>
      <c r="M74" s="673"/>
    </row>
    <row r="75" spans="1:18" ht="25.5" customHeight="1" x14ac:dyDescent="0.2">
      <c r="A75" s="20">
        <v>7113</v>
      </c>
      <c r="B75" s="539" t="s">
        <v>237</v>
      </c>
      <c r="C75" s="528"/>
      <c r="D75" s="528"/>
      <c r="E75" s="528"/>
      <c r="F75" s="528"/>
      <c r="G75" s="528"/>
      <c r="H75" s="528"/>
      <c r="I75" s="528"/>
      <c r="J75" s="528"/>
      <c r="K75" s="529"/>
      <c r="L75" s="870"/>
      <c r="M75" s="673"/>
    </row>
    <row r="76" spans="1:18" ht="25.5" customHeight="1" x14ac:dyDescent="0.2">
      <c r="A76" s="20">
        <v>208</v>
      </c>
      <c r="B76" s="539" t="s">
        <v>238</v>
      </c>
      <c r="C76" s="528"/>
      <c r="D76" s="528"/>
      <c r="E76" s="528"/>
      <c r="F76" s="528"/>
      <c r="G76" s="528"/>
      <c r="H76" s="528"/>
      <c r="I76" s="528"/>
      <c r="J76" s="528"/>
      <c r="K76" s="529"/>
      <c r="L76" s="870"/>
      <c r="M76" s="673"/>
      <c r="N76" s="653" t="str">
        <f>IF(NOT(ISBLANK($L$76)),"Any clinic included in 0208 needs to be listed on Offsite Locations tab.","")</f>
        <v/>
      </c>
      <c r="O76" s="654"/>
      <c r="P76" s="654"/>
      <c r="Q76" s="654"/>
      <c r="R76" s="654"/>
    </row>
    <row r="77" spans="1:18" ht="25.5" customHeight="1" x14ac:dyDescent="0.2">
      <c r="A77" s="21">
        <v>210</v>
      </c>
      <c r="B77" s="522" t="s">
        <v>239</v>
      </c>
      <c r="C77" s="523"/>
      <c r="D77" s="523"/>
      <c r="E77" s="523"/>
      <c r="F77" s="523"/>
      <c r="G77" s="523"/>
      <c r="H77" s="523"/>
      <c r="I77" s="523"/>
      <c r="J77" s="523"/>
      <c r="K77" s="524"/>
      <c r="L77" s="868">
        <f>SUM(L70:M76)</f>
        <v>0</v>
      </c>
      <c r="M77" s="869"/>
      <c r="N77" s="2"/>
      <c r="O77" s="2"/>
      <c r="P77" s="2"/>
      <c r="Q77" s="2"/>
      <c r="R77" s="2"/>
    </row>
    <row r="78" spans="1:18" ht="25.5" customHeight="1" x14ac:dyDescent="0.2">
      <c r="A78" s="20">
        <v>215</v>
      </c>
      <c r="B78" s="539" t="s">
        <v>1582</v>
      </c>
      <c r="C78" s="528"/>
      <c r="D78" s="528"/>
      <c r="E78" s="528"/>
      <c r="F78" s="528"/>
      <c r="G78" s="528"/>
      <c r="H78" s="528"/>
      <c r="I78" s="528"/>
      <c r="J78" s="528"/>
      <c r="K78" s="529"/>
      <c r="L78" s="870"/>
      <c r="M78" s="673"/>
      <c r="N78" s="644" t="str">
        <f>IF(NOT(ISBLANK(L78)),IF(L78&gt;=0,"This should be a negative number"," "),"")</f>
        <v/>
      </c>
      <c r="O78" s="645"/>
      <c r="P78" s="645"/>
      <c r="Q78" s="645"/>
      <c r="R78" s="646"/>
    </row>
    <row r="79" spans="1:18" ht="25.5" customHeight="1" x14ac:dyDescent="0.2">
      <c r="A79" s="20">
        <v>216</v>
      </c>
      <c r="B79" s="647" t="s">
        <v>508</v>
      </c>
      <c r="C79" s="648"/>
      <c r="D79" s="648"/>
      <c r="E79" s="648"/>
      <c r="F79" s="648"/>
      <c r="G79" s="648"/>
      <c r="H79" s="648"/>
      <c r="I79" s="648"/>
      <c r="J79" s="648"/>
      <c r="K79" s="649"/>
      <c r="L79" s="870"/>
      <c r="M79" s="673"/>
      <c r="N79" s="642" t="str">
        <f>IF(NOT(ISBLANK(L79)),IF(L79&gt;=0,"This should be a negative number"," "),"")</f>
        <v/>
      </c>
      <c r="O79" s="643"/>
      <c r="P79" s="643"/>
      <c r="Q79" s="643"/>
      <c r="R79" s="643"/>
    </row>
    <row r="80" spans="1:18" ht="25.5" customHeight="1" x14ac:dyDescent="0.2">
      <c r="A80" s="20">
        <v>220</v>
      </c>
      <c r="B80" s="539" t="s">
        <v>240</v>
      </c>
      <c r="C80" s="528"/>
      <c r="D80" s="528"/>
      <c r="E80" s="528"/>
      <c r="F80" s="528"/>
      <c r="G80" s="528"/>
      <c r="H80" s="528"/>
      <c r="I80" s="528"/>
      <c r="J80" s="528"/>
      <c r="K80" s="529"/>
      <c r="L80" s="868">
        <f>L78+L79</f>
        <v>0</v>
      </c>
      <c r="M80" s="869"/>
      <c r="N80" s="644" t="str">
        <f>IF(L80&gt;0,"This should be a negative number"," ")</f>
        <v xml:space="preserve"> </v>
      </c>
      <c r="O80" s="645"/>
      <c r="P80" s="645"/>
      <c r="Q80" s="645"/>
      <c r="R80" s="617"/>
    </row>
    <row r="81" spans="1:18" ht="25.5" customHeight="1" x14ac:dyDescent="0.2">
      <c r="A81" s="21">
        <v>219</v>
      </c>
      <c r="B81" s="522" t="s">
        <v>241</v>
      </c>
      <c r="C81" s="523"/>
      <c r="D81" s="523"/>
      <c r="E81" s="523"/>
      <c r="F81" s="523"/>
      <c r="G81" s="523"/>
      <c r="H81" s="523"/>
      <c r="I81" s="523"/>
      <c r="J81" s="523"/>
      <c r="K81" s="524"/>
      <c r="L81" s="868">
        <f>L77+L80</f>
        <v>0</v>
      </c>
      <c r="M81" s="869"/>
      <c r="N81" s="2"/>
      <c r="O81" s="2"/>
      <c r="P81" s="2"/>
      <c r="Q81" s="2"/>
      <c r="R81" s="2"/>
    </row>
    <row r="82" spans="1:18" ht="25.5" customHeight="1" x14ac:dyDescent="0.2">
      <c r="A82" s="20">
        <v>240</v>
      </c>
      <c r="B82" s="539" t="s">
        <v>1116</v>
      </c>
      <c r="C82" s="528"/>
      <c r="D82" s="528"/>
      <c r="E82" s="528"/>
      <c r="F82" s="528"/>
      <c r="G82" s="528"/>
      <c r="H82" s="528"/>
      <c r="I82" s="528"/>
      <c r="J82" s="528"/>
      <c r="K82" s="529"/>
      <c r="L82" s="870"/>
      <c r="M82" s="673"/>
      <c r="N82" s="2"/>
      <c r="O82" s="2"/>
      <c r="P82" s="2"/>
      <c r="Q82" s="2"/>
      <c r="R82" s="2"/>
    </row>
    <row r="83" spans="1:18" ht="25.5" customHeight="1" x14ac:dyDescent="0.2">
      <c r="A83" s="21">
        <v>250</v>
      </c>
      <c r="B83" s="522" t="s">
        <v>1117</v>
      </c>
      <c r="C83" s="523"/>
      <c r="D83" s="523"/>
      <c r="E83" s="523"/>
      <c r="F83" s="523"/>
      <c r="G83" s="523"/>
      <c r="H83" s="523"/>
      <c r="I83" s="523"/>
      <c r="J83" s="523"/>
      <c r="K83" s="524"/>
      <c r="L83" s="868">
        <f>L81+L82</f>
        <v>0</v>
      </c>
      <c r="M83" s="869"/>
      <c r="N83" s="2"/>
      <c r="O83" s="2"/>
      <c r="P83" s="2"/>
      <c r="Q83" s="2"/>
      <c r="R83" s="2"/>
    </row>
    <row r="84" spans="1:18" ht="25.5" customHeight="1" x14ac:dyDescent="0.2">
      <c r="A84" s="20">
        <v>260</v>
      </c>
      <c r="B84" s="539" t="s">
        <v>1118</v>
      </c>
      <c r="C84" s="528"/>
      <c r="D84" s="528"/>
      <c r="E84" s="528"/>
      <c r="F84" s="528"/>
      <c r="G84" s="528"/>
      <c r="H84" s="528"/>
      <c r="I84" s="528"/>
      <c r="J84" s="528"/>
      <c r="K84" s="529"/>
      <c r="L84" s="530"/>
      <c r="M84" s="673"/>
      <c r="N84" s="2"/>
      <c r="O84" s="2"/>
      <c r="P84" s="2"/>
      <c r="Q84" s="2"/>
      <c r="R84" s="2"/>
    </row>
    <row r="85" spans="1:18" ht="25.5" customHeight="1" x14ac:dyDescent="0.2">
      <c r="A85" s="21">
        <v>200</v>
      </c>
      <c r="B85" s="522" t="s">
        <v>1119</v>
      </c>
      <c r="C85" s="523"/>
      <c r="D85" s="523"/>
      <c r="E85" s="523"/>
      <c r="F85" s="523"/>
      <c r="G85" s="523"/>
      <c r="H85" s="523"/>
      <c r="I85" s="523"/>
      <c r="J85" s="523"/>
      <c r="K85" s="524"/>
      <c r="L85" s="868">
        <f>L83-L84</f>
        <v>0</v>
      </c>
      <c r="M85" s="869"/>
      <c r="N85" s="2"/>
      <c r="O85" s="2"/>
      <c r="P85" s="2"/>
      <c r="Q85" s="2"/>
      <c r="R85" s="2"/>
    </row>
    <row r="86" spans="1:18" ht="25.5" customHeight="1" x14ac:dyDescent="0.2">
      <c r="A86" s="567" t="s">
        <v>1120</v>
      </c>
      <c r="B86" s="567"/>
      <c r="C86" s="567"/>
      <c r="D86" s="567"/>
      <c r="E86" s="567"/>
      <c r="F86" s="567"/>
      <c r="G86" s="567"/>
      <c r="H86" s="567"/>
      <c r="I86" s="567"/>
      <c r="J86" s="567"/>
      <c r="K86" s="674"/>
      <c r="L86" s="780" t="s">
        <v>2834</v>
      </c>
      <c r="M86" s="781"/>
      <c r="N86" s="2"/>
      <c r="O86" s="2"/>
      <c r="P86" s="2"/>
      <c r="Q86" s="2"/>
      <c r="R86" s="2"/>
    </row>
    <row r="87" spans="1:18" ht="25.5" customHeight="1" x14ac:dyDescent="0.2">
      <c r="A87" s="20">
        <v>320</v>
      </c>
      <c r="B87" s="539" t="s">
        <v>1121</v>
      </c>
      <c r="C87" s="528"/>
      <c r="D87" s="528"/>
      <c r="E87" s="528"/>
      <c r="F87" s="528"/>
      <c r="G87" s="528"/>
      <c r="H87" s="528"/>
      <c r="I87" s="528"/>
      <c r="J87" s="528"/>
      <c r="K87" s="529"/>
      <c r="L87" s="530"/>
      <c r="M87" s="673"/>
      <c r="N87" s="2"/>
      <c r="O87" s="2"/>
      <c r="P87" s="2"/>
      <c r="Q87" s="2"/>
      <c r="R87" s="2"/>
    </row>
    <row r="88" spans="1:18" ht="25.5" customHeight="1" x14ac:dyDescent="0.2">
      <c r="A88" s="20">
        <v>330</v>
      </c>
      <c r="B88" s="539" t="s">
        <v>1122</v>
      </c>
      <c r="C88" s="528"/>
      <c r="D88" s="528"/>
      <c r="E88" s="528"/>
      <c r="F88" s="528"/>
      <c r="G88" s="528"/>
      <c r="H88" s="528"/>
      <c r="I88" s="528"/>
      <c r="J88" s="528"/>
      <c r="K88" s="529"/>
      <c r="L88" s="530"/>
      <c r="M88" s="673"/>
      <c r="N88" s="2"/>
      <c r="O88" s="2"/>
      <c r="P88" s="2"/>
      <c r="Q88" s="2"/>
      <c r="R88" s="2"/>
    </row>
    <row r="89" spans="1:18" ht="25.5" customHeight="1" x14ac:dyDescent="0.2">
      <c r="A89" s="20">
        <v>333</v>
      </c>
      <c r="B89" s="539" t="s">
        <v>1123</v>
      </c>
      <c r="C89" s="528"/>
      <c r="D89" s="528"/>
      <c r="E89" s="528"/>
      <c r="F89" s="528"/>
      <c r="G89" s="528"/>
      <c r="H89" s="528"/>
      <c r="I89" s="528"/>
      <c r="J89" s="528"/>
      <c r="K89" s="529"/>
      <c r="L89" s="530"/>
      <c r="M89" s="673"/>
      <c r="N89" s="2"/>
      <c r="O89" s="2"/>
      <c r="P89" s="2"/>
      <c r="Q89" s="2"/>
      <c r="R89" s="2"/>
    </row>
    <row r="90" spans="1:18" ht="25.5" customHeight="1" x14ac:dyDescent="0.2">
      <c r="A90" s="21">
        <v>300</v>
      </c>
      <c r="B90" s="522" t="s">
        <v>1124</v>
      </c>
      <c r="C90" s="523"/>
      <c r="D90" s="523"/>
      <c r="E90" s="523"/>
      <c r="F90" s="523"/>
      <c r="G90" s="523"/>
      <c r="H90" s="523"/>
      <c r="I90" s="523"/>
      <c r="J90" s="523"/>
      <c r="K90" s="524"/>
      <c r="L90" s="868">
        <f>L85+L87-L88+L89</f>
        <v>0</v>
      </c>
      <c r="M90" s="869"/>
      <c r="N90" s="872" t="s">
        <v>1125</v>
      </c>
      <c r="O90" s="873"/>
      <c r="P90" s="873"/>
      <c r="Q90" s="873"/>
      <c r="R90" s="874"/>
    </row>
    <row r="91" spans="1:18" ht="25.5" customHeight="1" x14ac:dyDescent="0.2">
      <c r="A91" s="20">
        <v>340</v>
      </c>
      <c r="B91" s="539" t="s">
        <v>1126</v>
      </c>
      <c r="C91" s="528"/>
      <c r="D91" s="528"/>
      <c r="E91" s="528"/>
      <c r="F91" s="528"/>
      <c r="G91" s="528"/>
      <c r="H91" s="528"/>
      <c r="I91" s="528"/>
      <c r="J91" s="528"/>
      <c r="K91" s="529"/>
      <c r="L91" s="530"/>
      <c r="M91" s="673"/>
      <c r="N91" s="875"/>
      <c r="O91" s="876"/>
      <c r="P91" s="876"/>
      <c r="Q91" s="876"/>
      <c r="R91" s="877"/>
    </row>
    <row r="93" spans="1:18" ht="25.5" customHeight="1" x14ac:dyDescent="0.2">
      <c r="B93" s="2"/>
      <c r="C93" s="2"/>
      <c r="D93" s="2"/>
      <c r="E93" s="2"/>
      <c r="F93" s="2"/>
      <c r="G93" s="2"/>
      <c r="H93" s="2"/>
      <c r="I93" s="2"/>
      <c r="J93" s="2"/>
      <c r="K93" s="2"/>
      <c r="L93" s="2"/>
      <c r="M93" s="2"/>
      <c r="N93" s="2"/>
      <c r="O93" s="2"/>
      <c r="P93" s="2"/>
      <c r="Q93" s="2"/>
      <c r="R93" s="2"/>
    </row>
    <row r="94" spans="1:18" ht="25.5" customHeight="1" x14ac:dyDescent="0.2">
      <c r="A94" s="15" t="str">
        <f>$A$33</f>
        <v xml:space="preserve"> </v>
      </c>
      <c r="B94" s="2"/>
      <c r="C94" s="2"/>
      <c r="D94" s="2"/>
      <c r="E94" s="2"/>
      <c r="F94" s="2"/>
      <c r="G94" s="2"/>
      <c r="H94" s="2"/>
      <c r="I94" s="2"/>
      <c r="J94" s="2"/>
      <c r="K94" s="2"/>
      <c r="L94" s="2"/>
      <c r="M94" s="2"/>
      <c r="N94" s="2"/>
      <c r="O94" s="2"/>
      <c r="P94" s="2"/>
      <c r="Q94" s="2"/>
      <c r="R94" s="2"/>
    </row>
    <row r="95" spans="1:18" ht="25.5" customHeight="1" x14ac:dyDescent="0.2">
      <c r="A95" s="566" t="s">
        <v>1229</v>
      </c>
      <c r="B95" s="634"/>
      <c r="C95" s="634"/>
      <c r="D95" s="634"/>
      <c r="E95" s="634"/>
      <c r="F95" s="634"/>
      <c r="G95" s="634"/>
      <c r="H95" s="634"/>
      <c r="I95" s="634"/>
      <c r="J95" s="634"/>
      <c r="K95" s="634"/>
      <c r="L95" s="634"/>
      <c r="M95" s="634"/>
    </row>
    <row r="96" spans="1:18" ht="25.5" customHeight="1" x14ac:dyDescent="0.2">
      <c r="A96" s="567" t="s">
        <v>621</v>
      </c>
      <c r="B96" s="567"/>
      <c r="C96" s="567"/>
      <c r="D96" s="567"/>
      <c r="E96" s="567"/>
      <c r="F96" s="567"/>
      <c r="G96" s="567"/>
      <c r="H96" s="567"/>
      <c r="I96" s="567"/>
      <c r="J96" s="567"/>
      <c r="K96" s="674"/>
      <c r="L96" s="780" t="s">
        <v>2834</v>
      </c>
      <c r="M96" s="781"/>
      <c r="N96" s="2"/>
      <c r="O96" s="2"/>
      <c r="P96" s="2"/>
      <c r="Q96" s="2"/>
      <c r="R96" s="2"/>
    </row>
    <row r="97" spans="1:18" ht="25.5" customHeight="1" x14ac:dyDescent="0.2">
      <c r="A97" s="20">
        <v>8062</v>
      </c>
      <c r="B97" s="539" t="s">
        <v>980</v>
      </c>
      <c r="C97" s="528"/>
      <c r="D97" s="528"/>
      <c r="E97" s="528"/>
      <c r="F97" s="528"/>
      <c r="G97" s="528"/>
      <c r="H97" s="528"/>
      <c r="I97" s="528"/>
      <c r="J97" s="528"/>
      <c r="K97" s="529"/>
      <c r="L97" s="878">
        <f>Code_0201</f>
        <v>0</v>
      </c>
      <c r="M97" s="879"/>
      <c r="N97" s="882" t="str">
        <f>IF(AND(NOT(ISBLANK(Code_0201)),Code_8062&lt;&gt;Code_0201),"This MUST tie to account 201 in Section 1!","")</f>
        <v/>
      </c>
      <c r="O97" s="883"/>
      <c r="P97" s="883"/>
      <c r="Q97" s="883"/>
      <c r="R97" s="883"/>
    </row>
    <row r="98" spans="1:18" ht="25.5" customHeight="1" x14ac:dyDescent="0.2">
      <c r="A98" s="20">
        <v>738</v>
      </c>
      <c r="B98" s="539" t="s">
        <v>1582</v>
      </c>
      <c r="C98" s="528"/>
      <c r="D98" s="528"/>
      <c r="E98" s="528"/>
      <c r="F98" s="528"/>
      <c r="G98" s="528"/>
      <c r="H98" s="528"/>
      <c r="I98" s="528"/>
      <c r="J98" s="528"/>
      <c r="K98" s="529"/>
      <c r="L98" s="530"/>
      <c r="M98" s="673"/>
      <c r="N98" s="644" t="str">
        <f>IF(NOT(ISBLANK(L98)),IF(L98&gt;=0,"This should be a negative number"," "),"")</f>
        <v/>
      </c>
      <c r="O98" s="645"/>
      <c r="P98" s="645"/>
      <c r="Q98" s="645"/>
      <c r="R98" s="645"/>
    </row>
    <row r="99" spans="1:18" ht="25.5" customHeight="1" x14ac:dyDescent="0.2">
      <c r="A99" s="20">
        <v>739</v>
      </c>
      <c r="B99" s="647" t="s">
        <v>1584</v>
      </c>
      <c r="C99" s="648"/>
      <c r="D99" s="648"/>
      <c r="E99" s="648"/>
      <c r="F99" s="648"/>
      <c r="G99" s="648"/>
      <c r="H99" s="648"/>
      <c r="I99" s="648"/>
      <c r="J99" s="648"/>
      <c r="K99" s="649"/>
      <c r="L99" s="530"/>
      <c r="M99" s="673"/>
      <c r="N99" s="642" t="str">
        <f>IF(NOT(ISBLANK(L99)),IF(L99&gt;=0,"This should be a negative number"," "),"")</f>
        <v/>
      </c>
      <c r="O99" s="643"/>
      <c r="P99" s="643"/>
      <c r="Q99" s="643"/>
      <c r="R99" s="643"/>
    </row>
    <row r="100" spans="1:18" ht="25.5" customHeight="1" x14ac:dyDescent="0.2">
      <c r="A100" s="20">
        <v>8063</v>
      </c>
      <c r="B100" s="539" t="s">
        <v>1585</v>
      </c>
      <c r="C100" s="528"/>
      <c r="D100" s="528"/>
      <c r="E100" s="528"/>
      <c r="F100" s="528"/>
      <c r="G100" s="528"/>
      <c r="H100" s="528"/>
      <c r="I100" s="528"/>
      <c r="J100" s="528"/>
      <c r="K100" s="529"/>
      <c r="L100" s="878">
        <f>L98+L99</f>
        <v>0</v>
      </c>
      <c r="M100" s="879"/>
      <c r="N100" s="644" t="str">
        <f>IF(NOT(ISBLANK(L100)),IF(L100&gt;0,"This should be a negative number"," "),"")</f>
        <v xml:space="preserve"> </v>
      </c>
      <c r="O100" s="645"/>
      <c r="P100" s="645"/>
      <c r="Q100" s="645"/>
      <c r="R100" s="645"/>
    </row>
    <row r="101" spans="1:18" ht="25.5" customHeight="1" x14ac:dyDescent="0.2">
      <c r="A101" s="20">
        <v>750</v>
      </c>
      <c r="B101" s="539" t="s">
        <v>1287</v>
      </c>
      <c r="C101" s="528"/>
      <c r="D101" s="528"/>
      <c r="E101" s="528"/>
      <c r="F101" s="528"/>
      <c r="G101" s="528"/>
      <c r="H101" s="528"/>
      <c r="I101" s="528"/>
      <c r="J101" s="528"/>
      <c r="K101" s="529"/>
      <c r="L101" s="632">
        <f>L97+L100</f>
        <v>0</v>
      </c>
      <c r="M101" s="633"/>
      <c r="N101" s="2"/>
      <c r="O101" s="2"/>
      <c r="P101" s="2"/>
      <c r="Q101" s="2"/>
      <c r="R101" s="2"/>
    </row>
    <row r="102" spans="1:18" ht="25.5" customHeight="1" x14ac:dyDescent="0.2">
      <c r="A102" s="567" t="s">
        <v>622</v>
      </c>
      <c r="B102" s="567"/>
      <c r="C102" s="567"/>
      <c r="D102" s="567"/>
      <c r="E102" s="567"/>
      <c r="F102" s="567"/>
      <c r="G102" s="567"/>
      <c r="H102" s="567"/>
      <c r="I102" s="567"/>
      <c r="J102" s="567"/>
      <c r="K102" s="674"/>
      <c r="L102" s="780" t="s">
        <v>2834</v>
      </c>
      <c r="M102" s="781"/>
      <c r="N102" s="2"/>
      <c r="O102" s="2"/>
      <c r="P102" s="2"/>
      <c r="Q102" s="2"/>
      <c r="R102" s="2"/>
    </row>
    <row r="103" spans="1:18" ht="25.5" customHeight="1" x14ac:dyDescent="0.2">
      <c r="A103" s="20">
        <v>775</v>
      </c>
      <c r="B103" s="539" t="s">
        <v>1127</v>
      </c>
      <c r="C103" s="528"/>
      <c r="D103" s="528"/>
      <c r="E103" s="528"/>
      <c r="F103" s="528"/>
      <c r="G103" s="528"/>
      <c r="H103" s="528"/>
      <c r="I103" s="528"/>
      <c r="J103" s="528"/>
      <c r="K103" s="529"/>
      <c r="L103" s="530"/>
      <c r="M103" s="673"/>
    </row>
    <row r="104" spans="1:18" ht="25.5" customHeight="1" x14ac:dyDescent="0.2">
      <c r="A104" s="20">
        <v>776</v>
      </c>
      <c r="B104" s="522" t="s">
        <v>1128</v>
      </c>
      <c r="C104" s="528"/>
      <c r="D104" s="528"/>
      <c r="E104" s="528"/>
      <c r="F104" s="528"/>
      <c r="G104" s="528"/>
      <c r="H104" s="528"/>
      <c r="I104" s="529"/>
      <c r="J104" s="893"/>
      <c r="K104" s="894"/>
      <c r="L104" s="790"/>
      <c r="M104" s="791"/>
      <c r="N104" s="650" t="str">
        <f>IF(NOT(ISBLANK(J104)),"Please represent percentage as a WHOLE number","")</f>
        <v/>
      </c>
      <c r="O104" s="883"/>
      <c r="P104" s="883"/>
      <c r="Q104" s="883"/>
      <c r="R104" s="883"/>
    </row>
    <row r="105" spans="1:18" ht="25.5" customHeight="1" x14ac:dyDescent="0.2">
      <c r="A105" s="20">
        <v>777</v>
      </c>
      <c r="B105" s="522" t="s">
        <v>1129</v>
      </c>
      <c r="C105" s="528"/>
      <c r="D105" s="528"/>
      <c r="E105" s="528"/>
      <c r="F105" s="528"/>
      <c r="G105" s="528"/>
      <c r="H105" s="528"/>
      <c r="I105" s="529"/>
      <c r="J105" s="888" t="str">
        <f>IF(ISBLANK(J104),"",100-J104)</f>
        <v/>
      </c>
      <c r="K105" s="889"/>
      <c r="L105" s="792"/>
      <c r="M105" s="793"/>
      <c r="N105" s="887"/>
      <c r="O105" s="883"/>
      <c r="P105" s="883"/>
      <c r="Q105" s="883"/>
      <c r="R105" s="883"/>
    </row>
    <row r="106" spans="1:18" ht="25.5" customHeight="1" x14ac:dyDescent="0.2">
      <c r="A106" s="20">
        <v>778</v>
      </c>
      <c r="B106" s="539" t="s">
        <v>1130</v>
      </c>
      <c r="C106" s="528"/>
      <c r="D106" s="528"/>
      <c r="E106" s="528"/>
      <c r="F106" s="528"/>
      <c r="G106" s="528"/>
      <c r="H106" s="528"/>
      <c r="I106" s="528"/>
      <c r="J106" s="528"/>
      <c r="K106" s="529"/>
      <c r="L106" s="530"/>
      <c r="M106" s="673"/>
    </row>
    <row r="107" spans="1:18" ht="25.5" customHeight="1" x14ac:dyDescent="0.2">
      <c r="A107" s="20">
        <v>772</v>
      </c>
      <c r="B107" s="539" t="s">
        <v>1131</v>
      </c>
      <c r="C107" s="528"/>
      <c r="D107" s="528"/>
      <c r="E107" s="528"/>
      <c r="F107" s="528"/>
      <c r="G107" s="528"/>
      <c r="H107" s="528"/>
      <c r="I107" s="528"/>
      <c r="J107" s="528"/>
      <c r="K107" s="529"/>
      <c r="L107" s="530"/>
      <c r="M107" s="673"/>
      <c r="N107" s="890" t="s">
        <v>1132</v>
      </c>
      <c r="O107" s="891"/>
      <c r="P107" s="891"/>
      <c r="Q107" s="891"/>
      <c r="R107" s="892"/>
    </row>
    <row r="108" spans="1:18" ht="25.5" customHeight="1" x14ac:dyDescent="0.2">
      <c r="A108" s="20">
        <v>773</v>
      </c>
      <c r="B108" s="539" t="s">
        <v>2164</v>
      </c>
      <c r="C108" s="528"/>
      <c r="D108" s="528"/>
      <c r="E108" s="528"/>
      <c r="F108" s="528"/>
      <c r="G108" s="528"/>
      <c r="H108" s="528"/>
      <c r="I108" s="528"/>
      <c r="J108" s="528"/>
      <c r="K108" s="529"/>
      <c r="L108" s="632">
        <f>L109-L103-L106-L107</f>
        <v>0</v>
      </c>
      <c r="M108" s="633"/>
      <c r="N108" s="884"/>
      <c r="O108" s="885"/>
      <c r="P108" s="885"/>
      <c r="Q108" s="885"/>
      <c r="R108" s="885"/>
    </row>
    <row r="109" spans="1:18" ht="25.5" customHeight="1" x14ac:dyDescent="0.2">
      <c r="A109" s="21">
        <v>770</v>
      </c>
      <c r="B109" s="522" t="s">
        <v>1116</v>
      </c>
      <c r="C109" s="523"/>
      <c r="D109" s="523"/>
      <c r="E109" s="523"/>
      <c r="F109" s="523"/>
      <c r="G109" s="523"/>
      <c r="H109" s="523"/>
      <c r="I109" s="523"/>
      <c r="J109" s="523"/>
      <c r="K109" s="524"/>
      <c r="L109" s="530"/>
      <c r="M109" s="673"/>
      <c r="N109" s="882" t="str">
        <f>IF(AND(NOT(ISBLANK(Code_0240)),Code_0770&gt;Code_0240),"Warning! This should not be greater than account 240 in Section 1.","")</f>
        <v/>
      </c>
      <c r="O109" s="883"/>
      <c r="P109" s="883"/>
      <c r="Q109" s="883"/>
      <c r="R109" s="883"/>
    </row>
    <row r="110" spans="1:18" ht="25.5" customHeight="1" x14ac:dyDescent="0.2">
      <c r="A110" s="567" t="s">
        <v>623</v>
      </c>
      <c r="B110" s="567"/>
      <c r="C110" s="567"/>
      <c r="D110" s="567"/>
      <c r="E110" s="567"/>
      <c r="F110" s="567"/>
      <c r="G110" s="567"/>
      <c r="H110" s="567"/>
      <c r="I110" s="567"/>
      <c r="J110" s="567"/>
      <c r="K110" s="674"/>
      <c r="L110" s="780" t="s">
        <v>2834</v>
      </c>
      <c r="M110" s="781"/>
      <c r="N110" s="1026" t="str">
        <f>IF($D$5&gt;=200,"This section is REQUIRED for Pyschiatric and Specialty hospitals.","")</f>
        <v/>
      </c>
      <c r="O110" s="1026"/>
      <c r="P110" s="1026"/>
      <c r="Q110" s="1026"/>
      <c r="R110" s="1026"/>
    </row>
    <row r="111" spans="1:18" ht="25.5" customHeight="1" x14ac:dyDescent="0.2">
      <c r="A111" s="20">
        <v>780</v>
      </c>
      <c r="B111" s="539" t="s">
        <v>1133</v>
      </c>
      <c r="C111" s="528"/>
      <c r="D111" s="528"/>
      <c r="E111" s="528"/>
      <c r="F111" s="528"/>
      <c r="G111" s="528"/>
      <c r="H111" s="528"/>
      <c r="I111" s="528"/>
      <c r="J111" s="528"/>
      <c r="K111" s="529"/>
      <c r="L111" s="537">
        <f>L101+L109</f>
        <v>0</v>
      </c>
      <c r="M111" s="538"/>
      <c r="N111" s="2"/>
      <c r="O111" s="2"/>
      <c r="P111" s="2"/>
      <c r="Q111" s="2"/>
      <c r="R111" s="2"/>
    </row>
    <row r="112" spans="1:18" ht="25.5" customHeight="1" x14ac:dyDescent="0.2">
      <c r="A112" s="20">
        <v>790</v>
      </c>
      <c r="B112" s="539" t="s">
        <v>1134</v>
      </c>
      <c r="C112" s="528"/>
      <c r="D112" s="528"/>
      <c r="E112" s="528"/>
      <c r="F112" s="528"/>
      <c r="G112" s="528"/>
      <c r="H112" s="528"/>
      <c r="I112" s="528"/>
      <c r="J112" s="528"/>
      <c r="K112" s="529"/>
      <c r="L112" s="530"/>
      <c r="M112" s="673"/>
      <c r="N112" s="882" t="str">
        <f>IF(AND(NOT(ISBLANK(Code_0260)),Code_0790&gt;Code_0260),"Warning! This should not be greater than account 260 in Section 1.","")</f>
        <v/>
      </c>
      <c r="O112" s="883"/>
      <c r="P112" s="883"/>
      <c r="Q112" s="883"/>
      <c r="R112" s="883"/>
    </row>
    <row r="113" spans="1:18" ht="25.5" customHeight="1" x14ac:dyDescent="0.2">
      <c r="A113" s="21">
        <v>700</v>
      </c>
      <c r="B113" s="522" t="s">
        <v>1135</v>
      </c>
      <c r="C113" s="523"/>
      <c r="D113" s="523"/>
      <c r="E113" s="523"/>
      <c r="F113" s="523"/>
      <c r="G113" s="523"/>
      <c r="H113" s="523"/>
      <c r="I113" s="523"/>
      <c r="J113" s="523"/>
      <c r="K113" s="524"/>
      <c r="L113" s="880">
        <f>L111-L112</f>
        <v>0</v>
      </c>
      <c r="M113" s="881"/>
      <c r="N113" s="654" t="str">
        <f>IF($D$5&gt;=200,"Psychiatric or Specialty hospitals click here to skip to the next REQUIRED item.","")</f>
        <v/>
      </c>
      <c r="O113" s="654"/>
      <c r="P113" s="654"/>
      <c r="Q113" s="654"/>
      <c r="R113" s="654"/>
    </row>
    <row r="114" spans="1:18" ht="25.5" customHeight="1" x14ac:dyDescent="0.2">
      <c r="A114" s="567" t="s">
        <v>624</v>
      </c>
      <c r="B114" s="567"/>
      <c r="C114" s="567"/>
      <c r="D114" s="567"/>
      <c r="E114" s="567"/>
      <c r="F114" s="567"/>
      <c r="G114" s="567"/>
      <c r="H114" s="567"/>
      <c r="I114" s="567"/>
      <c r="J114" s="567"/>
      <c r="K114" s="674"/>
      <c r="L114" s="780" t="s">
        <v>2834</v>
      </c>
      <c r="M114" s="781"/>
      <c r="N114" s="2"/>
      <c r="O114" s="2"/>
      <c r="P114" s="2"/>
      <c r="Q114" s="2"/>
      <c r="R114" s="2"/>
    </row>
    <row r="115" spans="1:18" ht="25.5" customHeight="1" x14ac:dyDescent="0.2">
      <c r="A115" s="20">
        <v>801</v>
      </c>
      <c r="B115" s="539" t="s">
        <v>1136</v>
      </c>
      <c r="C115" s="528"/>
      <c r="D115" s="528"/>
      <c r="E115" s="528"/>
      <c r="F115" s="528"/>
      <c r="G115" s="528"/>
      <c r="H115" s="528"/>
      <c r="I115" s="528"/>
      <c r="J115" s="528"/>
      <c r="K115" s="529"/>
      <c r="L115" s="530"/>
      <c r="M115" s="673"/>
      <c r="N115" s="2"/>
      <c r="O115" s="2"/>
      <c r="P115" s="2"/>
      <c r="Q115" s="2"/>
      <c r="R115" s="2"/>
    </row>
    <row r="116" spans="1:18" ht="25.5" customHeight="1" x14ac:dyDescent="0.2">
      <c r="A116" s="20">
        <v>806</v>
      </c>
      <c r="B116" s="539" t="s">
        <v>1137</v>
      </c>
      <c r="C116" s="528"/>
      <c r="D116" s="528"/>
      <c r="E116" s="528"/>
      <c r="F116" s="528"/>
      <c r="G116" s="528"/>
      <c r="H116" s="528"/>
      <c r="I116" s="528"/>
      <c r="J116" s="528"/>
      <c r="K116" s="529"/>
      <c r="L116" s="530"/>
      <c r="M116" s="673"/>
      <c r="N116" s="2"/>
      <c r="O116" s="2"/>
      <c r="P116" s="2"/>
      <c r="Q116" s="2"/>
      <c r="R116" s="2"/>
    </row>
    <row r="117" spans="1:18" ht="25.5" customHeight="1" x14ac:dyDescent="0.2">
      <c r="A117" s="20">
        <v>819</v>
      </c>
      <c r="B117" s="539" t="s">
        <v>1138</v>
      </c>
      <c r="C117" s="528"/>
      <c r="D117" s="528"/>
      <c r="E117" s="528"/>
      <c r="F117" s="528"/>
      <c r="G117" s="528"/>
      <c r="H117" s="528"/>
      <c r="I117" s="528"/>
      <c r="J117" s="528"/>
      <c r="K117" s="529"/>
      <c r="L117" s="530"/>
      <c r="M117" s="673"/>
      <c r="N117" s="2"/>
      <c r="O117" s="2"/>
      <c r="P117" s="2"/>
      <c r="Q117" s="2"/>
      <c r="R117" s="2"/>
    </row>
    <row r="118" spans="1:18" ht="25.5" customHeight="1" x14ac:dyDescent="0.2">
      <c r="A118" s="20">
        <v>811</v>
      </c>
      <c r="B118" s="539" t="s">
        <v>1139</v>
      </c>
      <c r="C118" s="528"/>
      <c r="D118" s="528"/>
      <c r="E118" s="528"/>
      <c r="F118" s="528"/>
      <c r="G118" s="528"/>
      <c r="H118" s="528"/>
      <c r="I118" s="528"/>
      <c r="J118" s="528"/>
      <c r="K118" s="529"/>
      <c r="L118" s="530"/>
      <c r="M118" s="673"/>
      <c r="N118" s="2"/>
      <c r="O118" s="2"/>
      <c r="P118" s="2"/>
      <c r="Q118" s="2"/>
      <c r="R118" s="2"/>
    </row>
    <row r="119" spans="1:18" ht="25.5" customHeight="1" x14ac:dyDescent="0.2">
      <c r="A119" s="20">
        <v>813</v>
      </c>
      <c r="B119" s="539" t="s">
        <v>1140</v>
      </c>
      <c r="C119" s="528"/>
      <c r="D119" s="528"/>
      <c r="E119" s="528"/>
      <c r="F119" s="528"/>
      <c r="G119" s="528"/>
      <c r="H119" s="528"/>
      <c r="I119" s="528"/>
      <c r="J119" s="528"/>
      <c r="K119" s="529"/>
      <c r="L119" s="530"/>
      <c r="M119" s="673"/>
    </row>
    <row r="120" spans="1:18" ht="25.5" customHeight="1" x14ac:dyDescent="0.2">
      <c r="A120" s="20">
        <v>815</v>
      </c>
      <c r="B120" s="539" t="s">
        <v>2165</v>
      </c>
      <c r="C120" s="528"/>
      <c r="D120" s="528"/>
      <c r="E120" s="528">
        <v>0</v>
      </c>
      <c r="F120" s="528"/>
      <c r="G120" s="528"/>
      <c r="H120" s="528"/>
      <c r="I120" s="528"/>
      <c r="J120" s="528"/>
      <c r="K120" s="529"/>
      <c r="L120" s="632">
        <f>L121-SUM(L115:M119)</f>
        <v>0</v>
      </c>
      <c r="M120" s="633"/>
      <c r="N120" s="653"/>
      <c r="O120" s="654"/>
      <c r="P120" s="654"/>
      <c r="Q120" s="654"/>
      <c r="R120" s="654"/>
    </row>
    <row r="121" spans="1:18" ht="25.5" customHeight="1" x14ac:dyDescent="0.2">
      <c r="A121" s="21">
        <v>820</v>
      </c>
      <c r="B121" s="522" t="s">
        <v>1121</v>
      </c>
      <c r="C121" s="523"/>
      <c r="D121" s="523"/>
      <c r="E121" s="523"/>
      <c r="F121" s="523"/>
      <c r="G121" s="523"/>
      <c r="H121" s="523"/>
      <c r="I121" s="523"/>
      <c r="J121" s="523"/>
      <c r="K121" s="524"/>
      <c r="L121" s="630"/>
      <c r="M121" s="631"/>
      <c r="N121" s="882" t="str">
        <f>IF(AND(NOT(ISBLANK(Code_0320)),Code_0820&gt;Code_0320),"Warning! This should not be greater than account 320 in Section 2.","")</f>
        <v/>
      </c>
      <c r="O121" s="883"/>
      <c r="P121" s="883"/>
      <c r="Q121" s="883"/>
      <c r="R121" s="883"/>
    </row>
    <row r="122" spans="1:18" ht="25.5" customHeight="1" x14ac:dyDescent="0.2">
      <c r="A122" s="567" t="s">
        <v>625</v>
      </c>
      <c r="B122" s="567"/>
      <c r="C122" s="567"/>
      <c r="D122" s="567"/>
      <c r="E122" s="567"/>
      <c r="F122" s="567"/>
      <c r="G122" s="567"/>
      <c r="H122" s="567"/>
      <c r="I122" s="567"/>
      <c r="J122" s="567"/>
      <c r="K122" s="674"/>
      <c r="L122" s="780" t="s">
        <v>2834</v>
      </c>
      <c r="M122" s="781"/>
      <c r="N122" s="2"/>
      <c r="O122" s="2"/>
      <c r="P122" s="2"/>
      <c r="Q122" s="2"/>
      <c r="R122" s="2"/>
    </row>
    <row r="123" spans="1:18" ht="25.5" customHeight="1" x14ac:dyDescent="0.2">
      <c r="A123" s="20">
        <v>821</v>
      </c>
      <c r="B123" s="539" t="s">
        <v>1141</v>
      </c>
      <c r="C123" s="528"/>
      <c r="D123" s="528"/>
      <c r="E123" s="528"/>
      <c r="F123" s="528"/>
      <c r="G123" s="528"/>
      <c r="H123" s="528"/>
      <c r="I123" s="528"/>
      <c r="J123" s="528"/>
      <c r="K123" s="529"/>
      <c r="L123" s="530"/>
      <c r="M123" s="673"/>
      <c r="N123" s="2"/>
      <c r="O123" s="2"/>
      <c r="P123" s="2"/>
      <c r="Q123" s="2"/>
      <c r="R123" s="2"/>
    </row>
    <row r="124" spans="1:18" ht="25.5" customHeight="1" x14ac:dyDescent="0.2">
      <c r="A124" s="20">
        <v>823</v>
      </c>
      <c r="B124" s="539" t="s">
        <v>1142</v>
      </c>
      <c r="C124" s="528"/>
      <c r="D124" s="528"/>
      <c r="E124" s="528"/>
      <c r="F124" s="528"/>
      <c r="G124" s="528"/>
      <c r="H124" s="528"/>
      <c r="I124" s="528"/>
      <c r="J124" s="528"/>
      <c r="K124" s="529"/>
      <c r="L124" s="530"/>
      <c r="M124" s="673"/>
    </row>
    <row r="125" spans="1:18" ht="25.5" customHeight="1" x14ac:dyDescent="0.2">
      <c r="A125" s="20">
        <v>825</v>
      </c>
      <c r="B125" s="886" t="s">
        <v>2166</v>
      </c>
      <c r="C125" s="528"/>
      <c r="D125" s="528"/>
      <c r="E125" s="528"/>
      <c r="F125" s="528"/>
      <c r="G125" s="528"/>
      <c r="H125" s="528"/>
      <c r="I125" s="528"/>
      <c r="J125" s="528"/>
      <c r="K125" s="529"/>
      <c r="L125" s="632">
        <f>L126-L123-L124</f>
        <v>0</v>
      </c>
      <c r="M125" s="633"/>
      <c r="N125" s="653"/>
      <c r="O125" s="654"/>
      <c r="P125" s="654"/>
      <c r="Q125" s="654"/>
      <c r="R125" s="654"/>
    </row>
    <row r="126" spans="1:18" ht="25.5" customHeight="1" x14ac:dyDescent="0.2">
      <c r="A126" s="21">
        <v>830</v>
      </c>
      <c r="B126" s="522" t="s">
        <v>1122</v>
      </c>
      <c r="C126" s="523"/>
      <c r="D126" s="523"/>
      <c r="E126" s="523"/>
      <c r="F126" s="523"/>
      <c r="G126" s="523"/>
      <c r="H126" s="523"/>
      <c r="I126" s="523"/>
      <c r="J126" s="523"/>
      <c r="K126" s="524"/>
      <c r="L126" s="630"/>
      <c r="M126" s="631"/>
      <c r="N126" s="882" t="str">
        <f>IF(AND(NOT(ISBLANK(Code_0330)),Code_0830&gt;Code_0330),"Warning! This should not be greater than account 330 in Section 2.","")</f>
        <v/>
      </c>
      <c r="O126" s="883"/>
      <c r="P126" s="883"/>
      <c r="Q126" s="883"/>
      <c r="R126" s="883"/>
    </row>
    <row r="127" spans="1:18" ht="25.5" customHeight="1" x14ac:dyDescent="0.2">
      <c r="A127" s="567" t="s">
        <v>626</v>
      </c>
      <c r="B127" s="567"/>
      <c r="C127" s="567"/>
      <c r="D127" s="567"/>
      <c r="E127" s="567"/>
      <c r="F127" s="567"/>
      <c r="G127" s="567"/>
      <c r="H127" s="567"/>
      <c r="I127" s="567"/>
      <c r="J127" s="567"/>
      <c r="K127" s="674"/>
      <c r="L127" s="780" t="s">
        <v>2834</v>
      </c>
      <c r="M127" s="781"/>
      <c r="N127" s="2"/>
      <c r="O127" s="2"/>
      <c r="P127" s="2"/>
      <c r="Q127" s="2"/>
      <c r="R127" s="2"/>
    </row>
    <row r="128" spans="1:18" ht="25.5" customHeight="1" x14ac:dyDescent="0.2">
      <c r="A128" s="20">
        <v>831</v>
      </c>
      <c r="B128" s="539" t="s">
        <v>1123</v>
      </c>
      <c r="C128" s="528"/>
      <c r="D128" s="528"/>
      <c r="E128" s="528"/>
      <c r="F128" s="528"/>
      <c r="G128" s="528"/>
      <c r="H128" s="528"/>
      <c r="I128" s="528"/>
      <c r="J128" s="528"/>
      <c r="K128" s="529"/>
      <c r="L128" s="530"/>
      <c r="M128" s="673"/>
      <c r="N128" s="882" t="str">
        <f>IF(AND(NOT(ISBLANK(Code_0333)),Code_0831&gt;Code_0333),"Warning! This should not be greater than account 333 in Section 2.","")</f>
        <v/>
      </c>
      <c r="O128" s="883"/>
      <c r="P128" s="883"/>
      <c r="Q128" s="883"/>
      <c r="R128" s="883"/>
    </row>
    <row r="129" spans="1:18" ht="25.5" customHeight="1" x14ac:dyDescent="0.2">
      <c r="A129" s="20">
        <v>834</v>
      </c>
      <c r="B129" s="539" t="s">
        <v>1143</v>
      </c>
      <c r="C129" s="528"/>
      <c r="D129" s="528"/>
      <c r="E129" s="528"/>
      <c r="F129" s="528"/>
      <c r="G129" s="528"/>
      <c r="H129" s="528"/>
      <c r="I129" s="528"/>
      <c r="J129" s="528"/>
      <c r="K129" s="529"/>
      <c r="L129" s="632">
        <f>L113+L121-L126+L128</f>
        <v>0</v>
      </c>
      <c r="M129" s="633"/>
      <c r="N129" s="895" t="s">
        <v>1144</v>
      </c>
      <c r="O129" s="896"/>
      <c r="P129" s="896"/>
      <c r="Q129" s="896"/>
      <c r="R129" s="897"/>
    </row>
    <row r="130" spans="1:18" ht="25.5" customHeight="1" x14ac:dyDescent="0.2">
      <c r="A130" s="20">
        <v>837</v>
      </c>
      <c r="B130" s="539" t="s">
        <v>1145</v>
      </c>
      <c r="C130" s="528"/>
      <c r="D130" s="528"/>
      <c r="E130" s="528"/>
      <c r="F130" s="528"/>
      <c r="G130" s="528"/>
      <c r="H130" s="528"/>
      <c r="I130" s="528"/>
      <c r="J130" s="528"/>
      <c r="K130" s="529"/>
      <c r="L130" s="530"/>
      <c r="M130" s="673"/>
      <c r="N130" s="898"/>
      <c r="O130" s="899"/>
      <c r="P130" s="899"/>
      <c r="Q130" s="899"/>
      <c r="R130" s="900"/>
    </row>
    <row r="131" spans="1:18" ht="25.5" customHeight="1" x14ac:dyDescent="0.2">
      <c r="A131" s="21">
        <v>800</v>
      </c>
      <c r="B131" s="522" t="s">
        <v>1146</v>
      </c>
      <c r="C131" s="523"/>
      <c r="D131" s="523"/>
      <c r="E131" s="523"/>
      <c r="F131" s="523"/>
      <c r="G131" s="523"/>
      <c r="H131" s="523"/>
      <c r="I131" s="523"/>
      <c r="J131" s="523"/>
      <c r="K131" s="524"/>
      <c r="L131" s="880">
        <f>L129+L130</f>
        <v>0</v>
      </c>
      <c r="M131" s="881"/>
      <c r="N131" s="2"/>
      <c r="O131" s="2"/>
      <c r="P131" s="2"/>
      <c r="Q131" s="2"/>
      <c r="R131" s="2"/>
    </row>
    <row r="132" spans="1:18" ht="25.5" customHeight="1" x14ac:dyDescent="0.2">
      <c r="A132" s="20">
        <v>840</v>
      </c>
      <c r="B132" s="539" t="s">
        <v>1035</v>
      </c>
      <c r="C132" s="528"/>
      <c r="D132" s="528"/>
      <c r="E132" s="528"/>
      <c r="F132" s="528"/>
      <c r="G132" s="528"/>
      <c r="H132" s="528"/>
      <c r="I132" s="528"/>
      <c r="J132" s="528"/>
      <c r="K132" s="529"/>
      <c r="L132" s="530"/>
      <c r="M132" s="673"/>
    </row>
    <row r="133" spans="1:18" s="2" customFormat="1" ht="25.5" customHeight="1" x14ac:dyDescent="0.2">
      <c r="A133" s="15" t="str">
        <f>$A$33</f>
        <v xml:space="preserve"> </v>
      </c>
    </row>
    <row r="134" spans="1:18" s="2" customFormat="1" ht="25.5" customHeight="1" x14ac:dyDescent="0.2">
      <c r="A134" s="901" t="s">
        <v>627</v>
      </c>
      <c r="B134" s="901"/>
      <c r="C134" s="901"/>
      <c r="D134" s="901"/>
      <c r="E134" s="901"/>
      <c r="F134" s="901"/>
      <c r="G134" s="901"/>
      <c r="H134" s="901"/>
      <c r="I134" s="901"/>
      <c r="J134" s="901"/>
      <c r="K134" s="901"/>
      <c r="L134" s="780" t="s">
        <v>2834</v>
      </c>
      <c r="M134" s="781"/>
    </row>
    <row r="135" spans="1:18" s="2" customFormat="1" ht="25.5" customHeight="1" x14ac:dyDescent="0.2">
      <c r="A135" s="904" t="s">
        <v>1288</v>
      </c>
      <c r="B135" s="905"/>
      <c r="C135" s="905"/>
      <c r="D135" s="905"/>
      <c r="E135" s="905"/>
      <c r="F135" s="905"/>
      <c r="G135" s="905"/>
      <c r="H135" s="905"/>
      <c r="I135" s="670"/>
      <c r="J135" s="671"/>
      <c r="K135" s="672"/>
      <c r="L135" s="33" t="s">
        <v>91</v>
      </c>
      <c r="M135" s="33" t="s">
        <v>92</v>
      </c>
      <c r="N135" s="653" t="str">
        <f>IF(NOT(ISBLANK(M136)),"You are required to fill out the Service Line Data Tab since you have selected 'No'.  Please click here to supply the Service Line information.","")</f>
        <v/>
      </c>
      <c r="O135" s="654"/>
      <c r="P135" s="654"/>
      <c r="Q135" s="654"/>
      <c r="R135" s="654"/>
    </row>
    <row r="136" spans="1:18" s="2" customFormat="1" ht="25.5" customHeight="1" x14ac:dyDescent="0.2">
      <c r="A136" s="906"/>
      <c r="B136" s="907"/>
      <c r="C136" s="907"/>
      <c r="D136" s="907"/>
      <c r="E136" s="907"/>
      <c r="F136" s="907"/>
      <c r="G136" s="907"/>
      <c r="H136" s="907"/>
      <c r="I136" s="908" t="str">
        <f>IF(AND(NOT(ISBLANK(L136)),NOT(ISBLANK(M136))),"Please select only ONE choice!",IF(AND(ISBLANK(L136),ISBLANK(M136)),"Please mark an X in to indicate your choice",""))</f>
        <v>Please mark an X in to indicate your choice</v>
      </c>
      <c r="J136" s="908"/>
      <c r="K136" s="909"/>
      <c r="L136" s="281"/>
      <c r="M136" s="34"/>
      <c r="N136" s="653"/>
      <c r="O136" s="654"/>
      <c r="P136" s="654"/>
      <c r="Q136" s="654"/>
      <c r="R136" s="654"/>
    </row>
    <row r="137" spans="1:18" s="2" customFormat="1" ht="25.5" customHeight="1" x14ac:dyDescent="0.2">
      <c r="A137" s="40"/>
      <c r="N137" s="198"/>
      <c r="O137" s="191"/>
      <c r="P137" s="191"/>
      <c r="Q137" s="191"/>
      <c r="R137" s="191"/>
    </row>
    <row r="138" spans="1:18" s="2" customFormat="1" ht="25.5" customHeight="1" x14ac:dyDescent="0.2">
      <c r="A138" s="30">
        <v>7133</v>
      </c>
      <c r="B138" s="522" t="s">
        <v>1036</v>
      </c>
      <c r="C138" s="523"/>
      <c r="D138" s="523"/>
      <c r="E138" s="523"/>
      <c r="F138" s="523"/>
      <c r="G138" s="523"/>
      <c r="H138" s="523"/>
      <c r="I138" s="523"/>
      <c r="J138" s="523"/>
      <c r="K138" s="524"/>
      <c r="L138" s="530"/>
      <c r="M138" s="673"/>
    </row>
    <row r="139" spans="1:18" s="2" customFormat="1" ht="25.5" customHeight="1" x14ac:dyDescent="0.2">
      <c r="A139" s="29">
        <v>711</v>
      </c>
      <c r="B139" s="539" t="s">
        <v>1037</v>
      </c>
      <c r="C139" s="528"/>
      <c r="D139" s="528"/>
      <c r="E139" s="528"/>
      <c r="F139" s="528"/>
      <c r="G139" s="528"/>
      <c r="H139" s="528"/>
      <c r="I139" s="528"/>
      <c r="J139" s="528"/>
      <c r="K139" s="529"/>
      <c r="L139" s="530"/>
      <c r="M139" s="673"/>
    </row>
    <row r="140" spans="1:18" s="2" customFormat="1" ht="25.5" customHeight="1" x14ac:dyDescent="0.2">
      <c r="A140" s="29">
        <v>717</v>
      </c>
      <c r="B140" s="539" t="s">
        <v>1038</v>
      </c>
      <c r="C140" s="528"/>
      <c r="D140" s="528"/>
      <c r="E140" s="528"/>
      <c r="F140" s="528"/>
      <c r="G140" s="528"/>
      <c r="H140" s="528"/>
      <c r="I140" s="528"/>
      <c r="J140" s="528"/>
      <c r="K140" s="529"/>
      <c r="L140" s="530"/>
      <c r="M140" s="673"/>
    </row>
    <row r="141" spans="1:18" s="2" customFormat="1" ht="25.5" customHeight="1" x14ac:dyDescent="0.2">
      <c r="A141" s="29">
        <v>715</v>
      </c>
      <c r="B141" s="539" t="s">
        <v>1039</v>
      </c>
      <c r="C141" s="528"/>
      <c r="D141" s="528"/>
      <c r="E141" s="528"/>
      <c r="F141" s="528"/>
      <c r="G141" s="528"/>
      <c r="H141" s="528"/>
      <c r="I141" s="528"/>
      <c r="J141" s="528"/>
      <c r="K141" s="529"/>
      <c r="L141" s="530"/>
      <c r="M141" s="673"/>
    </row>
    <row r="142" spans="1:18" s="2" customFormat="1" ht="25.5" customHeight="1" x14ac:dyDescent="0.2">
      <c r="A142" s="29">
        <v>7134</v>
      </c>
      <c r="B142" s="539" t="s">
        <v>1040</v>
      </c>
      <c r="C142" s="528"/>
      <c r="D142" s="528"/>
      <c r="E142" s="528"/>
      <c r="F142" s="528"/>
      <c r="G142" s="528"/>
      <c r="H142" s="528"/>
      <c r="I142" s="528"/>
      <c r="J142" s="528"/>
      <c r="K142" s="529"/>
      <c r="L142" s="530"/>
      <c r="M142" s="673"/>
    </row>
    <row r="143" spans="1:18" s="2" customFormat="1" ht="25.5" customHeight="1" x14ac:dyDescent="0.2">
      <c r="A143" s="30">
        <v>7135</v>
      </c>
      <c r="B143" s="522" t="s">
        <v>620</v>
      </c>
      <c r="C143" s="523"/>
      <c r="D143" s="523"/>
      <c r="E143" s="523"/>
      <c r="F143" s="523"/>
      <c r="G143" s="523"/>
      <c r="H143" s="523"/>
      <c r="I143" s="523"/>
      <c r="J143" s="523"/>
      <c r="K143" s="524"/>
      <c r="L143" s="632">
        <f>SUM(L139:M142)</f>
        <v>0</v>
      </c>
      <c r="M143" s="633"/>
    </row>
    <row r="144" spans="1:18" s="2" customFormat="1" ht="25.5" customHeight="1" x14ac:dyDescent="0.2">
      <c r="A144" s="30">
        <v>730</v>
      </c>
      <c r="B144" s="522" t="s">
        <v>1041</v>
      </c>
      <c r="C144" s="523"/>
      <c r="D144" s="523"/>
      <c r="E144" s="523"/>
      <c r="F144" s="523"/>
      <c r="G144" s="523"/>
      <c r="H144" s="523"/>
      <c r="I144" s="523"/>
      <c r="J144" s="523"/>
      <c r="K144" s="524"/>
      <c r="L144" s="632">
        <f>SUM(L138+L143)</f>
        <v>0</v>
      </c>
      <c r="M144" s="633">
        <f>SUM(H124:H143)</f>
        <v>0</v>
      </c>
    </row>
    <row r="145" spans="1:18" s="2" customFormat="1" ht="25.5" customHeight="1" x14ac:dyDescent="0.2">
      <c r="A145" s="29">
        <v>7089</v>
      </c>
      <c r="B145" s="539" t="s">
        <v>1042</v>
      </c>
      <c r="C145" s="528"/>
      <c r="D145" s="528"/>
      <c r="E145" s="528"/>
      <c r="F145" s="528"/>
      <c r="G145" s="528"/>
      <c r="H145" s="528"/>
      <c r="I145" s="528"/>
      <c r="J145" s="528"/>
      <c r="K145" s="529"/>
      <c r="L145" s="530"/>
      <c r="M145" s="673"/>
    </row>
    <row r="146" spans="1:18" s="2" customFormat="1" ht="25.5" customHeight="1" x14ac:dyDescent="0.2">
      <c r="A146" s="30">
        <v>7090</v>
      </c>
      <c r="B146" s="522" t="s">
        <v>1043</v>
      </c>
      <c r="C146" s="523"/>
      <c r="D146" s="523"/>
      <c r="E146" s="523"/>
      <c r="F146" s="523"/>
      <c r="G146" s="523"/>
      <c r="H146" s="523"/>
      <c r="I146" s="523"/>
      <c r="J146" s="523"/>
      <c r="K146" s="524"/>
      <c r="L146" s="632">
        <f>L144+L145</f>
        <v>0</v>
      </c>
      <c r="M146" s="633"/>
    </row>
    <row r="147" spans="1:18" s="2" customFormat="1" ht="25.5" customHeight="1" x14ac:dyDescent="0.2">
      <c r="A147" s="30">
        <v>7097</v>
      </c>
      <c r="B147" s="522" t="s">
        <v>1363</v>
      </c>
      <c r="C147" s="523"/>
      <c r="D147" s="523"/>
      <c r="E147" s="523"/>
      <c r="F147" s="523"/>
      <c r="G147" s="523"/>
      <c r="H147" s="523"/>
      <c r="I147" s="523"/>
      <c r="J147" s="523"/>
      <c r="K147" s="524"/>
      <c r="L147" s="632">
        <f>J148+J149+J150+J151+J152</f>
        <v>0</v>
      </c>
      <c r="M147" s="633"/>
    </row>
    <row r="148" spans="1:18" s="2" customFormat="1" ht="25.5" customHeight="1" x14ac:dyDescent="0.2">
      <c r="A148" s="31">
        <v>7094</v>
      </c>
      <c r="B148" s="539" t="s">
        <v>1364</v>
      </c>
      <c r="C148" s="528"/>
      <c r="D148" s="528"/>
      <c r="E148" s="528"/>
      <c r="F148" s="528"/>
      <c r="G148" s="528"/>
      <c r="H148" s="528"/>
      <c r="I148" s="528"/>
      <c r="J148" s="530"/>
      <c r="K148" s="673"/>
      <c r="L148" s="784"/>
      <c r="M148" s="785"/>
    </row>
    <row r="149" spans="1:18" s="2" customFormat="1" ht="25.5" customHeight="1" x14ac:dyDescent="0.2">
      <c r="A149" s="31">
        <v>7095</v>
      </c>
      <c r="B149" s="527" t="s">
        <v>1365</v>
      </c>
      <c r="C149" s="536"/>
      <c r="D149" s="536"/>
      <c r="E149" s="536"/>
      <c r="F149" s="536"/>
      <c r="G149" s="536"/>
      <c r="H149" s="536"/>
      <c r="I149" s="540"/>
      <c r="J149" s="530"/>
      <c r="K149" s="673"/>
      <c r="L149" s="786"/>
      <c r="M149" s="787"/>
    </row>
    <row r="150" spans="1:18" s="2" customFormat="1" ht="25.5" customHeight="1" x14ac:dyDescent="0.2">
      <c r="A150" s="31">
        <v>7091</v>
      </c>
      <c r="B150" s="527" t="s">
        <v>1366</v>
      </c>
      <c r="C150" s="536"/>
      <c r="D150" s="536"/>
      <c r="E150" s="536"/>
      <c r="F150" s="536"/>
      <c r="G150" s="536"/>
      <c r="H150" s="536"/>
      <c r="I150" s="540"/>
      <c r="J150" s="530"/>
      <c r="K150" s="673"/>
      <c r="L150" s="786"/>
      <c r="M150" s="787"/>
    </row>
    <row r="151" spans="1:18" s="2" customFormat="1" ht="25.5" customHeight="1" x14ac:dyDescent="0.2">
      <c r="A151" s="31">
        <v>7092</v>
      </c>
      <c r="B151" s="527" t="s">
        <v>1367</v>
      </c>
      <c r="C151" s="536"/>
      <c r="D151" s="536"/>
      <c r="E151" s="536"/>
      <c r="F151" s="536"/>
      <c r="G151" s="536"/>
      <c r="H151" s="536"/>
      <c r="I151" s="540"/>
      <c r="J151" s="530"/>
      <c r="K151" s="673"/>
      <c r="L151" s="786"/>
      <c r="M151" s="787"/>
    </row>
    <row r="152" spans="1:18" s="2" customFormat="1" ht="25.5" customHeight="1" x14ac:dyDescent="0.2">
      <c r="A152" s="29">
        <v>7096</v>
      </c>
      <c r="B152" s="527" t="s">
        <v>1368</v>
      </c>
      <c r="C152" s="536"/>
      <c r="D152" s="536"/>
      <c r="E152" s="536"/>
      <c r="F152" s="536"/>
      <c r="G152" s="536"/>
      <c r="H152" s="536"/>
      <c r="I152" s="540"/>
      <c r="J152" s="903"/>
      <c r="K152" s="673"/>
      <c r="L152" s="788"/>
      <c r="M152" s="789"/>
      <c r="N152" s="675" t="str">
        <f>IF(NOT(ISBLANK(Code_7096)),"Please specify on the Explanation Page","")</f>
        <v/>
      </c>
      <c r="O152" s="676"/>
      <c r="P152" s="676"/>
      <c r="Q152" s="676"/>
      <c r="R152" s="676"/>
    </row>
    <row r="153" spans="1:18" s="2" customFormat="1" ht="25.5" customHeight="1" x14ac:dyDescent="0.2">
      <c r="A153" s="30">
        <v>740</v>
      </c>
      <c r="B153" s="522" t="s">
        <v>619</v>
      </c>
      <c r="C153" s="523"/>
      <c r="D153" s="523"/>
      <c r="E153" s="523"/>
      <c r="F153" s="523"/>
      <c r="G153" s="523"/>
      <c r="H153" s="523"/>
      <c r="I153" s="523"/>
      <c r="J153" s="523"/>
      <c r="K153" s="524"/>
      <c r="L153" s="632">
        <f>L146+L147</f>
        <v>0</v>
      </c>
      <c r="M153" s="633"/>
    </row>
    <row r="155" spans="1:18" ht="25.5" customHeight="1" x14ac:dyDescent="0.2">
      <c r="A155" s="567" t="s">
        <v>628</v>
      </c>
      <c r="B155" s="567"/>
      <c r="C155" s="567"/>
      <c r="D155" s="567"/>
      <c r="E155" s="567"/>
      <c r="F155" s="567"/>
      <c r="G155" s="567"/>
      <c r="H155" s="567"/>
      <c r="I155" s="567"/>
      <c r="J155" s="567"/>
      <c r="K155" s="674"/>
      <c r="L155" s="780" t="s">
        <v>2834</v>
      </c>
      <c r="M155" s="781"/>
      <c r="N155" s="2"/>
      <c r="O155" s="2"/>
      <c r="P155" s="2"/>
      <c r="Q155" s="2"/>
      <c r="R155" s="2"/>
    </row>
    <row r="156" spans="1:18" ht="25.5" customHeight="1" x14ac:dyDescent="0.2">
      <c r="A156" s="21">
        <v>851</v>
      </c>
      <c r="B156" s="522" t="s">
        <v>1370</v>
      </c>
      <c r="C156" s="523"/>
      <c r="D156" s="523"/>
      <c r="E156" s="523"/>
      <c r="F156" s="523"/>
      <c r="G156" s="523"/>
      <c r="H156" s="523"/>
      <c r="I156" s="523"/>
      <c r="J156" s="523"/>
      <c r="K156" s="524"/>
      <c r="L156" s="630"/>
      <c r="M156" s="631"/>
      <c r="N156" s="2"/>
      <c r="O156" s="2"/>
      <c r="P156" s="2"/>
      <c r="Q156" s="2"/>
      <c r="R156" s="2"/>
    </row>
    <row r="157" spans="1:18" ht="25.5" customHeight="1" x14ac:dyDescent="0.2">
      <c r="A157" s="20">
        <v>7108</v>
      </c>
      <c r="B157" s="527" t="s">
        <v>1371</v>
      </c>
      <c r="C157" s="536"/>
      <c r="D157" s="536"/>
      <c r="E157" s="536"/>
      <c r="F157" s="536"/>
      <c r="G157" s="536"/>
      <c r="H157" s="536"/>
      <c r="I157" s="540"/>
      <c r="J157" s="632">
        <f>Code_0851-J158</f>
        <v>0</v>
      </c>
      <c r="K157" s="633"/>
      <c r="L157" s="790"/>
      <c r="M157" s="791"/>
      <c r="N157" s="902" t="s">
        <v>1571</v>
      </c>
      <c r="O157" s="896"/>
      <c r="P157" s="896"/>
      <c r="Q157" s="896"/>
      <c r="R157" s="897"/>
    </row>
    <row r="158" spans="1:18" ht="25.5" customHeight="1" x14ac:dyDescent="0.2">
      <c r="A158" s="20">
        <v>7109</v>
      </c>
      <c r="B158" s="527" t="s">
        <v>1372</v>
      </c>
      <c r="C158" s="536"/>
      <c r="D158" s="536"/>
      <c r="E158" s="536"/>
      <c r="F158" s="536"/>
      <c r="G158" s="536"/>
      <c r="H158" s="536"/>
      <c r="I158" s="540"/>
      <c r="J158" s="632">
        <f>J317+J334</f>
        <v>0</v>
      </c>
      <c r="K158" s="633"/>
      <c r="L158" s="792"/>
      <c r="M158" s="793"/>
      <c r="N158" s="898"/>
      <c r="O158" s="899"/>
      <c r="P158" s="899"/>
      <c r="Q158" s="899"/>
      <c r="R158" s="900"/>
    </row>
    <row r="159" spans="1:18" ht="25.5" customHeight="1" x14ac:dyDescent="0.2">
      <c r="A159" s="21">
        <v>853</v>
      </c>
      <c r="B159" s="522" t="s">
        <v>1373</v>
      </c>
      <c r="C159" s="523"/>
      <c r="D159" s="523"/>
      <c r="E159" s="523"/>
      <c r="F159" s="523"/>
      <c r="G159" s="523"/>
      <c r="H159" s="523"/>
      <c r="I159" s="523"/>
      <c r="J159" s="523"/>
      <c r="K159" s="524"/>
      <c r="L159" s="630"/>
      <c r="M159" s="631"/>
      <c r="N159" s="2"/>
      <c r="O159" s="2"/>
      <c r="P159" s="2"/>
      <c r="Q159" s="2"/>
      <c r="R159" s="2"/>
    </row>
    <row r="160" spans="1:18" ht="25.5" customHeight="1" x14ac:dyDescent="0.2">
      <c r="A160" s="20">
        <v>7110</v>
      </c>
      <c r="B160" s="527" t="s">
        <v>1374</v>
      </c>
      <c r="C160" s="536"/>
      <c r="D160" s="536"/>
      <c r="E160" s="536"/>
      <c r="F160" s="536"/>
      <c r="G160" s="536"/>
      <c r="H160" s="536"/>
      <c r="I160" s="540"/>
      <c r="J160" s="632">
        <f>L159-J161</f>
        <v>0</v>
      </c>
      <c r="K160" s="633"/>
      <c r="L160" s="790"/>
      <c r="M160" s="791"/>
      <c r="N160" s="902" t="s">
        <v>1572</v>
      </c>
      <c r="O160" s="896"/>
      <c r="P160" s="896"/>
      <c r="Q160" s="896"/>
      <c r="R160" s="897"/>
    </row>
    <row r="161" spans="1:18" ht="25.5" customHeight="1" x14ac:dyDescent="0.2">
      <c r="A161" s="20">
        <v>7111</v>
      </c>
      <c r="B161" s="527" t="s">
        <v>1375</v>
      </c>
      <c r="C161" s="536"/>
      <c r="D161" s="536"/>
      <c r="E161" s="536"/>
      <c r="F161" s="536"/>
      <c r="G161" s="536"/>
      <c r="H161" s="536"/>
      <c r="I161" s="540"/>
      <c r="J161" s="632">
        <f>J318+J335</f>
        <v>0</v>
      </c>
      <c r="K161" s="633"/>
      <c r="L161" s="792"/>
      <c r="M161" s="793"/>
      <c r="N161" s="898"/>
      <c r="O161" s="899"/>
      <c r="P161" s="899"/>
      <c r="Q161" s="899"/>
      <c r="R161" s="900"/>
    </row>
    <row r="162" spans="1:18" ht="25.5" customHeight="1" x14ac:dyDescent="0.2">
      <c r="A162" s="20">
        <v>7112</v>
      </c>
      <c r="B162" s="539" t="s">
        <v>1376</v>
      </c>
      <c r="C162" s="528"/>
      <c r="D162" s="528"/>
      <c r="E162" s="528"/>
      <c r="F162" s="528"/>
      <c r="G162" s="528"/>
      <c r="H162" s="528"/>
      <c r="I162" s="528"/>
      <c r="J162" s="528"/>
      <c r="K162" s="529"/>
      <c r="L162" s="632">
        <f>Code_7091+Code_7092+Code_7096</f>
        <v>0</v>
      </c>
      <c r="M162" s="633"/>
      <c r="N162" s="872" t="s">
        <v>1205</v>
      </c>
      <c r="O162" s="873"/>
      <c r="P162" s="873"/>
      <c r="Q162" s="873"/>
      <c r="R162" s="874"/>
    </row>
    <row r="163" spans="1:18" ht="25.5" customHeight="1" x14ac:dyDescent="0.2">
      <c r="A163" s="21">
        <v>860</v>
      </c>
      <c r="B163" s="522" t="s">
        <v>1377</v>
      </c>
      <c r="C163" s="523"/>
      <c r="D163" s="523"/>
      <c r="E163" s="523"/>
      <c r="F163" s="523"/>
      <c r="G163" s="523"/>
      <c r="H163" s="523"/>
      <c r="I163" s="523"/>
      <c r="J163" s="523"/>
      <c r="K163" s="524"/>
      <c r="L163" s="632">
        <f>L156+L159+L162</f>
        <v>0</v>
      </c>
      <c r="M163" s="633"/>
      <c r="N163" s="615" t="str">
        <f>IF(L163=Code_0740,"","Please review.  This must equal "&amp;TEXT(Code_0740,"$0,000"))</f>
        <v/>
      </c>
      <c r="O163" s="616"/>
      <c r="P163" s="616"/>
      <c r="Q163" s="616"/>
      <c r="R163" s="616"/>
    </row>
    <row r="165" spans="1:18" s="2" customFormat="1" ht="25.5" customHeight="1" x14ac:dyDescent="0.2">
      <c r="A165" s="567" t="s">
        <v>629</v>
      </c>
      <c r="B165" s="567"/>
      <c r="C165" s="567"/>
      <c r="D165" s="567"/>
      <c r="E165" s="567"/>
      <c r="F165" s="567"/>
      <c r="G165" s="567"/>
      <c r="H165" s="567"/>
      <c r="I165" s="567"/>
      <c r="J165" s="567"/>
      <c r="K165" s="674"/>
      <c r="L165" s="780" t="s">
        <v>2834</v>
      </c>
      <c r="M165" s="781"/>
    </row>
    <row r="166" spans="1:18" s="2" customFormat="1" ht="25.5" customHeight="1" x14ac:dyDescent="0.2">
      <c r="A166" s="20">
        <v>871</v>
      </c>
      <c r="B166" s="539" t="s">
        <v>1378</v>
      </c>
      <c r="C166" s="528"/>
      <c r="D166" s="528"/>
      <c r="E166" s="528"/>
      <c r="F166" s="528"/>
      <c r="G166" s="528"/>
      <c r="H166" s="528"/>
      <c r="I166" s="528"/>
      <c r="J166" s="528"/>
      <c r="K166" s="529"/>
      <c r="L166" s="530"/>
      <c r="M166" s="531"/>
      <c r="N166" s="653" t="s">
        <v>1379</v>
      </c>
      <c r="O166" s="654"/>
      <c r="P166" s="654"/>
      <c r="Q166" s="654"/>
      <c r="R166" s="654"/>
    </row>
    <row r="167" spans="1:18" s="2" customFormat="1" ht="25.5" customHeight="1" x14ac:dyDescent="0.2">
      <c r="A167" s="20">
        <v>872</v>
      </c>
      <c r="B167" s="539" t="s">
        <v>1380</v>
      </c>
      <c r="C167" s="528"/>
      <c r="D167" s="528"/>
      <c r="E167" s="528"/>
      <c r="F167" s="528"/>
      <c r="G167" s="528"/>
      <c r="H167" s="528"/>
      <c r="I167" s="528"/>
      <c r="J167" s="528"/>
      <c r="K167" s="529"/>
      <c r="L167" s="530"/>
      <c r="M167" s="531"/>
    </row>
    <row r="168" spans="1:18" s="2" customFormat="1" ht="25.5" customHeight="1" x14ac:dyDescent="0.2">
      <c r="A168" s="20">
        <v>873</v>
      </c>
      <c r="B168" s="539" t="s">
        <v>1381</v>
      </c>
      <c r="C168" s="528"/>
      <c r="D168" s="528"/>
      <c r="E168" s="528"/>
      <c r="F168" s="528"/>
      <c r="G168" s="528"/>
      <c r="H168" s="528"/>
      <c r="I168" s="528"/>
      <c r="J168" s="528"/>
      <c r="K168" s="529"/>
      <c r="L168" s="530"/>
      <c r="M168" s="531"/>
      <c r="N168" s="872" t="s">
        <v>777</v>
      </c>
      <c r="O168" s="913"/>
      <c r="P168" s="913"/>
      <c r="Q168" s="913"/>
      <c r="R168" s="914"/>
    </row>
    <row r="169" spans="1:18" s="2" customFormat="1" ht="25.5" customHeight="1" x14ac:dyDescent="0.2">
      <c r="A169" s="20">
        <v>876</v>
      </c>
      <c r="B169" s="539" t="s">
        <v>1382</v>
      </c>
      <c r="C169" s="528"/>
      <c r="D169" s="528"/>
      <c r="E169" s="528"/>
      <c r="F169" s="528"/>
      <c r="G169" s="528"/>
      <c r="H169" s="528"/>
      <c r="I169" s="528"/>
      <c r="J169" s="528"/>
      <c r="K169" s="529"/>
      <c r="L169" s="632">
        <f>L170-SUM(L166:L168)</f>
        <v>0</v>
      </c>
      <c r="M169" s="633"/>
    </row>
    <row r="170" spans="1:18" s="2" customFormat="1" ht="25.5" customHeight="1" x14ac:dyDescent="0.2">
      <c r="A170" s="21">
        <v>880</v>
      </c>
      <c r="B170" s="522" t="s">
        <v>1383</v>
      </c>
      <c r="C170" s="523"/>
      <c r="D170" s="523"/>
      <c r="E170" s="523"/>
      <c r="F170" s="523"/>
      <c r="G170" s="523"/>
      <c r="H170" s="523"/>
      <c r="I170" s="523"/>
      <c r="J170" s="523"/>
      <c r="K170" s="524"/>
      <c r="L170" s="632">
        <f>Code_0853</f>
        <v>0</v>
      </c>
      <c r="M170" s="633"/>
    </row>
    <row r="171" spans="1:18" s="2" customFormat="1" ht="25.5" customHeight="1" x14ac:dyDescent="0.2">
      <c r="A171" s="36"/>
      <c r="B171" s="37"/>
      <c r="C171" s="37"/>
      <c r="D171" s="37"/>
      <c r="E171" s="37"/>
      <c r="F171" s="37"/>
      <c r="G171" s="37"/>
      <c r="H171" s="37"/>
      <c r="I171" s="37"/>
      <c r="J171" s="37"/>
      <c r="K171" s="37"/>
      <c r="L171" s="37"/>
      <c r="M171" s="37"/>
    </row>
    <row r="172" spans="1:18" s="2" customFormat="1" ht="25.5" customHeight="1" x14ac:dyDescent="0.2">
      <c r="A172" s="566" t="s">
        <v>521</v>
      </c>
      <c r="B172" s="634"/>
      <c r="C172" s="634"/>
      <c r="D172" s="634"/>
      <c r="E172" s="634"/>
      <c r="F172" s="634"/>
      <c r="G172" s="634"/>
      <c r="H172" s="634"/>
      <c r="I172" s="634"/>
      <c r="J172" s="634"/>
      <c r="K172" s="634"/>
      <c r="L172" s="634"/>
      <c r="M172" s="634"/>
    </row>
    <row r="173" spans="1:18" s="2" customFormat="1" ht="25.5" customHeight="1" x14ac:dyDescent="0.2">
      <c r="A173" s="567" t="s">
        <v>630</v>
      </c>
      <c r="B173" s="567"/>
      <c r="C173" s="567"/>
      <c r="D173" s="567"/>
      <c r="E173" s="567"/>
      <c r="F173" s="567"/>
      <c r="G173" s="567"/>
      <c r="H173" s="567"/>
      <c r="I173" s="567"/>
      <c r="J173" s="567"/>
      <c r="K173" s="674"/>
      <c r="L173" s="780" t="s">
        <v>2834</v>
      </c>
      <c r="M173" s="781"/>
    </row>
    <row r="174" spans="1:18" s="2" customFormat="1" ht="25.5" customHeight="1" x14ac:dyDescent="0.2">
      <c r="A174" s="21">
        <v>7225</v>
      </c>
      <c r="B174" s="522" t="s">
        <v>522</v>
      </c>
      <c r="C174" s="523"/>
      <c r="D174" s="523"/>
      <c r="E174" s="523"/>
      <c r="F174" s="523"/>
      <c r="G174" s="523"/>
      <c r="H174" s="523"/>
      <c r="I174" s="523"/>
      <c r="J174" s="523"/>
      <c r="K174" s="524"/>
      <c r="L174" s="630"/>
      <c r="M174" s="631"/>
      <c r="N174" s="615" t="str">
        <f>IF(ISBLANK(L174),"This item can not be left blank. Please review instructions.","")</f>
        <v>This item can not be left blank. Please review instructions.</v>
      </c>
      <c r="O174" s="616"/>
      <c r="P174" s="616"/>
      <c r="Q174" s="616"/>
      <c r="R174" s="617"/>
    </row>
    <row r="175" spans="1:18" s="2" customFormat="1" ht="25.5" customHeight="1" x14ac:dyDescent="0.2">
      <c r="A175" s="20">
        <v>7234</v>
      </c>
      <c r="B175" s="539" t="s">
        <v>523</v>
      </c>
      <c r="C175" s="528"/>
      <c r="D175" s="528"/>
      <c r="E175" s="528"/>
      <c r="F175" s="528"/>
      <c r="G175" s="528"/>
      <c r="H175" s="528"/>
      <c r="I175" s="529"/>
      <c r="J175" s="530"/>
      <c r="K175" s="531"/>
      <c r="L175" s="790"/>
      <c r="M175" s="791"/>
      <c r="N175" s="615" t="str">
        <f>IF(ISBLANK(J175),"This item can not be left blank. Please review instructions.","")</f>
        <v>This item can not be left blank. Please review instructions.</v>
      </c>
      <c r="O175" s="616"/>
      <c r="P175" s="616"/>
      <c r="Q175" s="616"/>
      <c r="R175" s="617"/>
    </row>
    <row r="176" spans="1:18" s="2" customFormat="1" ht="25.5" customHeight="1" x14ac:dyDescent="0.2">
      <c r="A176" s="20">
        <v>7235</v>
      </c>
      <c r="B176" s="539" t="s">
        <v>524</v>
      </c>
      <c r="C176" s="528"/>
      <c r="D176" s="528"/>
      <c r="E176" s="528"/>
      <c r="F176" s="528"/>
      <c r="G176" s="528"/>
      <c r="H176" s="528"/>
      <c r="I176" s="529"/>
      <c r="J176" s="632">
        <f>L174-J175</f>
        <v>0</v>
      </c>
      <c r="K176" s="633"/>
      <c r="L176" s="792"/>
      <c r="M176" s="793"/>
    </row>
    <row r="177" spans="1:18" s="2" customFormat="1" ht="25.5" customHeight="1" x14ac:dyDescent="0.2">
      <c r="A177" s="21">
        <v>7127</v>
      </c>
      <c r="B177" s="522" t="s">
        <v>525</v>
      </c>
      <c r="C177" s="523"/>
      <c r="D177" s="523"/>
      <c r="E177" s="523"/>
      <c r="F177" s="523"/>
      <c r="G177" s="523"/>
      <c r="H177" s="523"/>
      <c r="I177" s="523"/>
      <c r="J177" s="523"/>
      <c r="K177" s="524"/>
      <c r="L177" s="630"/>
      <c r="M177" s="631"/>
      <c r="N177" s="615" t="str">
        <f>IF(ISBLANK(L177),"This item can not be left blank. Please review instructions.","")</f>
        <v>This item can not be left blank. Please review instructions.</v>
      </c>
      <c r="O177" s="616"/>
      <c r="P177" s="616"/>
      <c r="Q177" s="616"/>
      <c r="R177" s="617"/>
    </row>
    <row r="178" spans="1:18" s="2" customFormat="1" ht="25.5" customHeight="1" x14ac:dyDescent="0.2">
      <c r="A178" s="20">
        <v>7242</v>
      </c>
      <c r="B178" s="539" t="s">
        <v>526</v>
      </c>
      <c r="C178" s="528"/>
      <c r="D178" s="528"/>
      <c r="E178" s="528"/>
      <c r="F178" s="528"/>
      <c r="G178" s="528"/>
      <c r="H178" s="528"/>
      <c r="I178" s="529"/>
      <c r="J178" s="530"/>
      <c r="K178" s="531"/>
      <c r="L178" s="790"/>
      <c r="M178" s="791"/>
      <c r="N178" s="615" t="str">
        <f>IF(ISBLANK(J178),"This item can not be left blank. Please review instructions.","")</f>
        <v>This item can not be left blank. Please review instructions.</v>
      </c>
      <c r="O178" s="616"/>
      <c r="P178" s="616"/>
      <c r="Q178" s="616"/>
      <c r="R178" s="617"/>
    </row>
    <row r="179" spans="1:18" s="2" customFormat="1" ht="25.5" customHeight="1" x14ac:dyDescent="0.2">
      <c r="A179" s="20">
        <v>7243</v>
      </c>
      <c r="B179" s="539" t="s">
        <v>527</v>
      </c>
      <c r="C179" s="528"/>
      <c r="D179" s="528"/>
      <c r="E179" s="528"/>
      <c r="F179" s="528"/>
      <c r="G179" s="528"/>
      <c r="H179" s="528"/>
      <c r="I179" s="529"/>
      <c r="J179" s="632">
        <f>L177-J178</f>
        <v>0</v>
      </c>
      <c r="K179" s="633"/>
      <c r="L179" s="792"/>
      <c r="M179" s="793"/>
    </row>
    <row r="180" spans="1:18" s="2" customFormat="1" ht="25.5" customHeight="1" x14ac:dyDescent="0.2">
      <c r="A180" s="21">
        <v>7128</v>
      </c>
      <c r="B180" s="522" t="s">
        <v>528</v>
      </c>
      <c r="C180" s="523"/>
      <c r="D180" s="523"/>
      <c r="E180" s="523"/>
      <c r="F180" s="523"/>
      <c r="G180" s="523"/>
      <c r="H180" s="523"/>
      <c r="I180" s="523"/>
      <c r="J180" s="523"/>
      <c r="K180" s="524"/>
      <c r="L180" s="632">
        <f>L174+L177</f>
        <v>0</v>
      </c>
      <c r="M180" s="633"/>
      <c r="N180" s="615" t="str">
        <f>IF(L180=Code_7090,"","Please review.  This must equal "&amp;TEXT(Code_7090,"$0,000"))</f>
        <v/>
      </c>
      <c r="O180" s="616"/>
      <c r="P180" s="616"/>
      <c r="Q180" s="616"/>
      <c r="R180" s="616"/>
    </row>
    <row r="181" spans="1:18" s="2" customFormat="1" ht="25.5" customHeight="1" x14ac:dyDescent="0.2">
      <c r="A181" s="15" t="str">
        <f>$A$33</f>
        <v xml:space="preserve"> </v>
      </c>
    </row>
    <row r="182" spans="1:18" s="2" customFormat="1" ht="25.5" customHeight="1" x14ac:dyDescent="0.2">
      <c r="A182" s="566" t="s">
        <v>529</v>
      </c>
      <c r="B182" s="634"/>
      <c r="C182" s="634"/>
      <c r="D182" s="634"/>
      <c r="E182" s="634"/>
      <c r="F182" s="634"/>
      <c r="G182" s="634"/>
      <c r="H182" s="634"/>
      <c r="I182" s="634"/>
      <c r="J182" s="634"/>
      <c r="K182" s="634"/>
      <c r="L182" s="634"/>
      <c r="M182" s="634"/>
    </row>
    <row r="183" spans="1:18" s="2" customFormat="1" ht="25.5" customHeight="1" x14ac:dyDescent="0.2">
      <c r="A183" s="567" t="s">
        <v>631</v>
      </c>
      <c r="B183" s="567"/>
      <c r="C183" s="567"/>
      <c r="D183" s="567"/>
      <c r="E183" s="567"/>
      <c r="F183" s="567"/>
      <c r="G183" s="567"/>
      <c r="H183" s="567"/>
      <c r="I183" s="567"/>
      <c r="J183" s="567"/>
      <c r="K183" s="674"/>
      <c r="L183" s="780" t="s">
        <v>2834</v>
      </c>
      <c r="M183" s="781"/>
      <c r="N183" s="653" t="s">
        <v>1379</v>
      </c>
      <c r="O183" s="654"/>
      <c r="P183" s="654"/>
      <c r="Q183" s="654"/>
      <c r="R183" s="654"/>
    </row>
    <row r="184" spans="1:18" s="2" customFormat="1" ht="25.5" customHeight="1" x14ac:dyDescent="0.2">
      <c r="A184" s="21">
        <v>7250</v>
      </c>
      <c r="B184" s="522" t="s">
        <v>1705</v>
      </c>
      <c r="C184" s="523"/>
      <c r="D184" s="523"/>
      <c r="E184" s="523"/>
      <c r="F184" s="523"/>
      <c r="G184" s="523"/>
      <c r="H184" s="523"/>
      <c r="I184" s="523"/>
      <c r="J184" s="523"/>
      <c r="K184" s="524"/>
      <c r="L184" s="630"/>
      <c r="M184" s="631"/>
      <c r="N184" s="1080" t="str">
        <f>IF(OR(Code_7250&lt;0,Code_0841&lt;0,Code_0842&lt;0),"Warning: please report only positive integers",IF(AND(ISBLANK(Code_0841),ISBLANK(Code_0842)),"",IF(OR(NOT(ISBLANK(Code_0841)),NOT(ISBLANK(Code_0842))),IF((Code_0841+Code_0842)&lt;&gt;Code_7250,"Warning: Medicare breakouts do not sum to total",""),"")))</f>
        <v/>
      </c>
      <c r="O184" s="1081"/>
      <c r="P184" s="1081"/>
      <c r="Q184" s="1081"/>
      <c r="R184" s="1081"/>
    </row>
    <row r="185" spans="1:18" s="2" customFormat="1" ht="25.5" customHeight="1" x14ac:dyDescent="0.2">
      <c r="A185" s="20">
        <v>841</v>
      </c>
      <c r="B185" s="539" t="s">
        <v>530</v>
      </c>
      <c r="C185" s="528"/>
      <c r="D185" s="528"/>
      <c r="E185" s="528"/>
      <c r="F185" s="528"/>
      <c r="G185" s="528"/>
      <c r="H185" s="528"/>
      <c r="I185" s="529"/>
      <c r="J185" s="530"/>
      <c r="K185" s="531"/>
      <c r="L185" s="618" t="s">
        <v>1706</v>
      </c>
      <c r="M185" s="619"/>
    </row>
    <row r="186" spans="1:18" s="2" customFormat="1" ht="25.5" customHeight="1" x14ac:dyDescent="0.2">
      <c r="A186" s="20">
        <v>7104</v>
      </c>
      <c r="B186" s="655" t="s">
        <v>531</v>
      </c>
      <c r="C186" s="794"/>
      <c r="D186" s="794"/>
      <c r="E186" s="794"/>
      <c r="F186" s="794"/>
      <c r="G186" s="795"/>
      <c r="H186" s="632">
        <f>J185-H187</f>
        <v>0</v>
      </c>
      <c r="I186" s="633"/>
      <c r="J186" s="38"/>
      <c r="K186" s="39"/>
      <c r="L186" s="919"/>
      <c r="M186" s="621"/>
    </row>
    <row r="187" spans="1:18" s="2" customFormat="1" ht="25.5" customHeight="1" x14ac:dyDescent="0.2">
      <c r="A187" s="20">
        <v>7105</v>
      </c>
      <c r="B187" s="655" t="s">
        <v>532</v>
      </c>
      <c r="C187" s="794"/>
      <c r="D187" s="794"/>
      <c r="E187" s="794"/>
      <c r="F187" s="794"/>
      <c r="G187" s="795"/>
      <c r="H187" s="632">
        <f>J320+J337+J352+J366</f>
        <v>0</v>
      </c>
      <c r="I187" s="633"/>
      <c r="J187" s="38"/>
      <c r="K187" s="39"/>
      <c r="L187" s="919"/>
      <c r="M187" s="621"/>
    </row>
    <row r="188" spans="1:18" s="2" customFormat="1" ht="25.5" customHeight="1" x14ac:dyDescent="0.2">
      <c r="A188" s="45">
        <v>842</v>
      </c>
      <c r="B188" s="527" t="s">
        <v>535</v>
      </c>
      <c r="C188" s="536"/>
      <c r="D188" s="536"/>
      <c r="E188" s="536"/>
      <c r="F188" s="536"/>
      <c r="G188" s="536"/>
      <c r="H188" s="536"/>
      <c r="I188" s="540"/>
      <c r="J188" s="530"/>
      <c r="K188" s="531"/>
      <c r="L188" s="919"/>
      <c r="M188" s="621"/>
    </row>
    <row r="189" spans="1:18" s="2" customFormat="1" ht="25.5" customHeight="1" x14ac:dyDescent="0.2">
      <c r="A189" s="20">
        <v>7106</v>
      </c>
      <c r="B189" s="910" t="s">
        <v>536</v>
      </c>
      <c r="C189" s="911"/>
      <c r="D189" s="911"/>
      <c r="E189" s="911"/>
      <c r="F189" s="911"/>
      <c r="G189" s="912"/>
      <c r="H189" s="632">
        <f>J188-H190</f>
        <v>0</v>
      </c>
      <c r="I189" s="633"/>
      <c r="J189" s="38"/>
      <c r="K189" s="39"/>
      <c r="L189" s="919"/>
      <c r="M189" s="621"/>
      <c r="N189" s="483"/>
      <c r="O189" s="478"/>
      <c r="P189" s="478"/>
      <c r="Q189" s="478"/>
      <c r="R189" s="478"/>
    </row>
    <row r="190" spans="1:18" s="2" customFormat="1" ht="25.5" customHeight="1" x14ac:dyDescent="0.2">
      <c r="A190" s="20">
        <v>7107</v>
      </c>
      <c r="B190" s="655" t="s">
        <v>537</v>
      </c>
      <c r="C190" s="656"/>
      <c r="D190" s="656"/>
      <c r="E190" s="656"/>
      <c r="F190" s="656"/>
      <c r="G190" s="657"/>
      <c r="H190" s="632">
        <f>J321+J338+J353+J367</f>
        <v>0</v>
      </c>
      <c r="I190" s="633"/>
      <c r="J190" s="38"/>
      <c r="K190" s="39"/>
      <c r="L190" s="919"/>
      <c r="M190" s="621"/>
      <c r="N190" s="483"/>
      <c r="O190" s="478"/>
      <c r="P190" s="478"/>
      <c r="Q190" s="478"/>
      <c r="R190" s="478"/>
    </row>
    <row r="191" spans="1:18" s="2" customFormat="1" ht="25.5" customHeight="1" x14ac:dyDescent="0.2">
      <c r="A191" s="21">
        <v>7253</v>
      </c>
      <c r="B191" s="522" t="s">
        <v>1707</v>
      </c>
      <c r="C191" s="523"/>
      <c r="D191" s="523"/>
      <c r="E191" s="523"/>
      <c r="F191" s="523"/>
      <c r="G191" s="523"/>
      <c r="H191" s="523"/>
      <c r="I191" s="523"/>
      <c r="J191" s="523"/>
      <c r="K191" s="524"/>
      <c r="L191" s="525"/>
      <c r="M191" s="526"/>
      <c r="N191" s="1080" t="str">
        <f>IF(OR(Code_7253&lt;0,Code_7142&lt;0,Code_7145&lt;0),"Warning: please report only positive integers",IF(AND(ISBLANK(Code_7142),ISBLANK(Code_7145)),"",IF(OR(NOT(ISBLANK(Code_7142)),NOT(ISBLANK(Code_7145))),IF((Code_7142+Code_7145)&lt;&gt;Code_7253,"Warning: MA/PMAP breakouts do not sum to total",""),"")))</f>
        <v/>
      </c>
      <c r="O191" s="1081"/>
      <c r="P191" s="1081"/>
      <c r="Q191" s="1081"/>
      <c r="R191" s="1081"/>
    </row>
    <row r="192" spans="1:18" s="2" customFormat="1" ht="25.5" customHeight="1" x14ac:dyDescent="0.2">
      <c r="A192" s="20">
        <v>7142</v>
      </c>
      <c r="B192" s="527" t="s">
        <v>533</v>
      </c>
      <c r="C192" s="528"/>
      <c r="D192" s="528"/>
      <c r="E192" s="528"/>
      <c r="F192" s="528"/>
      <c r="G192" s="528"/>
      <c r="H192" s="528"/>
      <c r="I192" s="529"/>
      <c r="J192" s="530"/>
      <c r="K192" s="531"/>
      <c r="L192" s="532" t="s">
        <v>1708</v>
      </c>
      <c r="M192" s="533"/>
      <c r="N192" s="607" t="str">
        <f>IF(AND(ISBLANK(J192),ISBLANK(L191),ISBLANK(J193)),"Enter Total MA/PMAP Patient Charges in 7253 if detail is not available. 
(Cell is not locked.)","")</f>
        <v>Enter Total MA/PMAP Patient Charges in 7253 if detail is not available. 
(Cell is not locked.)</v>
      </c>
      <c r="O192" s="608"/>
      <c r="P192" s="608"/>
      <c r="Q192" s="608"/>
      <c r="R192" s="608"/>
    </row>
    <row r="193" spans="1:18" s="2" customFormat="1" ht="25.5" customHeight="1" x14ac:dyDescent="0.2">
      <c r="A193" s="20">
        <v>7145</v>
      </c>
      <c r="B193" s="527" t="s">
        <v>538</v>
      </c>
      <c r="C193" s="528"/>
      <c r="D193" s="528"/>
      <c r="E193" s="528"/>
      <c r="F193" s="528"/>
      <c r="G193" s="528"/>
      <c r="H193" s="528"/>
      <c r="I193" s="529"/>
      <c r="J193" s="530"/>
      <c r="K193" s="531"/>
      <c r="L193" s="534"/>
      <c r="M193" s="535"/>
      <c r="N193" s="607"/>
      <c r="O193" s="608"/>
      <c r="P193" s="608"/>
      <c r="Q193" s="608"/>
      <c r="R193" s="608"/>
    </row>
    <row r="194" spans="1:18" s="15" customFormat="1" ht="25.5" customHeight="1" x14ac:dyDescent="0.2">
      <c r="A194" s="21">
        <v>7256</v>
      </c>
      <c r="B194" s="522" t="s">
        <v>1710</v>
      </c>
      <c r="C194" s="523"/>
      <c r="D194" s="523"/>
      <c r="E194" s="523"/>
      <c r="F194" s="523"/>
      <c r="G194" s="523"/>
      <c r="H194" s="523"/>
      <c r="I194" s="523"/>
      <c r="J194" s="523"/>
      <c r="K194" s="524"/>
      <c r="L194" s="525"/>
      <c r="M194" s="526"/>
      <c r="N194" s="1080" t="str">
        <f>IF(OR(Code_7256&lt;0,Code_7144&lt;0,Code_7147&lt;0),"Warning: please report only positive integers",IF(AND(ISBLANK(Code_7144),ISBLANK(Code_7147)),"",IF(OR(NOT(ISBLANK(Code_7144)),NOT(ISBLANK(Code_7147))),IF((Code_7144+Code_7147)&lt;&gt;Code_7256,"Warning: MNCare breakouts do not sum to total",""),"")))</f>
        <v/>
      </c>
      <c r="O194" s="1081"/>
      <c r="P194" s="1081"/>
      <c r="Q194" s="1081"/>
      <c r="R194" s="1081"/>
    </row>
    <row r="195" spans="1:18" s="2" customFormat="1" ht="25.5" customHeight="1" x14ac:dyDescent="0.2">
      <c r="A195" s="20">
        <v>7144</v>
      </c>
      <c r="B195" s="527" t="s">
        <v>534</v>
      </c>
      <c r="C195" s="528"/>
      <c r="D195" s="528"/>
      <c r="E195" s="528"/>
      <c r="F195" s="528"/>
      <c r="G195" s="528"/>
      <c r="H195" s="528"/>
      <c r="I195" s="529"/>
      <c r="J195" s="530"/>
      <c r="K195" s="531"/>
      <c r="L195" s="532" t="s">
        <v>1709</v>
      </c>
      <c r="M195" s="533"/>
      <c r="N195" s="607" t="str">
        <f>IF(AND(ISBLANK(J195),ISBLANK(L194),ISBLANK(J196)),"Enter Total MinnesotaCare Patient Charges in 7256 if detail is not available. (Cell is not locked.)","")</f>
        <v>Enter Total MinnesotaCare Patient Charges in 7256 if detail is not available. (Cell is not locked.)</v>
      </c>
      <c r="O195" s="608"/>
      <c r="P195" s="608"/>
      <c r="Q195" s="608"/>
      <c r="R195" s="608"/>
    </row>
    <row r="196" spans="1:18" s="2" customFormat="1" ht="25.5" customHeight="1" x14ac:dyDescent="0.2">
      <c r="A196" s="20">
        <v>7147</v>
      </c>
      <c r="B196" s="527" t="s">
        <v>539</v>
      </c>
      <c r="C196" s="528"/>
      <c r="D196" s="528"/>
      <c r="E196" s="528"/>
      <c r="F196" s="528"/>
      <c r="G196" s="528"/>
      <c r="H196" s="528"/>
      <c r="I196" s="529"/>
      <c r="J196" s="530"/>
      <c r="K196" s="531"/>
      <c r="L196" s="534"/>
      <c r="M196" s="535"/>
      <c r="N196" s="607"/>
      <c r="O196" s="608"/>
      <c r="P196" s="608"/>
      <c r="Q196" s="608"/>
      <c r="R196" s="608"/>
    </row>
    <row r="197" spans="1:18" s="15" customFormat="1" ht="25.5" customHeight="1" x14ac:dyDescent="0.2">
      <c r="A197" s="21">
        <v>7259</v>
      </c>
      <c r="B197" s="522" t="s">
        <v>1711</v>
      </c>
      <c r="C197" s="523"/>
      <c r="D197" s="523"/>
      <c r="E197" s="523"/>
      <c r="F197" s="523"/>
      <c r="G197" s="523"/>
      <c r="H197" s="523"/>
      <c r="I197" s="523"/>
      <c r="J197" s="523"/>
      <c r="K197" s="524"/>
      <c r="L197" s="630"/>
      <c r="M197" s="631"/>
    </row>
    <row r="198" spans="1:18" s="2" customFormat="1" ht="25.5" customHeight="1" x14ac:dyDescent="0.2">
      <c r="A198" s="20">
        <v>852</v>
      </c>
      <c r="B198" s="539" t="s">
        <v>540</v>
      </c>
      <c r="C198" s="528"/>
      <c r="D198" s="528"/>
      <c r="E198" s="528"/>
      <c r="F198" s="528"/>
      <c r="G198" s="528"/>
      <c r="H198" s="528"/>
      <c r="I198" s="528"/>
      <c r="J198" s="528"/>
      <c r="K198" s="529"/>
      <c r="L198" s="530"/>
      <c r="M198" s="531"/>
    </row>
    <row r="199" spans="1:18" s="2" customFormat="1" ht="25.5" customHeight="1" x14ac:dyDescent="0.2">
      <c r="A199" s="20">
        <v>847</v>
      </c>
      <c r="B199" s="647" t="s">
        <v>541</v>
      </c>
      <c r="C199" s="648"/>
      <c r="D199" s="648"/>
      <c r="E199" s="648"/>
      <c r="F199" s="648"/>
      <c r="G199" s="648"/>
      <c r="H199" s="648"/>
      <c r="I199" s="648"/>
      <c r="J199" s="648"/>
      <c r="K199" s="649"/>
      <c r="L199" s="632">
        <f>L200-L184-L191-L198-L194-L197</f>
        <v>0</v>
      </c>
      <c r="M199" s="633"/>
      <c r="N199" s="1080" t="str">
        <f>IF(Code_0847&lt;0,"This should be a positive integer",IF(AND(Code_0847=0,Code_0751&lt;0),"Warning: there are Other Payer Adjustments reported in section 14.",""))</f>
        <v/>
      </c>
      <c r="O199" s="1081"/>
      <c r="P199" s="1081"/>
      <c r="Q199" s="1081"/>
      <c r="R199" s="1081"/>
    </row>
    <row r="200" spans="1:18" s="15" customFormat="1" ht="25.5" customHeight="1" x14ac:dyDescent="0.2">
      <c r="A200" s="21">
        <v>850</v>
      </c>
      <c r="B200" s="522" t="s">
        <v>542</v>
      </c>
      <c r="C200" s="523"/>
      <c r="D200" s="523"/>
      <c r="E200" s="523"/>
      <c r="F200" s="523"/>
      <c r="G200" s="523"/>
      <c r="H200" s="523"/>
      <c r="I200" s="523"/>
      <c r="J200" s="523"/>
      <c r="K200" s="524"/>
      <c r="L200" s="880">
        <f>Code_0740</f>
        <v>0</v>
      </c>
      <c r="M200" s="881"/>
    </row>
    <row r="201" spans="1:18" s="2" customFormat="1" ht="25.5" customHeight="1" x14ac:dyDescent="0.2">
      <c r="A201" s="20">
        <v>843</v>
      </c>
      <c r="B201" s="886" t="s">
        <v>1984</v>
      </c>
      <c r="C201" s="528"/>
      <c r="D201" s="528"/>
      <c r="E201" s="528"/>
      <c r="F201" s="528"/>
      <c r="G201" s="528"/>
      <c r="H201" s="528"/>
      <c r="I201" s="529"/>
      <c r="J201" s="632">
        <f>SUM(Code_7142,Code_7144)</f>
        <v>0</v>
      </c>
      <c r="K201" s="633"/>
      <c r="L201" s="922"/>
      <c r="M201" s="619"/>
    </row>
    <row r="202" spans="1:18" s="2" customFormat="1" ht="25.5" customHeight="1" x14ac:dyDescent="0.2">
      <c r="A202" s="20">
        <v>854</v>
      </c>
      <c r="B202" s="527" t="s">
        <v>1725</v>
      </c>
      <c r="C202" s="528"/>
      <c r="D202" s="528"/>
      <c r="E202" s="528"/>
      <c r="F202" s="528"/>
      <c r="G202" s="528"/>
      <c r="H202" s="528"/>
      <c r="I202" s="529"/>
      <c r="J202" s="632">
        <f>SUM(Code_7145,Code_7147)</f>
        <v>0</v>
      </c>
      <c r="K202" s="633"/>
      <c r="L202" s="923"/>
      <c r="M202" s="623"/>
    </row>
    <row r="203" spans="1:18" s="2" customFormat="1" ht="25.5" customHeight="1" x14ac:dyDescent="0.2">
      <c r="A203" s="15" t="str">
        <f>$A$33</f>
        <v xml:space="preserve"> </v>
      </c>
    </row>
    <row r="204" spans="1:18" s="2" customFormat="1" ht="25.5" customHeight="1" x14ac:dyDescent="0.2">
      <c r="A204" s="566" t="s">
        <v>543</v>
      </c>
      <c r="B204" s="634"/>
      <c r="C204" s="634"/>
      <c r="D204" s="634"/>
      <c r="E204" s="634"/>
      <c r="F204" s="634"/>
      <c r="G204" s="634"/>
      <c r="H204" s="634"/>
      <c r="I204" s="634"/>
      <c r="J204" s="634"/>
      <c r="K204" s="634"/>
      <c r="L204" s="634"/>
      <c r="M204" s="634"/>
    </row>
    <row r="205" spans="1:18" s="2" customFormat="1" ht="25.5" customHeight="1" x14ac:dyDescent="0.2">
      <c r="A205" s="567" t="s">
        <v>632</v>
      </c>
      <c r="B205" s="567"/>
      <c r="C205" s="567"/>
      <c r="D205" s="567"/>
      <c r="E205" s="567"/>
      <c r="F205" s="567"/>
      <c r="G205" s="567"/>
      <c r="H205" s="567"/>
      <c r="I205" s="567"/>
      <c r="J205" s="567"/>
      <c r="K205" s="674"/>
      <c r="L205" s="780" t="s">
        <v>2834</v>
      </c>
      <c r="M205" s="781"/>
      <c r="N205" s="654" t="s">
        <v>1379</v>
      </c>
      <c r="O205" s="654"/>
      <c r="P205" s="654"/>
      <c r="Q205" s="654"/>
      <c r="R205" s="654"/>
    </row>
    <row r="206" spans="1:18" s="15" customFormat="1" ht="25.5" customHeight="1" x14ac:dyDescent="0.2">
      <c r="A206" s="21">
        <v>7260</v>
      </c>
      <c r="B206" s="522" t="s">
        <v>1712</v>
      </c>
      <c r="C206" s="523"/>
      <c r="D206" s="523"/>
      <c r="E206" s="523"/>
      <c r="F206" s="523"/>
      <c r="G206" s="523"/>
      <c r="H206" s="523"/>
      <c r="I206" s="523"/>
      <c r="J206" s="523"/>
      <c r="K206" s="524"/>
      <c r="L206" s="630"/>
      <c r="M206" s="631"/>
      <c r="N206" s="609" t="str">
        <f>IF(OR(Code_7260&gt;0,Code_0741&gt;0,Code_0742&gt;0),"Warning: please report only negative integers",IF(AND(ISBLANK(Code_0741),ISBLANK(Code_0742)),"",IF(OR(NOT(ISBLANK(Code_0741)),NOT(ISBLANK(Code_0742))),IF((Code_0741+Code_0742)&lt;&gt;Code_7260,"Warning: Medicare breakouts do not sum to total",""),"")))</f>
        <v/>
      </c>
      <c r="O206" s="610"/>
      <c r="P206" s="610"/>
      <c r="Q206" s="610"/>
      <c r="R206" s="611"/>
    </row>
    <row r="207" spans="1:18" s="2" customFormat="1" ht="25.5" customHeight="1" x14ac:dyDescent="0.2">
      <c r="A207" s="20">
        <v>741</v>
      </c>
      <c r="B207" s="539" t="s">
        <v>544</v>
      </c>
      <c r="C207" s="528"/>
      <c r="D207" s="528"/>
      <c r="E207" s="528"/>
      <c r="F207" s="528"/>
      <c r="G207" s="528"/>
      <c r="H207" s="528"/>
      <c r="I207" s="529"/>
      <c r="J207" s="630"/>
      <c r="K207" s="631"/>
      <c r="L207" s="618" t="s">
        <v>1706</v>
      </c>
      <c r="M207" s="619"/>
      <c r="N207" s="650" t="str">
        <f>IF(ISBLANK(J207),"",IF(J207&gt;=0,"This should be a negative number"," "))</f>
        <v/>
      </c>
      <c r="O207" s="651"/>
      <c r="P207" s="651"/>
      <c r="Q207" s="651"/>
      <c r="R207" s="652"/>
    </row>
    <row r="208" spans="1:18" s="2" customFormat="1" ht="25.5" customHeight="1" x14ac:dyDescent="0.2">
      <c r="A208" s="20">
        <v>7098</v>
      </c>
      <c r="B208" s="655" t="s">
        <v>545</v>
      </c>
      <c r="C208" s="794"/>
      <c r="D208" s="794"/>
      <c r="E208" s="794"/>
      <c r="F208" s="794"/>
      <c r="G208" s="795"/>
      <c r="H208" s="632">
        <f>J207-H209</f>
        <v>0</v>
      </c>
      <c r="I208" s="633"/>
      <c r="J208" s="38"/>
      <c r="K208" s="39"/>
      <c r="L208" s="620"/>
      <c r="M208" s="621"/>
    </row>
    <row r="209" spans="1:18" s="2" customFormat="1" ht="25.5" customHeight="1" x14ac:dyDescent="0.2">
      <c r="A209" s="20">
        <v>7099</v>
      </c>
      <c r="B209" s="655" t="s">
        <v>546</v>
      </c>
      <c r="C209" s="794"/>
      <c r="D209" s="794"/>
      <c r="E209" s="794"/>
      <c r="F209" s="794"/>
      <c r="G209" s="795"/>
      <c r="H209" s="632">
        <f>Code_5504+Code_7065+Code_7072+Code_7079</f>
        <v>0</v>
      </c>
      <c r="I209" s="633"/>
      <c r="J209" s="38"/>
      <c r="K209" s="39"/>
      <c r="L209" s="620"/>
      <c r="M209" s="621"/>
    </row>
    <row r="210" spans="1:18" s="2" customFormat="1" ht="25.5" customHeight="1" x14ac:dyDescent="0.2">
      <c r="A210" s="20">
        <v>742</v>
      </c>
      <c r="B210" s="539" t="s">
        <v>549</v>
      </c>
      <c r="C210" s="528"/>
      <c r="D210" s="528"/>
      <c r="E210" s="528"/>
      <c r="F210" s="528"/>
      <c r="G210" s="528"/>
      <c r="H210" s="528"/>
      <c r="I210" s="529"/>
      <c r="J210" s="917"/>
      <c r="K210" s="918"/>
      <c r="L210" s="620"/>
      <c r="M210" s="621"/>
      <c r="N210" s="650" t="str">
        <f>IF(ISBLANK(J210),"",IF(J210&gt;=0,"This should be a negative number"," "))</f>
        <v/>
      </c>
      <c r="O210" s="651"/>
      <c r="P210" s="651"/>
      <c r="Q210" s="651"/>
      <c r="R210" s="652"/>
    </row>
    <row r="211" spans="1:18" s="2" customFormat="1" ht="25.5" customHeight="1" x14ac:dyDescent="0.2">
      <c r="A211" s="20">
        <v>7100</v>
      </c>
      <c r="B211" s="655" t="s">
        <v>550</v>
      </c>
      <c r="C211" s="794"/>
      <c r="D211" s="794"/>
      <c r="E211" s="794"/>
      <c r="F211" s="794"/>
      <c r="G211" s="795"/>
      <c r="H211" s="632">
        <f>J210-H212</f>
        <v>0</v>
      </c>
      <c r="I211" s="633"/>
      <c r="J211" s="38"/>
      <c r="K211" s="39"/>
      <c r="L211" s="620"/>
      <c r="M211" s="621"/>
    </row>
    <row r="212" spans="1:18" s="2" customFormat="1" ht="25.5" customHeight="1" x14ac:dyDescent="0.2">
      <c r="A212" s="20">
        <v>7101</v>
      </c>
      <c r="B212" s="655" t="s">
        <v>551</v>
      </c>
      <c r="C212" s="794"/>
      <c r="D212" s="794"/>
      <c r="E212" s="794"/>
      <c r="F212" s="794"/>
      <c r="G212" s="795"/>
      <c r="H212" s="632">
        <f>J324+J341+J356+J370</f>
        <v>0</v>
      </c>
      <c r="I212" s="633"/>
      <c r="J212" s="38"/>
      <c r="K212" s="39"/>
      <c r="L212" s="622"/>
      <c r="M212" s="623"/>
    </row>
    <row r="213" spans="1:18" s="15" customFormat="1" ht="25.5" customHeight="1" x14ac:dyDescent="0.2">
      <c r="A213" s="21">
        <v>7263</v>
      </c>
      <c r="B213" s="522" t="s">
        <v>1713</v>
      </c>
      <c r="C213" s="523"/>
      <c r="D213" s="523"/>
      <c r="E213" s="523"/>
      <c r="F213" s="523"/>
      <c r="G213" s="523"/>
      <c r="H213" s="523"/>
      <c r="I213" s="523"/>
      <c r="J213" s="523"/>
      <c r="K213" s="524"/>
      <c r="L213" s="525"/>
      <c r="M213" s="526"/>
      <c r="N213" s="609" t="str">
        <f>IF(OR(Code_7263&gt;0,Code_7136&gt;0,Code_7139&gt;0),"Warning: please report only negative integers",IF(AND(ISBLANK(Code_7136),ISBLANK(Code_7139)),"",IF(OR(NOT(ISBLANK(Code_7136)),NOT(ISBLANK(Code_7139))),IF((Code_7136+Code_7139)&lt;&gt;Code_7263,"Warning: MA/PMAP breakouts do not sum to total",""),"")))</f>
        <v/>
      </c>
      <c r="O213" s="610"/>
      <c r="P213" s="610"/>
      <c r="Q213" s="610"/>
      <c r="R213" s="611"/>
    </row>
    <row r="214" spans="1:18" s="2" customFormat="1" ht="25.5" customHeight="1" x14ac:dyDescent="0.2">
      <c r="A214" s="20">
        <v>7136</v>
      </c>
      <c r="B214" s="655" t="s">
        <v>547</v>
      </c>
      <c r="C214" s="656"/>
      <c r="D214" s="656"/>
      <c r="E214" s="656"/>
      <c r="F214" s="656"/>
      <c r="G214" s="656"/>
      <c r="H214" s="656"/>
      <c r="I214" s="657"/>
      <c r="J214" s="915"/>
      <c r="K214" s="916"/>
      <c r="L214" s="532" t="s">
        <v>1708</v>
      </c>
      <c r="M214" s="924"/>
      <c r="N214" s="607" t="str">
        <f>IF(AND(ISBLANK(J214),ISBLANK(J215)),"Enter Total MA/PMAP Adjustments in 7263 if detail is not available. 
(Cell is not locked.)","")</f>
        <v>Enter Total MA/PMAP Adjustments in 7263 if detail is not available. 
(Cell is not locked.)</v>
      </c>
      <c r="O214" s="608"/>
      <c r="P214" s="608"/>
      <c r="Q214" s="608"/>
      <c r="R214" s="608"/>
    </row>
    <row r="215" spans="1:18" s="2" customFormat="1" ht="25.5" customHeight="1" x14ac:dyDescent="0.2">
      <c r="A215" s="20">
        <v>7139</v>
      </c>
      <c r="B215" s="655" t="s">
        <v>552</v>
      </c>
      <c r="C215" s="656"/>
      <c r="D215" s="656"/>
      <c r="E215" s="656"/>
      <c r="F215" s="656"/>
      <c r="G215" s="656"/>
      <c r="H215" s="656"/>
      <c r="I215" s="657"/>
      <c r="J215" s="915"/>
      <c r="K215" s="916"/>
      <c r="L215" s="925"/>
      <c r="M215" s="926"/>
      <c r="N215" s="607"/>
      <c r="O215" s="608"/>
      <c r="P215" s="608"/>
      <c r="Q215" s="608"/>
      <c r="R215" s="608"/>
    </row>
    <row r="216" spans="1:18" s="15" customFormat="1" ht="25.5" customHeight="1" x14ac:dyDescent="0.2">
      <c r="A216" s="21">
        <v>7266</v>
      </c>
      <c r="B216" s="522" t="s">
        <v>1714</v>
      </c>
      <c r="C216" s="523"/>
      <c r="D216" s="523"/>
      <c r="E216" s="523"/>
      <c r="F216" s="523"/>
      <c r="G216" s="523"/>
      <c r="H216" s="523"/>
      <c r="I216" s="523"/>
      <c r="J216" s="523"/>
      <c r="K216" s="524"/>
      <c r="L216" s="525"/>
      <c r="M216" s="526"/>
      <c r="N216" s="609" t="str">
        <f>IF(OR(Code_7266&gt;0,Code_7138&gt;0,Code_7141&gt;0),"Warning: please report only negative integers",IF(AND(ISBLANK(Code_7138),ISBLANK(Code_7141)),"",IF(OR(NOT(ISBLANK(Code_7138)),NOT(ISBLANK(Code_7141))),IF((Code_7138+Code_7141)&lt;&gt;Code_7266,"Warning: MNCare breakouts do not sum to total",""),"")))</f>
        <v/>
      </c>
      <c r="O216" s="610"/>
      <c r="P216" s="610"/>
      <c r="Q216" s="610"/>
      <c r="R216" s="611"/>
    </row>
    <row r="217" spans="1:18" s="2" customFormat="1" ht="25.5" customHeight="1" x14ac:dyDescent="0.2">
      <c r="A217" s="20">
        <v>7138</v>
      </c>
      <c r="B217" s="655" t="s">
        <v>548</v>
      </c>
      <c r="C217" s="656"/>
      <c r="D217" s="656"/>
      <c r="E217" s="656"/>
      <c r="F217" s="656"/>
      <c r="G217" s="656"/>
      <c r="H217" s="656"/>
      <c r="I217" s="657"/>
      <c r="J217" s="915"/>
      <c r="K217" s="916"/>
      <c r="L217" s="1214" t="s">
        <v>1709</v>
      </c>
      <c r="M217" s="533"/>
      <c r="N217" s="607" t="str">
        <f>IF(AND(ISBLANK(J217),ISBLANK(J218)),"Enter Total MinnesotaCare Adjustments in 7266 if detail is not available. 
(Cell is not locked.)","")</f>
        <v>Enter Total MinnesotaCare Adjustments in 7266 if detail is not available. 
(Cell is not locked.)</v>
      </c>
      <c r="O217" s="608"/>
      <c r="P217" s="608"/>
      <c r="Q217" s="608"/>
      <c r="R217" s="608"/>
    </row>
    <row r="218" spans="1:18" s="2" customFormat="1" ht="25.5" customHeight="1" x14ac:dyDescent="0.2">
      <c r="A218" s="20">
        <v>7141</v>
      </c>
      <c r="B218" s="655" t="s">
        <v>553</v>
      </c>
      <c r="C218" s="656"/>
      <c r="D218" s="656"/>
      <c r="E218" s="656"/>
      <c r="F218" s="656"/>
      <c r="G218" s="656"/>
      <c r="H218" s="656"/>
      <c r="I218" s="657"/>
      <c r="J218" s="915"/>
      <c r="K218" s="916"/>
      <c r="L218" s="1215"/>
      <c r="M218" s="1216"/>
      <c r="N218" s="607"/>
      <c r="O218" s="608"/>
      <c r="P218" s="608"/>
      <c r="Q218" s="608"/>
      <c r="R218" s="608"/>
    </row>
    <row r="219" spans="1:18" s="2" customFormat="1" ht="25.5" customHeight="1" x14ac:dyDescent="0.2">
      <c r="A219" s="21">
        <v>7269</v>
      </c>
      <c r="B219" s="522" t="s">
        <v>1715</v>
      </c>
      <c r="C219" s="523"/>
      <c r="D219" s="523"/>
      <c r="E219" s="523"/>
      <c r="F219" s="523"/>
      <c r="G219" s="523"/>
      <c r="H219" s="523"/>
      <c r="I219" s="523"/>
      <c r="J219" s="523"/>
      <c r="K219" s="524"/>
      <c r="L219" s="630"/>
      <c r="M219" s="631"/>
      <c r="N219" s="650" t="str">
        <f>IF(ISBLANK(L219),"",IF(L219&gt;=0,"This should be a negative number"," "))</f>
        <v/>
      </c>
      <c r="O219" s="651"/>
      <c r="P219" s="651"/>
      <c r="Q219" s="651"/>
      <c r="R219" s="652"/>
    </row>
    <row r="220" spans="1:18" s="2" customFormat="1" ht="25.5" customHeight="1" x14ac:dyDescent="0.2">
      <c r="A220" s="20">
        <v>7410</v>
      </c>
      <c r="B220" s="647" t="s">
        <v>554</v>
      </c>
      <c r="C220" s="648"/>
      <c r="D220" s="648"/>
      <c r="E220" s="648"/>
      <c r="F220" s="648"/>
      <c r="G220" s="648"/>
      <c r="H220" s="648"/>
      <c r="I220" s="648"/>
      <c r="J220" s="648"/>
      <c r="K220" s="649"/>
      <c r="L220" s="915"/>
      <c r="M220" s="916"/>
      <c r="N220" s="650" t="str">
        <f>IF(ISBLANK(L220),"",IF(L220&gt;=0,"This should be a negative number"," "))</f>
        <v/>
      </c>
      <c r="O220" s="651"/>
      <c r="P220" s="651"/>
      <c r="Q220" s="651"/>
      <c r="R220" s="652"/>
    </row>
    <row r="221" spans="1:18" s="2" customFormat="1" ht="25.5" customHeight="1" x14ac:dyDescent="0.2">
      <c r="A221" s="20">
        <v>7570</v>
      </c>
      <c r="B221" s="539" t="s">
        <v>1296</v>
      </c>
      <c r="C221" s="528"/>
      <c r="D221" s="528"/>
      <c r="E221" s="528"/>
      <c r="F221" s="528"/>
      <c r="G221" s="528"/>
      <c r="H221" s="528"/>
      <c r="I221" s="529"/>
      <c r="J221" s="920"/>
      <c r="K221" s="921"/>
      <c r="L221" s="1212"/>
      <c r="M221" s="1213"/>
      <c r="N221" s="1209" t="s">
        <v>1295</v>
      </c>
      <c r="O221" s="1210"/>
      <c r="P221" s="1210"/>
      <c r="Q221" s="1210"/>
      <c r="R221" s="1211"/>
    </row>
    <row r="222" spans="1:18" s="15" customFormat="1" ht="25.5" customHeight="1" x14ac:dyDescent="0.2">
      <c r="A222" s="21">
        <v>762</v>
      </c>
      <c r="B222" s="928" t="s">
        <v>555</v>
      </c>
      <c r="C222" s="929"/>
      <c r="D222" s="929"/>
      <c r="E222" s="929"/>
      <c r="F222" s="929"/>
      <c r="G222" s="929"/>
      <c r="H222" s="929"/>
      <c r="I222" s="929"/>
      <c r="J222" s="929"/>
      <c r="K222" s="930"/>
      <c r="L222" s="630"/>
      <c r="M222" s="631"/>
      <c r="N222" s="609" t="str">
        <f>IF(ISBLANK(L222),"",IF(L222&gt;=0,"This should be a negative number"," "))</f>
        <v/>
      </c>
      <c r="O222" s="610"/>
      <c r="P222" s="610"/>
      <c r="Q222" s="610"/>
      <c r="R222" s="611"/>
    </row>
    <row r="223" spans="1:18" s="2" customFormat="1" ht="25.5" customHeight="1" x14ac:dyDescent="0.2">
      <c r="A223" s="20">
        <v>7571</v>
      </c>
      <c r="B223" s="539" t="s">
        <v>556</v>
      </c>
      <c r="C223" s="528"/>
      <c r="D223" s="528"/>
      <c r="E223" s="528"/>
      <c r="F223" s="528"/>
      <c r="G223" s="528"/>
      <c r="H223" s="528"/>
      <c r="I223" s="529"/>
      <c r="J223" s="630"/>
      <c r="K223" s="631"/>
      <c r="L223" s="618" t="s">
        <v>557</v>
      </c>
      <c r="M223" s="619"/>
    </row>
    <row r="224" spans="1:18" s="15" customFormat="1" ht="25.5" customHeight="1" x14ac:dyDescent="0.2">
      <c r="A224" s="21">
        <v>7572</v>
      </c>
      <c r="B224" s="522" t="s">
        <v>558</v>
      </c>
      <c r="C224" s="523"/>
      <c r="D224" s="523"/>
      <c r="E224" s="523"/>
      <c r="F224" s="523"/>
      <c r="G224" s="523"/>
      <c r="H224" s="523"/>
      <c r="I224" s="524"/>
      <c r="J224" s="880">
        <f>L222-J223</f>
        <v>0</v>
      </c>
      <c r="K224" s="881"/>
      <c r="L224" s="620"/>
      <c r="M224" s="621"/>
    </row>
    <row r="225" spans="1:18" s="2" customFormat="1" ht="25.5" customHeight="1" x14ac:dyDescent="0.2">
      <c r="A225" s="20">
        <v>7573</v>
      </c>
      <c r="B225" s="804" t="s">
        <v>1568</v>
      </c>
      <c r="C225" s="937"/>
      <c r="D225" s="937"/>
      <c r="E225" s="937"/>
      <c r="F225" s="937"/>
      <c r="G225" s="938"/>
      <c r="H225" s="630"/>
      <c r="I225" s="631"/>
      <c r="J225" s="38"/>
      <c r="K225" s="39"/>
      <c r="L225" s="620"/>
      <c r="M225" s="621"/>
      <c r="N225" s="650" t="str">
        <f>IF(ISBLANK(H225),"",IF(H225&gt;=0,"This should be a negative number"," "))</f>
        <v/>
      </c>
      <c r="O225" s="651"/>
      <c r="P225" s="651"/>
      <c r="Q225" s="651"/>
      <c r="R225" s="652"/>
    </row>
    <row r="226" spans="1:18" s="2" customFormat="1" ht="25.5" customHeight="1" x14ac:dyDescent="0.2">
      <c r="A226" s="20">
        <v>7574</v>
      </c>
      <c r="B226" s="804" t="s">
        <v>1569</v>
      </c>
      <c r="C226" s="937"/>
      <c r="D226" s="937"/>
      <c r="E226" s="937"/>
      <c r="F226" s="937"/>
      <c r="G226" s="938"/>
      <c r="H226" s="880">
        <f>Code_7572-Code_7573</f>
        <v>0</v>
      </c>
      <c r="I226" s="881"/>
      <c r="J226" s="38"/>
      <c r="K226" s="39"/>
      <c r="L226" s="620"/>
      <c r="M226" s="621"/>
      <c r="N226" s="650" t="str">
        <f>IF(H225+H226=Code_7572,"","Please review.  This must equal "&amp;TEXT(Code_7572,"$0,000"))</f>
        <v/>
      </c>
      <c r="O226" s="651"/>
      <c r="P226" s="651"/>
      <c r="Q226" s="651"/>
      <c r="R226" s="652"/>
    </row>
    <row r="227" spans="1:18" s="2" customFormat="1" ht="25.5" customHeight="1" x14ac:dyDescent="0.2">
      <c r="A227" s="20">
        <v>7575</v>
      </c>
      <c r="B227" s="647" t="s">
        <v>559</v>
      </c>
      <c r="C227" s="648"/>
      <c r="D227" s="648"/>
      <c r="E227" s="648"/>
      <c r="F227" s="648"/>
      <c r="G227" s="648"/>
      <c r="H227" s="648"/>
      <c r="I227" s="649"/>
      <c r="J227" s="939"/>
      <c r="K227" s="940"/>
      <c r="L227" s="620"/>
      <c r="M227" s="621"/>
      <c r="N227" s="650" t="str">
        <f>IF(Code_7575&lt;0,"This should be greater than 0%"," ")</f>
        <v xml:space="preserve"> </v>
      </c>
      <c r="O227" s="651"/>
      <c r="P227" s="651"/>
      <c r="Q227" s="651"/>
      <c r="R227" s="652"/>
    </row>
    <row r="228" spans="1:18" s="2" customFormat="1" ht="25.5" customHeight="1" x14ac:dyDescent="0.2">
      <c r="A228" s="20">
        <v>7102</v>
      </c>
      <c r="B228" s="539" t="s">
        <v>560</v>
      </c>
      <c r="C228" s="528"/>
      <c r="D228" s="528"/>
      <c r="E228" s="528"/>
      <c r="F228" s="528"/>
      <c r="G228" s="528"/>
      <c r="H228" s="528"/>
      <c r="I228" s="529"/>
      <c r="J228" s="541">
        <f>L222-J229</f>
        <v>0</v>
      </c>
      <c r="K228" s="542"/>
      <c r="L228" s="620"/>
      <c r="M228" s="621"/>
    </row>
    <row r="229" spans="1:18" s="2" customFormat="1" ht="25.5" customHeight="1" x14ac:dyDescent="0.2">
      <c r="A229" s="20">
        <v>7103</v>
      </c>
      <c r="B229" s="539" t="s">
        <v>564</v>
      </c>
      <c r="C229" s="528"/>
      <c r="D229" s="528"/>
      <c r="E229" s="528"/>
      <c r="F229" s="528"/>
      <c r="G229" s="528"/>
      <c r="H229" s="528"/>
      <c r="I229" s="529"/>
      <c r="J229" s="541">
        <f>J325+J342+J371</f>
        <v>0</v>
      </c>
      <c r="K229" s="542"/>
      <c r="L229" s="622"/>
      <c r="M229" s="623"/>
    </row>
    <row r="230" spans="1:18" s="2" customFormat="1" ht="25.5" customHeight="1" x14ac:dyDescent="0.2">
      <c r="A230" s="20">
        <v>8100</v>
      </c>
      <c r="B230" s="647" t="s">
        <v>1583</v>
      </c>
      <c r="C230" s="648"/>
      <c r="D230" s="648"/>
      <c r="E230" s="648"/>
      <c r="F230" s="648"/>
      <c r="G230" s="648"/>
      <c r="H230" s="648"/>
      <c r="I230" s="648"/>
      <c r="J230" s="648"/>
      <c r="K230" s="649"/>
      <c r="L230" s="632">
        <f>Code_0739</f>
        <v>0</v>
      </c>
      <c r="M230" s="633"/>
      <c r="N230" s="931" t="str">
        <f>IF(L230&gt;0,"This should be a negative number"," ")</f>
        <v xml:space="preserve"> </v>
      </c>
      <c r="O230" s="932"/>
      <c r="P230" s="932"/>
      <c r="Q230" s="932"/>
      <c r="R230" s="932"/>
    </row>
    <row r="231" spans="1:18" s="2" customFormat="1" ht="25.5" customHeight="1" x14ac:dyDescent="0.2">
      <c r="A231" s="20">
        <v>8101</v>
      </c>
      <c r="B231" s="539" t="s">
        <v>509</v>
      </c>
      <c r="C231" s="528"/>
      <c r="D231" s="528"/>
      <c r="E231" s="528"/>
      <c r="F231" s="528"/>
      <c r="G231" s="528"/>
      <c r="H231" s="528"/>
      <c r="I231" s="529"/>
      <c r="J231" s="632">
        <f>L230-J232</f>
        <v>0</v>
      </c>
      <c r="K231" s="633"/>
      <c r="L231" s="790"/>
      <c r="M231" s="791"/>
      <c r="N231" s="931" t="str">
        <f>IF(J231&gt;0,"This should be a negative number"," ")</f>
        <v xml:space="preserve"> </v>
      </c>
      <c r="O231" s="932"/>
      <c r="P231" s="932"/>
      <c r="Q231" s="932"/>
      <c r="R231" s="932"/>
    </row>
    <row r="232" spans="1:18" s="2" customFormat="1" ht="25.5" customHeight="1" x14ac:dyDescent="0.2">
      <c r="A232" s="20">
        <v>8102</v>
      </c>
      <c r="B232" s="539" t="s">
        <v>510</v>
      </c>
      <c r="C232" s="528"/>
      <c r="D232" s="528"/>
      <c r="E232" s="528"/>
      <c r="F232" s="528"/>
      <c r="G232" s="528"/>
      <c r="H232" s="528"/>
      <c r="I232" s="529"/>
      <c r="J232" s="632">
        <f>J326+J343+J357+J372</f>
        <v>0</v>
      </c>
      <c r="K232" s="633"/>
      <c r="L232" s="792"/>
      <c r="M232" s="793"/>
      <c r="N232" s="931" t="str">
        <f>IF(J232&gt;0,"This should be a negative number"," ")</f>
        <v xml:space="preserve"> </v>
      </c>
      <c r="O232" s="932"/>
      <c r="P232" s="932"/>
      <c r="Q232" s="932"/>
      <c r="R232" s="932"/>
    </row>
    <row r="233" spans="1:18" s="2" customFormat="1" ht="25.5" customHeight="1" x14ac:dyDescent="0.2">
      <c r="A233" s="20">
        <v>751</v>
      </c>
      <c r="B233" s="927" t="s">
        <v>565</v>
      </c>
      <c r="C233" s="648"/>
      <c r="D233" s="648"/>
      <c r="E233" s="648"/>
      <c r="F233" s="648"/>
      <c r="G233" s="648"/>
      <c r="H233" s="648"/>
      <c r="I233" s="648"/>
      <c r="J233" s="648"/>
      <c r="K233" s="649"/>
      <c r="L233" s="632">
        <f>L234-L206-L213-L216-L219-L220-L222-L230</f>
        <v>0</v>
      </c>
      <c r="M233" s="633"/>
      <c r="N233" s="650" t="str">
        <f>IF(L233&gt;0,"This should be a negative number"," ")</f>
        <v xml:space="preserve"> </v>
      </c>
      <c r="O233" s="651"/>
      <c r="P233" s="651"/>
      <c r="Q233" s="651"/>
      <c r="R233" s="652"/>
    </row>
    <row r="234" spans="1:18" s="15" customFormat="1" ht="25.5" customHeight="1" x14ac:dyDescent="0.2">
      <c r="A234" s="21">
        <v>760</v>
      </c>
      <c r="B234" s="522" t="s">
        <v>981</v>
      </c>
      <c r="C234" s="523"/>
      <c r="D234" s="523"/>
      <c r="E234" s="523"/>
      <c r="F234" s="523"/>
      <c r="G234" s="523"/>
      <c r="H234" s="523"/>
      <c r="I234" s="523"/>
      <c r="J234" s="523"/>
      <c r="K234" s="524"/>
      <c r="L234" s="880">
        <f>Code_8063</f>
        <v>0</v>
      </c>
      <c r="M234" s="881"/>
      <c r="N234" s="609" t="str">
        <f>IF(L234&gt;0,"This should be a negative number"," ")</f>
        <v xml:space="preserve"> </v>
      </c>
      <c r="O234" s="610"/>
      <c r="P234" s="610"/>
      <c r="Q234" s="610"/>
      <c r="R234" s="611"/>
    </row>
    <row r="235" spans="1:18" s="2" customFormat="1" ht="25.5" customHeight="1" x14ac:dyDescent="0.2">
      <c r="A235" s="20">
        <v>7125</v>
      </c>
      <c r="B235" s="539" t="s">
        <v>566</v>
      </c>
      <c r="C235" s="528"/>
      <c r="D235" s="528"/>
      <c r="E235" s="528"/>
      <c r="F235" s="528"/>
      <c r="G235" s="528"/>
      <c r="H235" s="528"/>
      <c r="I235" s="529"/>
      <c r="J235" s="541">
        <f>L234-J236</f>
        <v>0</v>
      </c>
      <c r="K235" s="542"/>
      <c r="L235" s="624"/>
      <c r="M235" s="625"/>
    </row>
    <row r="236" spans="1:18" s="2" customFormat="1" ht="25.5" customHeight="1" x14ac:dyDescent="0.2">
      <c r="A236" s="20">
        <v>7126</v>
      </c>
      <c r="B236" s="539" t="s">
        <v>567</v>
      </c>
      <c r="C236" s="528"/>
      <c r="D236" s="528"/>
      <c r="E236" s="528"/>
      <c r="F236" s="528"/>
      <c r="G236" s="528"/>
      <c r="H236" s="528"/>
      <c r="I236" s="529"/>
      <c r="J236" s="541">
        <f>L322+L339+L354+L368</f>
        <v>0</v>
      </c>
      <c r="K236" s="542"/>
      <c r="L236" s="626"/>
      <c r="M236" s="627"/>
    </row>
    <row r="237" spans="1:18" s="287" customFormat="1" ht="25.5" customHeight="1" x14ac:dyDescent="0.2">
      <c r="A237" s="45">
        <v>744</v>
      </c>
      <c r="B237" s="527" t="s">
        <v>1566</v>
      </c>
      <c r="C237" s="536"/>
      <c r="D237" s="536"/>
      <c r="E237" s="536"/>
      <c r="F237" s="536"/>
      <c r="G237" s="536"/>
      <c r="H237" s="536"/>
      <c r="I237" s="540"/>
      <c r="J237" s="541">
        <f>SUM(Code_7136,Code_7138)</f>
        <v>0</v>
      </c>
      <c r="K237" s="542"/>
      <c r="L237" s="626"/>
      <c r="M237" s="627"/>
      <c r="N237" s="612"/>
      <c r="O237" s="613"/>
      <c r="P237" s="613"/>
      <c r="Q237" s="613"/>
      <c r="R237" s="614"/>
    </row>
    <row r="238" spans="1:18" s="2" customFormat="1" ht="25.5" customHeight="1" x14ac:dyDescent="0.2">
      <c r="A238" s="45">
        <v>743</v>
      </c>
      <c r="B238" s="527" t="s">
        <v>1567</v>
      </c>
      <c r="C238" s="536"/>
      <c r="D238" s="536"/>
      <c r="E238" s="536"/>
      <c r="F238" s="536"/>
      <c r="G238" s="536"/>
      <c r="H238" s="536"/>
      <c r="I238" s="540"/>
      <c r="J238" s="541">
        <f>SUM(Code_7139,Code_7141)</f>
        <v>0</v>
      </c>
      <c r="K238" s="542"/>
      <c r="L238" s="628"/>
      <c r="M238" s="629"/>
      <c r="N238" s="650"/>
      <c r="O238" s="651"/>
      <c r="P238" s="651"/>
      <c r="Q238" s="651"/>
      <c r="R238" s="652"/>
    </row>
    <row r="239" spans="1:18" s="2" customFormat="1" ht="25.5" customHeight="1" x14ac:dyDescent="0.2">
      <c r="A239" s="567" t="s">
        <v>633</v>
      </c>
      <c r="B239" s="567"/>
      <c r="C239" s="567"/>
      <c r="D239" s="567"/>
      <c r="E239" s="567"/>
      <c r="F239" s="567"/>
      <c r="G239" s="567"/>
      <c r="H239" s="567"/>
      <c r="I239" s="567"/>
      <c r="J239" s="567"/>
      <c r="K239" s="674"/>
      <c r="L239" s="780" t="s">
        <v>2834</v>
      </c>
      <c r="M239" s="781"/>
    </row>
    <row r="240" spans="1:18" s="2" customFormat="1" ht="25.5" customHeight="1" x14ac:dyDescent="0.2">
      <c r="A240" s="20">
        <v>752</v>
      </c>
      <c r="B240" s="539" t="s">
        <v>499</v>
      </c>
      <c r="C240" s="528"/>
      <c r="D240" s="528"/>
      <c r="E240" s="528"/>
      <c r="F240" s="528"/>
      <c r="G240" s="528"/>
      <c r="H240" s="528"/>
      <c r="I240" s="528"/>
      <c r="J240" s="528"/>
      <c r="K240" s="529"/>
      <c r="L240" s="632" t="e">
        <f>ROUND((Code_0851/Code_0860)*Code_0760,0)</f>
        <v>#DIV/0!</v>
      </c>
      <c r="M240" s="633"/>
    </row>
    <row r="241" spans="1:18" s="2" customFormat="1" ht="25.5" customHeight="1" x14ac:dyDescent="0.2">
      <c r="A241" s="20">
        <v>754</v>
      </c>
      <c r="B241" s="539" t="s">
        <v>500</v>
      </c>
      <c r="C241" s="528"/>
      <c r="D241" s="528"/>
      <c r="E241" s="528"/>
      <c r="F241" s="528"/>
      <c r="G241" s="528"/>
      <c r="H241" s="528"/>
      <c r="I241" s="528"/>
      <c r="J241" s="528"/>
      <c r="K241" s="529"/>
      <c r="L241" s="632" t="e">
        <f>ROUND((Code_0853/Code_0860)*Code_0760,0)</f>
        <v>#DIV/0!</v>
      </c>
      <c r="M241" s="633"/>
    </row>
    <row r="242" spans="1:18" s="2" customFormat="1" ht="25.5" customHeight="1" x14ac:dyDescent="0.2">
      <c r="A242" s="15" t="str">
        <f>$A$33</f>
        <v xml:space="preserve"> </v>
      </c>
    </row>
    <row r="243" spans="1:18" s="2" customFormat="1" ht="25.5" customHeight="1" x14ac:dyDescent="0.2">
      <c r="A243" s="567" t="s">
        <v>634</v>
      </c>
      <c r="B243" s="567"/>
      <c r="C243" s="567"/>
      <c r="D243" s="567"/>
      <c r="E243" s="567"/>
      <c r="F243" s="567"/>
      <c r="G243" s="567"/>
      <c r="H243" s="567"/>
      <c r="I243" s="567"/>
      <c r="J243" s="567"/>
      <c r="K243" s="674"/>
      <c r="L243" s="780" t="s">
        <v>2834</v>
      </c>
      <c r="M243" s="781"/>
    </row>
    <row r="244" spans="1:18" s="2" customFormat="1" ht="25.5" customHeight="1" x14ac:dyDescent="0.2">
      <c r="A244" s="20">
        <v>601</v>
      </c>
      <c r="B244" s="539" t="s">
        <v>501</v>
      </c>
      <c r="C244" s="528"/>
      <c r="D244" s="528"/>
      <c r="E244" s="528"/>
      <c r="F244" s="528"/>
      <c r="G244" s="528"/>
      <c r="H244" s="528"/>
      <c r="I244" s="528"/>
      <c r="J244" s="528"/>
      <c r="K244" s="529"/>
      <c r="L244" s="915"/>
      <c r="M244" s="916"/>
    </row>
    <row r="245" spans="1:18" s="2" customFormat="1" ht="25.5" customHeight="1" x14ac:dyDescent="0.2">
      <c r="A245" s="20">
        <v>602</v>
      </c>
      <c r="B245" s="539" t="s">
        <v>502</v>
      </c>
      <c r="C245" s="528"/>
      <c r="D245" s="528"/>
      <c r="E245" s="528"/>
      <c r="F245" s="528"/>
      <c r="G245" s="528"/>
      <c r="H245" s="528"/>
      <c r="I245" s="528"/>
      <c r="J245" s="528"/>
      <c r="K245" s="529"/>
      <c r="L245" s="915"/>
      <c r="M245" s="916"/>
    </row>
    <row r="246" spans="1:18" s="2" customFormat="1" ht="25.5" customHeight="1" x14ac:dyDescent="0.2">
      <c r="A246" s="20">
        <v>604</v>
      </c>
      <c r="B246" s="539" t="s">
        <v>503</v>
      </c>
      <c r="C246" s="528"/>
      <c r="D246" s="528"/>
      <c r="E246" s="528"/>
      <c r="F246" s="528"/>
      <c r="G246" s="528"/>
      <c r="H246" s="528"/>
      <c r="I246" s="528"/>
      <c r="J246" s="528"/>
      <c r="K246" s="529"/>
      <c r="L246" s="915"/>
      <c r="M246" s="916"/>
    </row>
    <row r="247" spans="1:18" s="2" customFormat="1" ht="25.5" customHeight="1" x14ac:dyDescent="0.2">
      <c r="A247" s="20">
        <v>608</v>
      </c>
      <c r="B247" s="539" t="s">
        <v>504</v>
      </c>
      <c r="C247" s="528"/>
      <c r="D247" s="528"/>
      <c r="E247" s="528"/>
      <c r="F247" s="528"/>
      <c r="G247" s="528"/>
      <c r="H247" s="528"/>
      <c r="I247" s="528"/>
      <c r="J247" s="528"/>
      <c r="K247" s="529"/>
      <c r="L247" s="915"/>
      <c r="M247" s="916"/>
    </row>
    <row r="248" spans="1:18" s="2" customFormat="1" ht="25.5" customHeight="1" x14ac:dyDescent="0.2">
      <c r="A248" s="20">
        <v>615</v>
      </c>
      <c r="B248" s="539" t="s">
        <v>505</v>
      </c>
      <c r="C248" s="528"/>
      <c r="D248" s="528"/>
      <c r="E248" s="528"/>
      <c r="F248" s="528"/>
      <c r="G248" s="528"/>
      <c r="H248" s="528"/>
      <c r="I248" s="528"/>
      <c r="J248" s="528"/>
      <c r="K248" s="529"/>
      <c r="L248" s="915"/>
      <c r="M248" s="916"/>
    </row>
    <row r="249" spans="1:18" s="2" customFormat="1" ht="25.5" customHeight="1" x14ac:dyDescent="0.2">
      <c r="A249" s="20">
        <v>616</v>
      </c>
      <c r="B249" s="539" t="s">
        <v>506</v>
      </c>
      <c r="C249" s="528"/>
      <c r="D249" s="528"/>
      <c r="E249" s="528"/>
      <c r="F249" s="528"/>
      <c r="G249" s="528"/>
      <c r="H249" s="528"/>
      <c r="I249" s="528"/>
      <c r="J249" s="528"/>
      <c r="K249" s="529"/>
      <c r="L249" s="915"/>
      <c r="M249" s="916"/>
    </row>
    <row r="250" spans="1:18" s="2" customFormat="1" ht="25.5" customHeight="1" x14ac:dyDescent="0.2">
      <c r="A250" s="20">
        <v>618</v>
      </c>
      <c r="B250" s="539" t="s">
        <v>507</v>
      </c>
      <c r="C250" s="528"/>
      <c r="D250" s="528"/>
      <c r="E250" s="528"/>
      <c r="F250" s="528"/>
      <c r="G250" s="528"/>
      <c r="H250" s="528"/>
      <c r="I250" s="528"/>
      <c r="J250" s="528"/>
      <c r="K250" s="529"/>
      <c r="L250" s="915"/>
      <c r="M250" s="916"/>
    </row>
    <row r="251" spans="1:18" s="2" customFormat="1" ht="25.5" customHeight="1" x14ac:dyDescent="0.2">
      <c r="A251" s="20">
        <v>625</v>
      </c>
      <c r="B251" s="539" t="s">
        <v>511</v>
      </c>
      <c r="C251" s="528"/>
      <c r="D251" s="528"/>
      <c r="E251" s="528"/>
      <c r="F251" s="528"/>
      <c r="G251" s="528"/>
      <c r="H251" s="528"/>
      <c r="I251" s="528"/>
      <c r="J251" s="528"/>
      <c r="K251" s="529"/>
      <c r="L251" s="915"/>
      <c r="M251" s="916"/>
    </row>
    <row r="252" spans="1:18" s="2" customFormat="1" ht="25.5" customHeight="1" x14ac:dyDescent="0.2">
      <c r="A252" s="20">
        <v>622</v>
      </c>
      <c r="B252" s="539" t="s">
        <v>512</v>
      </c>
      <c r="C252" s="528"/>
      <c r="D252" s="528"/>
      <c r="E252" s="528"/>
      <c r="F252" s="528"/>
      <c r="G252" s="528"/>
      <c r="H252" s="528"/>
      <c r="I252" s="528"/>
      <c r="J252" s="528"/>
      <c r="K252" s="529"/>
      <c r="L252" s="915"/>
      <c r="M252" s="916"/>
    </row>
    <row r="253" spans="1:18" s="2" customFormat="1" ht="25.5" customHeight="1" x14ac:dyDescent="0.2">
      <c r="A253" s="20">
        <v>623</v>
      </c>
      <c r="B253" s="539" t="s">
        <v>513</v>
      </c>
      <c r="C253" s="528"/>
      <c r="D253" s="528"/>
      <c r="E253" s="528"/>
      <c r="F253" s="528"/>
      <c r="G253" s="528"/>
      <c r="H253" s="528"/>
      <c r="I253" s="528"/>
      <c r="J253" s="528"/>
      <c r="K253" s="529"/>
      <c r="L253" s="915"/>
      <c r="M253" s="916"/>
    </row>
    <row r="254" spans="1:18" s="2" customFormat="1" ht="25.5" customHeight="1" x14ac:dyDescent="0.2">
      <c r="A254" s="20">
        <v>619</v>
      </c>
      <c r="B254" s="539" t="s">
        <v>514</v>
      </c>
      <c r="C254" s="528"/>
      <c r="D254" s="528"/>
      <c r="E254" s="528"/>
      <c r="F254" s="528"/>
      <c r="G254" s="528"/>
      <c r="H254" s="528"/>
      <c r="I254" s="528"/>
      <c r="J254" s="528"/>
      <c r="K254" s="529"/>
      <c r="L254" s="632">
        <f>L255-SUM(L244:M250,L251:M253)</f>
        <v>0</v>
      </c>
      <c r="M254" s="633"/>
    </row>
    <row r="255" spans="1:18" s="2" customFormat="1" ht="25.5" customHeight="1" x14ac:dyDescent="0.2">
      <c r="A255" s="21">
        <v>600</v>
      </c>
      <c r="B255" s="522" t="s">
        <v>515</v>
      </c>
      <c r="C255" s="523"/>
      <c r="D255" s="523"/>
      <c r="E255" s="523"/>
      <c r="F255" s="523"/>
      <c r="G255" s="523"/>
      <c r="H255" s="523"/>
      <c r="I255" s="523"/>
      <c r="J255" s="523"/>
      <c r="K255" s="524"/>
      <c r="L255" s="632">
        <f>L112</f>
        <v>0</v>
      </c>
      <c r="M255" s="633"/>
      <c r="N255" s="644" t="str">
        <f>IF(L255&lt;0,"This should be a positive number"," ")</f>
        <v xml:space="preserve"> </v>
      </c>
      <c r="O255" s="645"/>
      <c r="P255" s="645"/>
      <c r="Q255" s="645"/>
      <c r="R255" s="617"/>
    </row>
    <row r="256" spans="1:18" s="2" customFormat="1" ht="25.5" customHeight="1" x14ac:dyDescent="0.2">
      <c r="A256" s="40"/>
    </row>
    <row r="257" spans="1:18" s="2" customFormat="1" ht="25.5" customHeight="1" x14ac:dyDescent="0.2">
      <c r="A257" s="566" t="s">
        <v>516</v>
      </c>
      <c r="B257" s="634"/>
      <c r="C257" s="634"/>
      <c r="D257" s="634"/>
      <c r="E257" s="634"/>
      <c r="F257" s="634"/>
      <c r="G257" s="634"/>
      <c r="H257" s="634"/>
      <c r="I257" s="634"/>
      <c r="J257" s="634"/>
      <c r="K257" s="634"/>
      <c r="L257" s="634"/>
      <c r="M257" s="634"/>
    </row>
    <row r="258" spans="1:18" s="2" customFormat="1" ht="25.5" customHeight="1" x14ac:dyDescent="0.2">
      <c r="A258" s="773" t="s">
        <v>1514</v>
      </c>
      <c r="B258" s="567"/>
      <c r="C258" s="567"/>
      <c r="D258" s="567"/>
      <c r="E258" s="567"/>
      <c r="F258" s="567"/>
      <c r="G258" s="567"/>
      <c r="H258" s="567"/>
      <c r="I258" s="567"/>
      <c r="J258" s="567"/>
      <c r="K258" s="674"/>
      <c r="L258" s="780" t="s">
        <v>2834</v>
      </c>
      <c r="M258" s="781"/>
    </row>
    <row r="259" spans="1:18" s="2" customFormat="1" ht="25.5" customHeight="1" x14ac:dyDescent="0.2">
      <c r="A259" s="21">
        <v>7567</v>
      </c>
      <c r="B259" s="927" t="s">
        <v>982</v>
      </c>
      <c r="C259" s="648"/>
      <c r="D259" s="648"/>
      <c r="E259" s="648"/>
      <c r="F259" s="648"/>
      <c r="G259" s="648"/>
      <c r="H259" s="648"/>
      <c r="I259" s="648"/>
      <c r="J259" s="648"/>
      <c r="K259" s="649"/>
      <c r="L259" s="880">
        <f>J260+J261</f>
        <v>0</v>
      </c>
      <c r="M259" s="881"/>
      <c r="N259" s="650" t="str">
        <f>IF(L259&lt;&gt;Code_9999,"This should be different than Provision for Bad Debts"," ")</f>
        <v xml:space="preserve"> </v>
      </c>
      <c r="O259" s="651"/>
      <c r="P259" s="651"/>
      <c r="Q259" s="651"/>
      <c r="R259" s="652"/>
    </row>
    <row r="260" spans="1:18" s="2" customFormat="1" ht="25.5" customHeight="1" x14ac:dyDescent="0.2">
      <c r="A260" s="20">
        <v>7568</v>
      </c>
      <c r="B260" s="539" t="s">
        <v>518</v>
      </c>
      <c r="C260" s="528"/>
      <c r="D260" s="528"/>
      <c r="E260" s="528"/>
      <c r="F260" s="528"/>
      <c r="G260" s="528"/>
      <c r="H260" s="528"/>
      <c r="I260" s="529"/>
      <c r="J260" s="915"/>
      <c r="K260" s="916"/>
      <c r="L260" s="790"/>
      <c r="M260" s="791"/>
    </row>
    <row r="261" spans="1:18" s="2" customFormat="1" ht="25.5" customHeight="1" x14ac:dyDescent="0.2">
      <c r="A261" s="20">
        <v>7569</v>
      </c>
      <c r="B261" s="539" t="s">
        <v>519</v>
      </c>
      <c r="C261" s="528"/>
      <c r="D261" s="528"/>
      <c r="E261" s="528"/>
      <c r="F261" s="528"/>
      <c r="G261" s="528"/>
      <c r="H261" s="528"/>
      <c r="I261" s="529"/>
      <c r="J261" s="915"/>
      <c r="K261" s="916"/>
      <c r="L261" s="792"/>
      <c r="M261" s="793"/>
    </row>
    <row r="262" spans="1:18" s="2" customFormat="1" ht="25.5" customHeight="1" x14ac:dyDescent="0.2">
      <c r="A262" s="15" t="str">
        <f>$A$33</f>
        <v xml:space="preserve"> </v>
      </c>
    </row>
    <row r="263" spans="1:18" s="2" customFormat="1" ht="25.5" customHeight="1" x14ac:dyDescent="0.2">
      <c r="A263" s="566" t="s">
        <v>520</v>
      </c>
      <c r="B263" s="634"/>
      <c r="C263" s="634"/>
      <c r="D263" s="634"/>
      <c r="E263" s="634"/>
      <c r="F263" s="634"/>
      <c r="G263" s="634"/>
      <c r="H263" s="634"/>
      <c r="I263" s="634"/>
      <c r="J263" s="634"/>
      <c r="K263" s="634"/>
      <c r="L263" s="634"/>
      <c r="M263" s="634"/>
      <c r="N263" s="199"/>
      <c r="O263" s="199"/>
      <c r="P263" s="199"/>
      <c r="Q263" s="199"/>
      <c r="R263" s="200"/>
    </row>
    <row r="264" spans="1:18" s="2" customFormat="1" ht="25.5" customHeight="1" x14ac:dyDescent="0.2">
      <c r="A264" s="566" t="s">
        <v>378</v>
      </c>
      <c r="B264" s="634"/>
      <c r="C264" s="634"/>
      <c r="D264" s="634"/>
      <c r="E264" s="634"/>
      <c r="F264" s="634"/>
      <c r="G264" s="634"/>
      <c r="H264" s="634"/>
      <c r="I264" s="634"/>
      <c r="J264" s="634"/>
      <c r="K264" s="634"/>
      <c r="L264" s="634"/>
      <c r="M264" s="634"/>
      <c r="N264" s="199"/>
      <c r="O264" s="199"/>
      <c r="P264" s="199"/>
      <c r="Q264" s="199"/>
      <c r="R264" s="200"/>
    </row>
    <row r="265" spans="1:18" s="2" customFormat="1" ht="25.5" customHeight="1" x14ac:dyDescent="0.2">
      <c r="A265" s="773" t="s">
        <v>1515</v>
      </c>
      <c r="B265" s="567"/>
      <c r="C265" s="567"/>
      <c r="D265" s="567"/>
      <c r="E265" s="567"/>
      <c r="F265" s="567"/>
      <c r="G265" s="567"/>
      <c r="H265" s="567"/>
      <c r="I265" s="567"/>
      <c r="J265" s="567"/>
      <c r="K265" s="674"/>
      <c r="L265" s="780" t="s">
        <v>2834</v>
      </c>
      <c r="M265" s="781"/>
      <c r="N265" s="1208" t="s">
        <v>1379</v>
      </c>
      <c r="O265" s="1208"/>
      <c r="P265" s="1208"/>
      <c r="Q265" s="1208"/>
      <c r="R265" s="1207" t="s">
        <v>1230</v>
      </c>
    </row>
    <row r="266" spans="1:18" s="2" customFormat="1" ht="25.5" customHeight="1" x14ac:dyDescent="0.2">
      <c r="A266" s="20">
        <v>632</v>
      </c>
      <c r="B266" s="539" t="s">
        <v>379</v>
      </c>
      <c r="C266" s="528"/>
      <c r="D266" s="528"/>
      <c r="E266" s="528"/>
      <c r="F266" s="528"/>
      <c r="G266" s="528"/>
      <c r="H266" s="528"/>
      <c r="I266" s="528"/>
      <c r="J266" s="528"/>
      <c r="K266" s="529"/>
      <c r="L266" s="941"/>
      <c r="M266" s="942"/>
      <c r="N266" s="1200" t="str">
        <f>IF(OR(AND(ISBLANK(L571),S571&lt;50), AND(NOT(ISBLANK(L571)),L571&lt;50)),"Based on your hospital's licensed bed size, you are NOT required to complete the detail lines of Administrative Expenses.","")</f>
        <v/>
      </c>
      <c r="O266" s="1201"/>
      <c r="P266" s="1201"/>
      <c r="Q266" s="1201"/>
      <c r="R266" s="1207"/>
    </row>
    <row r="267" spans="1:18" s="2" customFormat="1" ht="25.5" customHeight="1" x14ac:dyDescent="0.2">
      <c r="A267" s="20">
        <v>634</v>
      </c>
      <c r="B267" s="539" t="s">
        <v>380</v>
      </c>
      <c r="C267" s="528"/>
      <c r="D267" s="528"/>
      <c r="E267" s="528"/>
      <c r="F267" s="528"/>
      <c r="G267" s="528"/>
      <c r="H267" s="528"/>
      <c r="I267" s="528"/>
      <c r="J267" s="528"/>
      <c r="K267" s="529"/>
      <c r="L267" s="941"/>
      <c r="M267" s="942"/>
      <c r="N267" s="1200"/>
      <c r="O267" s="1201"/>
      <c r="P267" s="1201"/>
      <c r="Q267" s="1201"/>
      <c r="R267" s="1207"/>
    </row>
    <row r="268" spans="1:18" s="2" customFormat="1" ht="25.5" customHeight="1" x14ac:dyDescent="0.2">
      <c r="A268" s="20">
        <v>635</v>
      </c>
      <c r="B268" s="539" t="s">
        <v>381</v>
      </c>
      <c r="C268" s="528"/>
      <c r="D268" s="528"/>
      <c r="E268" s="528"/>
      <c r="F268" s="528"/>
      <c r="G268" s="528"/>
      <c r="H268" s="528"/>
      <c r="I268" s="528"/>
      <c r="J268" s="528"/>
      <c r="K268" s="529"/>
      <c r="L268" s="941"/>
      <c r="M268" s="942"/>
      <c r="N268" s="1200"/>
      <c r="O268" s="1201"/>
      <c r="P268" s="1201"/>
      <c r="Q268" s="1201"/>
      <c r="R268" s="1207"/>
    </row>
    <row r="269" spans="1:18" s="2" customFormat="1" ht="25.5" customHeight="1" x14ac:dyDescent="0.2">
      <c r="A269" s="20">
        <v>636</v>
      </c>
      <c r="B269" s="539" t="s">
        <v>382</v>
      </c>
      <c r="C269" s="528"/>
      <c r="D269" s="528"/>
      <c r="E269" s="528"/>
      <c r="F269" s="528"/>
      <c r="G269" s="528"/>
      <c r="H269" s="528"/>
      <c r="I269" s="528"/>
      <c r="J269" s="528"/>
      <c r="K269" s="529"/>
      <c r="L269" s="941"/>
      <c r="M269" s="942"/>
      <c r="N269" s="1200"/>
      <c r="O269" s="1201"/>
      <c r="P269" s="1201"/>
      <c r="Q269" s="1201"/>
      <c r="R269" s="1207"/>
    </row>
    <row r="270" spans="1:18" s="2" customFormat="1" ht="25.5" customHeight="1" x14ac:dyDescent="0.2">
      <c r="A270" s="20">
        <v>639</v>
      </c>
      <c r="B270" s="539" t="s">
        <v>383</v>
      </c>
      <c r="C270" s="528"/>
      <c r="D270" s="528"/>
      <c r="E270" s="528"/>
      <c r="F270" s="528"/>
      <c r="G270" s="528"/>
      <c r="H270" s="528"/>
      <c r="I270" s="528"/>
      <c r="J270" s="528"/>
      <c r="K270" s="529"/>
      <c r="L270" s="941"/>
      <c r="M270" s="942"/>
      <c r="N270" s="1200"/>
      <c r="O270" s="1201"/>
      <c r="P270" s="1201"/>
      <c r="Q270" s="1201"/>
      <c r="R270" s="1207"/>
    </row>
    <row r="271" spans="1:18" s="2" customFormat="1" ht="25.5" customHeight="1" x14ac:dyDescent="0.2">
      <c r="A271" s="20">
        <v>647</v>
      </c>
      <c r="B271" s="539" t="s">
        <v>384</v>
      </c>
      <c r="C271" s="528"/>
      <c r="D271" s="528"/>
      <c r="E271" s="528"/>
      <c r="F271" s="528"/>
      <c r="G271" s="528"/>
      <c r="H271" s="528"/>
      <c r="I271" s="528"/>
      <c r="J271" s="528"/>
      <c r="K271" s="529"/>
      <c r="L271" s="941"/>
      <c r="M271" s="942"/>
      <c r="N271" s="1200"/>
      <c r="O271" s="1201"/>
      <c r="P271" s="1201"/>
      <c r="Q271" s="1201"/>
      <c r="R271" s="1207"/>
    </row>
    <row r="272" spans="1:18" s="2" customFormat="1" ht="25.5" customHeight="1" x14ac:dyDescent="0.2">
      <c r="A272" s="20">
        <v>648</v>
      </c>
      <c r="B272" s="539" t="s">
        <v>385</v>
      </c>
      <c r="C272" s="528"/>
      <c r="D272" s="528"/>
      <c r="E272" s="528"/>
      <c r="F272" s="528"/>
      <c r="G272" s="528"/>
      <c r="H272" s="528"/>
      <c r="I272" s="528"/>
      <c r="J272" s="528"/>
      <c r="K272" s="529"/>
      <c r="L272" s="941"/>
      <c r="M272" s="942"/>
      <c r="N272" s="1200"/>
      <c r="O272" s="1201"/>
      <c r="P272" s="1201"/>
      <c r="Q272" s="1201"/>
      <c r="R272" s="1207"/>
    </row>
    <row r="273" spans="1:18" s="2" customFormat="1" ht="25.5" customHeight="1" x14ac:dyDescent="0.2">
      <c r="A273" s="20">
        <v>641</v>
      </c>
      <c r="B273" s="539" t="s">
        <v>386</v>
      </c>
      <c r="C273" s="528"/>
      <c r="D273" s="528"/>
      <c r="E273" s="528"/>
      <c r="F273" s="528"/>
      <c r="G273" s="528"/>
      <c r="H273" s="528"/>
      <c r="I273" s="528"/>
      <c r="J273" s="528"/>
      <c r="K273" s="529"/>
      <c r="L273" s="943">
        <f>IF(AND(ISBLANK(L266),ISBLANK(L267),ISBLANK(L268),ISBLANK(L269),ISBLANK(L270),ISBLANK(L271),ISBLANK(L272)),,L274-SUM(L266:M272))</f>
        <v>0</v>
      </c>
      <c r="M273" s="944"/>
      <c r="N273" s="1200"/>
      <c r="O273" s="1201"/>
      <c r="P273" s="1201"/>
      <c r="Q273" s="1201"/>
      <c r="R273" s="1207"/>
    </row>
    <row r="274" spans="1:18" s="2" customFormat="1" ht="25.5" customHeight="1" x14ac:dyDescent="0.2">
      <c r="A274" s="21">
        <v>630</v>
      </c>
      <c r="B274" s="928" t="s">
        <v>387</v>
      </c>
      <c r="C274" s="929"/>
      <c r="D274" s="929"/>
      <c r="E274" s="929"/>
      <c r="F274" s="929"/>
      <c r="G274" s="929"/>
      <c r="H274" s="929"/>
      <c r="I274" s="929"/>
      <c r="J274" s="929"/>
      <c r="K274" s="930"/>
      <c r="L274" s="630"/>
      <c r="M274" s="631"/>
      <c r="N274" s="1"/>
      <c r="O274" s="1"/>
      <c r="P274" s="1"/>
      <c r="Q274" s="1"/>
      <c r="R274" s="1207"/>
    </row>
    <row r="275" spans="1:18" s="2" customFormat="1" ht="25.5" customHeight="1" x14ac:dyDescent="0.2">
      <c r="A275" s="36"/>
      <c r="B275" s="41"/>
      <c r="C275" s="41"/>
      <c r="D275" s="41"/>
      <c r="E275" s="41"/>
      <c r="F275" s="41"/>
      <c r="G275" s="41"/>
      <c r="H275" s="41"/>
      <c r="I275" s="41"/>
      <c r="J275" s="41"/>
      <c r="K275" s="41"/>
      <c r="L275" s="241"/>
      <c r="M275" s="241"/>
      <c r="N275" s="1"/>
      <c r="O275" s="1"/>
      <c r="P275" s="1"/>
      <c r="Q275" s="1"/>
      <c r="R275" s="1207"/>
    </row>
    <row r="276" spans="1:18" s="2" customFormat="1" ht="25.5" customHeight="1" x14ac:dyDescent="0.2">
      <c r="A276" s="566" t="s">
        <v>520</v>
      </c>
      <c r="B276" s="634"/>
      <c r="C276" s="634"/>
      <c r="D276" s="634"/>
      <c r="E276" s="634"/>
      <c r="F276" s="634"/>
      <c r="G276" s="634"/>
      <c r="H276" s="634"/>
      <c r="I276" s="634"/>
      <c r="J276" s="634"/>
      <c r="K276" s="634"/>
      <c r="L276" s="634"/>
      <c r="M276" s="634"/>
      <c r="N276" s="1"/>
      <c r="O276" s="1"/>
      <c r="P276" s="1"/>
      <c r="Q276" s="1"/>
      <c r="R276" s="1207"/>
    </row>
    <row r="277" spans="1:18" s="2" customFormat="1" ht="25.5" customHeight="1" x14ac:dyDescent="0.2">
      <c r="A277" s="773" t="s">
        <v>1516</v>
      </c>
      <c r="B277" s="567"/>
      <c r="C277" s="567"/>
      <c r="D277" s="567"/>
      <c r="E277" s="567"/>
      <c r="F277" s="567"/>
      <c r="G277" s="567"/>
      <c r="H277" s="567"/>
      <c r="I277" s="567"/>
      <c r="J277" s="567"/>
      <c r="K277" s="674"/>
      <c r="L277" s="780" t="s">
        <v>2834</v>
      </c>
      <c r="M277" s="781"/>
      <c r="N277" s="1"/>
      <c r="O277" s="1"/>
      <c r="P277" s="1"/>
      <c r="Q277" s="1"/>
      <c r="R277" s="1207"/>
    </row>
    <row r="278" spans="1:18" s="2" customFormat="1" ht="25.5" customHeight="1" x14ac:dyDescent="0.2">
      <c r="A278" s="20">
        <v>637</v>
      </c>
      <c r="B278" s="647" t="s">
        <v>388</v>
      </c>
      <c r="C278" s="648"/>
      <c r="D278" s="648"/>
      <c r="E278" s="648"/>
      <c r="F278" s="648"/>
      <c r="G278" s="648"/>
      <c r="H278" s="648"/>
      <c r="I278" s="648"/>
      <c r="J278" s="648"/>
      <c r="K278" s="649"/>
      <c r="L278" s="915"/>
      <c r="M278" s="916"/>
      <c r="N278" s="615" t="str">
        <f>IF(ISBLANK(L278),"This item can not be left blank. Please review instructions.","")</f>
        <v>This item can not be left blank. Please review instructions.</v>
      </c>
      <c r="O278" s="616"/>
      <c r="P278" s="616"/>
      <c r="Q278" s="616"/>
      <c r="R278" s="617"/>
    </row>
    <row r="279" spans="1:18" s="2" customFormat="1" ht="25.5" customHeight="1" x14ac:dyDescent="0.2">
      <c r="A279" s="40"/>
      <c r="N279" s="902" t="s">
        <v>1570</v>
      </c>
      <c r="O279" s="896"/>
      <c r="P279" s="896"/>
      <c r="Q279" s="896"/>
      <c r="R279" s="897"/>
    </row>
    <row r="280" spans="1:18" s="2" customFormat="1" ht="25.5" customHeight="1" x14ac:dyDescent="0.2">
      <c r="A280" s="566" t="s">
        <v>520</v>
      </c>
      <c r="B280" s="634"/>
      <c r="C280" s="634"/>
      <c r="D280" s="634"/>
      <c r="E280" s="634"/>
      <c r="F280" s="634"/>
      <c r="G280" s="634"/>
      <c r="H280" s="634"/>
      <c r="I280" s="634"/>
      <c r="J280" s="634"/>
      <c r="K280" s="634"/>
      <c r="L280" s="634"/>
      <c r="M280" s="634"/>
      <c r="N280" s="981"/>
      <c r="O280" s="646"/>
      <c r="P280" s="646"/>
      <c r="Q280" s="646"/>
      <c r="R280" s="982"/>
    </row>
    <row r="281" spans="1:18" s="2" customFormat="1" ht="25.5" customHeight="1" x14ac:dyDescent="0.2">
      <c r="A281" s="773" t="s">
        <v>1517</v>
      </c>
      <c r="B281" s="567"/>
      <c r="C281" s="567"/>
      <c r="D281" s="567"/>
      <c r="E281" s="567"/>
      <c r="F281" s="567"/>
      <c r="G281" s="567"/>
      <c r="H281" s="567"/>
      <c r="I281" s="567"/>
      <c r="J281" s="567"/>
      <c r="K281" s="674"/>
      <c r="L281" s="780" t="s">
        <v>2834</v>
      </c>
      <c r="M281" s="781"/>
      <c r="N281" s="898"/>
      <c r="O281" s="899"/>
      <c r="P281" s="899"/>
      <c r="Q281" s="899"/>
      <c r="R281" s="900"/>
    </row>
    <row r="282" spans="1:18" s="2" customFormat="1" ht="25.5" customHeight="1" x14ac:dyDescent="0.2">
      <c r="A282" s="20">
        <v>650</v>
      </c>
      <c r="B282" s="647" t="s">
        <v>389</v>
      </c>
      <c r="C282" s="648"/>
      <c r="D282" s="648"/>
      <c r="E282" s="648"/>
      <c r="F282" s="648"/>
      <c r="G282" s="648"/>
      <c r="H282" s="648"/>
      <c r="I282" s="648"/>
      <c r="J282" s="648"/>
      <c r="K282" s="649"/>
      <c r="L282" s="915"/>
      <c r="M282" s="916"/>
      <c r="N282" s="615" t="str">
        <f>IF(ISBLANK(L282),"This item can not be left blank. Please review instructions.","")</f>
        <v>This item can not be left blank. Please review instructions.</v>
      </c>
      <c r="O282" s="616"/>
      <c r="P282" s="616"/>
      <c r="Q282" s="616"/>
      <c r="R282" s="617"/>
    </row>
    <row r="283" spans="1:18" s="2" customFormat="1" ht="25.5" customHeight="1" x14ac:dyDescent="0.2">
      <c r="A283" s="20">
        <v>655</v>
      </c>
      <c r="B283" s="647" t="s">
        <v>390</v>
      </c>
      <c r="C283" s="648"/>
      <c r="D283" s="648"/>
      <c r="E283" s="648"/>
      <c r="F283" s="648"/>
      <c r="G283" s="648"/>
      <c r="H283" s="648"/>
      <c r="I283" s="648"/>
      <c r="J283" s="648"/>
      <c r="K283" s="649"/>
      <c r="L283" s="915"/>
      <c r="M283" s="916"/>
      <c r="N283" s="615" t="str">
        <f>IF(ISBLANK(L283),"This item can not be left blank. Please review instructions.","")</f>
        <v>This item can not be left blank. Please review instructions.</v>
      </c>
      <c r="O283" s="616"/>
      <c r="P283" s="616"/>
      <c r="Q283" s="616"/>
      <c r="R283" s="617"/>
    </row>
    <row r="284" spans="1:18" s="2" customFormat="1" ht="25.5" customHeight="1" x14ac:dyDescent="0.2">
      <c r="A284" s="15" t="str">
        <f>$A$33</f>
        <v xml:space="preserve"> </v>
      </c>
    </row>
    <row r="285" spans="1:18" s="2" customFormat="1" ht="25.5" customHeight="1" x14ac:dyDescent="0.2">
      <c r="A285" s="961" t="s">
        <v>391</v>
      </c>
      <c r="B285" s="961"/>
      <c r="C285" s="961"/>
      <c r="D285" s="961"/>
      <c r="E285" s="961"/>
      <c r="F285" s="961"/>
      <c r="G285" s="961"/>
      <c r="H285" s="961"/>
      <c r="I285" s="961"/>
      <c r="J285" s="961"/>
      <c r="K285" s="961"/>
      <c r="L285" s="961"/>
      <c r="M285" s="961"/>
    </row>
    <row r="286" spans="1:18" s="2" customFormat="1" ht="25.5" customHeight="1" x14ac:dyDescent="0.2">
      <c r="A286" s="773" t="s">
        <v>1518</v>
      </c>
      <c r="B286" s="773"/>
      <c r="C286" s="773"/>
      <c r="D286" s="773"/>
      <c r="E286" s="773"/>
      <c r="F286" s="773"/>
      <c r="G286" s="773"/>
      <c r="H286" s="773"/>
      <c r="I286" s="773"/>
      <c r="J286" s="773"/>
      <c r="K286" s="773"/>
      <c r="L286" s="780" t="s">
        <v>2834</v>
      </c>
      <c r="M286" s="781"/>
    </row>
    <row r="287" spans="1:18" s="2" customFormat="1" ht="25.5" customHeight="1" x14ac:dyDescent="0.2">
      <c r="A287" s="42"/>
      <c r="B287" s="42"/>
      <c r="C287" s="42"/>
      <c r="D287" s="42"/>
      <c r="E287" s="42"/>
      <c r="F287" s="42"/>
      <c r="G287" s="42"/>
      <c r="H287" s="969" t="s">
        <v>392</v>
      </c>
      <c r="I287" s="969"/>
      <c r="J287" s="969"/>
      <c r="K287" s="969" t="s">
        <v>393</v>
      </c>
      <c r="L287" s="969"/>
      <c r="M287" s="969"/>
    </row>
    <row r="288" spans="1:18" s="2" customFormat="1" ht="25.5" customHeight="1" x14ac:dyDescent="0.2">
      <c r="A288" s="201"/>
      <c r="B288" s="962" t="s">
        <v>394</v>
      </c>
      <c r="C288" s="963"/>
      <c r="D288" s="963"/>
      <c r="E288" s="963"/>
      <c r="F288" s="963"/>
      <c r="G288" s="964"/>
      <c r="H288" s="43">
        <v>7310</v>
      </c>
      <c r="I288" s="954" t="e">
        <f>ROUND((Code_0600/(Code_0740+Code_0770))*(-1*(Code_0762)),0)</f>
        <v>#DIV/0!</v>
      </c>
      <c r="J288" s="632"/>
      <c r="K288" s="965"/>
      <c r="L288" s="966"/>
      <c r="M288" s="966"/>
      <c r="N288" s="970" t="s">
        <v>1291</v>
      </c>
      <c r="O288" s="971"/>
      <c r="P288" s="971"/>
      <c r="Q288" s="971"/>
      <c r="R288" s="972"/>
    </row>
    <row r="289" spans="1:18" s="2" customFormat="1" ht="25.5" customHeight="1" x14ac:dyDescent="0.2">
      <c r="A289" s="967"/>
      <c r="B289" s="948" t="s">
        <v>1983</v>
      </c>
      <c r="C289" s="885"/>
      <c r="D289" s="885"/>
      <c r="E289" s="885"/>
      <c r="F289" s="885"/>
      <c r="G289" s="949"/>
      <c r="H289" s="952">
        <v>7577</v>
      </c>
      <c r="I289" s="954" t="e">
        <f>IF(ROUND((Code_7253+Code_7256)*(Code_0600/(Code_0740+Code_0770))-(Code_7253+Code_7256+Code_7263+Code_7266),0)&gt;0,ROUND((Code_7253+Code_7256)*(Code_0600/(Code_0740+Code_0770))-(Code_7253+Code_7256+Code_7263+Code_7266),0),0)</f>
        <v>#DIV/0!</v>
      </c>
      <c r="J289" s="632"/>
      <c r="K289" s="966"/>
      <c r="L289" s="966"/>
      <c r="M289" s="966"/>
      <c r="N289" s="973"/>
      <c r="O289" s="974"/>
      <c r="P289" s="974"/>
      <c r="Q289" s="974"/>
      <c r="R289" s="975"/>
    </row>
    <row r="290" spans="1:18" s="2" customFormat="1" ht="25.5" customHeight="1" x14ac:dyDescent="0.2">
      <c r="A290" s="968"/>
      <c r="B290" s="950"/>
      <c r="C290" s="950"/>
      <c r="D290" s="950"/>
      <c r="E290" s="950"/>
      <c r="F290" s="950"/>
      <c r="G290" s="951"/>
      <c r="H290" s="953"/>
      <c r="I290" s="955"/>
      <c r="J290" s="956"/>
      <c r="K290" s="966"/>
      <c r="L290" s="966"/>
      <c r="M290" s="966"/>
      <c r="N290" s="973"/>
      <c r="O290" s="974"/>
      <c r="P290" s="974"/>
      <c r="Q290" s="974"/>
      <c r="R290" s="975"/>
    </row>
    <row r="291" spans="1:18" s="2" customFormat="1" ht="25.5" customHeight="1" x14ac:dyDescent="0.2">
      <c r="A291" s="201"/>
      <c r="B291" s="805" t="s">
        <v>395</v>
      </c>
      <c r="C291" s="937"/>
      <c r="D291" s="937"/>
      <c r="E291" s="937"/>
      <c r="F291" s="937"/>
      <c r="G291" s="938"/>
      <c r="H291" s="43">
        <v>7578</v>
      </c>
      <c r="I291" s="947"/>
      <c r="J291" s="947"/>
      <c r="K291" s="43">
        <v>7586</v>
      </c>
      <c r="L291" s="979"/>
      <c r="M291" s="979"/>
      <c r="N291" s="973"/>
      <c r="O291" s="974"/>
      <c r="P291" s="974"/>
      <c r="Q291" s="974"/>
      <c r="R291" s="975"/>
    </row>
    <row r="292" spans="1:18" s="2" customFormat="1" ht="25.5" customHeight="1" x14ac:dyDescent="0.2">
      <c r="A292" s="201"/>
      <c r="B292" s="805" t="s">
        <v>396</v>
      </c>
      <c r="C292" s="937"/>
      <c r="D292" s="937"/>
      <c r="E292" s="937"/>
      <c r="F292" s="937"/>
      <c r="G292" s="938"/>
      <c r="H292" s="43">
        <v>7579</v>
      </c>
      <c r="I292" s="980"/>
      <c r="J292" s="980"/>
      <c r="K292" s="43">
        <v>7587</v>
      </c>
      <c r="L292" s="947"/>
      <c r="M292" s="947"/>
      <c r="N292" s="973"/>
      <c r="O292" s="974"/>
      <c r="P292" s="974"/>
      <c r="Q292" s="974"/>
      <c r="R292" s="975"/>
    </row>
    <row r="293" spans="1:18" s="2" customFormat="1" ht="25.5" customHeight="1" x14ac:dyDescent="0.2">
      <c r="A293" s="201"/>
      <c r="B293" s="805" t="s">
        <v>397</v>
      </c>
      <c r="C293" s="937"/>
      <c r="D293" s="937"/>
      <c r="E293" s="937"/>
      <c r="F293" s="937"/>
      <c r="G293" s="938"/>
      <c r="H293" s="43">
        <v>7580</v>
      </c>
      <c r="I293" s="947"/>
      <c r="J293" s="947"/>
      <c r="K293" s="43">
        <v>7588</v>
      </c>
      <c r="L293" s="947"/>
      <c r="M293" s="947"/>
      <c r="N293" s="973"/>
      <c r="O293" s="974"/>
      <c r="P293" s="974"/>
      <c r="Q293" s="974"/>
      <c r="R293" s="975"/>
    </row>
    <row r="294" spans="1:18" s="2" customFormat="1" ht="25.5" customHeight="1" x14ac:dyDescent="0.2">
      <c r="A294" s="201"/>
      <c r="B294" s="805" t="s">
        <v>398</v>
      </c>
      <c r="C294" s="937"/>
      <c r="D294" s="937"/>
      <c r="E294" s="937"/>
      <c r="F294" s="937"/>
      <c r="G294" s="938"/>
      <c r="H294" s="43">
        <v>7581</v>
      </c>
      <c r="I294" s="947"/>
      <c r="J294" s="947"/>
      <c r="K294" s="43">
        <v>7589</v>
      </c>
      <c r="L294" s="947"/>
      <c r="M294" s="947"/>
      <c r="N294" s="973"/>
      <c r="O294" s="974"/>
      <c r="P294" s="974"/>
      <c r="Q294" s="974"/>
      <c r="R294" s="975"/>
    </row>
    <row r="295" spans="1:18" s="2" customFormat="1" ht="25.5" customHeight="1" x14ac:dyDescent="0.2">
      <c r="A295" s="201"/>
      <c r="B295" s="805" t="s">
        <v>399</v>
      </c>
      <c r="C295" s="937"/>
      <c r="D295" s="937"/>
      <c r="E295" s="937"/>
      <c r="F295" s="937"/>
      <c r="G295" s="938"/>
      <c r="H295" s="43">
        <v>7582</v>
      </c>
      <c r="I295" s="947"/>
      <c r="J295" s="947"/>
      <c r="K295" s="43">
        <v>7590</v>
      </c>
      <c r="L295" s="947"/>
      <c r="M295" s="947"/>
      <c r="N295" s="973"/>
      <c r="O295" s="974"/>
      <c r="P295" s="974"/>
      <c r="Q295" s="974"/>
      <c r="R295" s="975"/>
    </row>
    <row r="296" spans="1:18" s="2" customFormat="1" ht="25.5" customHeight="1" x14ac:dyDescent="0.2">
      <c r="A296" s="201"/>
      <c r="B296" s="805" t="s">
        <v>400</v>
      </c>
      <c r="C296" s="937"/>
      <c r="D296" s="937"/>
      <c r="E296" s="937"/>
      <c r="F296" s="937"/>
      <c r="G296" s="938"/>
      <c r="H296" s="43">
        <v>7583</v>
      </c>
      <c r="I296" s="947"/>
      <c r="J296" s="947"/>
      <c r="K296" s="43">
        <v>7591</v>
      </c>
      <c r="L296" s="947"/>
      <c r="M296" s="947"/>
      <c r="N296" s="973"/>
      <c r="O296" s="974"/>
      <c r="P296" s="974"/>
      <c r="Q296" s="974"/>
      <c r="R296" s="975"/>
    </row>
    <row r="297" spans="1:18" s="2" customFormat="1" ht="25.5" customHeight="1" x14ac:dyDescent="0.2">
      <c r="A297" s="201"/>
      <c r="B297" s="805" t="s">
        <v>401</v>
      </c>
      <c r="C297" s="937"/>
      <c r="D297" s="937"/>
      <c r="E297" s="937"/>
      <c r="F297" s="937"/>
      <c r="G297" s="938"/>
      <c r="H297" s="43">
        <v>7584</v>
      </c>
      <c r="I297" s="947"/>
      <c r="J297" s="947"/>
      <c r="K297" s="43">
        <v>7592</v>
      </c>
      <c r="L297" s="947"/>
      <c r="M297" s="947"/>
      <c r="N297" s="973"/>
      <c r="O297" s="974"/>
      <c r="P297" s="974"/>
      <c r="Q297" s="974"/>
      <c r="R297" s="975"/>
    </row>
    <row r="298" spans="1:18" s="2" customFormat="1" ht="25.5" customHeight="1" x14ac:dyDescent="0.2">
      <c r="A298" s="202"/>
      <c r="B298" s="957" t="s">
        <v>402</v>
      </c>
      <c r="C298" s="958"/>
      <c r="D298" s="958"/>
      <c r="E298" s="958"/>
      <c r="F298" s="958"/>
      <c r="G298" s="959"/>
      <c r="H298" s="44">
        <v>7585</v>
      </c>
      <c r="I298" s="960" t="e">
        <f>SUM(I288:J297)</f>
        <v>#DIV/0!</v>
      </c>
      <c r="J298" s="960"/>
      <c r="K298" s="44">
        <v>7593</v>
      </c>
      <c r="L298" s="960">
        <f>SUM(L291:M297)</f>
        <v>0</v>
      </c>
      <c r="M298" s="960"/>
      <c r="N298" s="976"/>
      <c r="O298" s="977"/>
      <c r="P298" s="977"/>
      <c r="Q298" s="977"/>
      <c r="R298" s="978"/>
    </row>
    <row r="299" spans="1:18" s="2" customFormat="1" ht="25.5" customHeight="1" x14ac:dyDescent="0.2">
      <c r="A299" s="40"/>
    </row>
    <row r="300" spans="1:18" s="2" customFormat="1" ht="25.5" customHeight="1" x14ac:dyDescent="0.2">
      <c r="A300" s="961" t="s">
        <v>403</v>
      </c>
      <c r="B300" s="961"/>
      <c r="C300" s="961"/>
      <c r="D300" s="961"/>
      <c r="E300" s="961"/>
      <c r="F300" s="961"/>
      <c r="G300" s="961"/>
      <c r="H300" s="961"/>
      <c r="I300" s="961"/>
      <c r="J300" s="961"/>
      <c r="K300" s="961"/>
      <c r="L300" s="961"/>
      <c r="M300" s="961"/>
    </row>
    <row r="301" spans="1:18" s="2" customFormat="1" ht="25.5" customHeight="1" x14ac:dyDescent="0.2">
      <c r="A301" s="773" t="s">
        <v>1519</v>
      </c>
      <c r="B301" s="773"/>
      <c r="C301" s="773"/>
      <c r="D301" s="773"/>
      <c r="E301" s="773"/>
      <c r="F301" s="773"/>
      <c r="G301" s="773"/>
      <c r="H301" s="773"/>
      <c r="I301" s="773"/>
      <c r="J301" s="773"/>
      <c r="K301" s="773"/>
      <c r="L301" s="780" t="s">
        <v>2834</v>
      </c>
      <c r="M301" s="781"/>
      <c r="N301" s="895" t="s">
        <v>404</v>
      </c>
      <c r="O301" s="896"/>
      <c r="P301" s="896"/>
      <c r="Q301" s="896"/>
      <c r="R301" s="897"/>
    </row>
    <row r="302" spans="1:18" s="2" customFormat="1" ht="25.5" customHeight="1" x14ac:dyDescent="0.2">
      <c r="A302" s="1011"/>
      <c r="B302" s="1011"/>
      <c r="C302" s="1011"/>
      <c r="D302" s="1011"/>
      <c r="E302" s="1011"/>
      <c r="F302" s="1011"/>
      <c r="G302" s="1011"/>
      <c r="H302" s="969" t="s">
        <v>405</v>
      </c>
      <c r="I302" s="969"/>
      <c r="J302" s="969"/>
      <c r="K302" s="969" t="s">
        <v>406</v>
      </c>
      <c r="L302" s="969"/>
      <c r="M302" s="969"/>
      <c r="N302" s="898"/>
      <c r="O302" s="899"/>
      <c r="P302" s="899"/>
      <c r="Q302" s="899"/>
      <c r="R302" s="900"/>
    </row>
    <row r="303" spans="1:18" s="2" customFormat="1" ht="25.5" customHeight="1" x14ac:dyDescent="0.2">
      <c r="A303" s="195"/>
      <c r="B303" s="1012" t="s">
        <v>407</v>
      </c>
      <c r="C303" s="996"/>
      <c r="D303" s="996"/>
      <c r="E303" s="996"/>
      <c r="F303" s="996"/>
      <c r="G303" s="997"/>
      <c r="H303" s="43">
        <v>7050</v>
      </c>
      <c r="I303" s="1013"/>
      <c r="J303" s="1013"/>
      <c r="K303" s="43">
        <v>7051</v>
      </c>
      <c r="L303" s="980"/>
      <c r="M303" s="980"/>
      <c r="N303" s="650" t="str">
        <f>IF(L303&lt;0,"This should be a positive number"," ")</f>
        <v xml:space="preserve"> </v>
      </c>
      <c r="O303" s="651"/>
      <c r="P303" s="651"/>
      <c r="Q303" s="651"/>
      <c r="R303" s="652"/>
    </row>
    <row r="304" spans="1:18" s="2" customFormat="1" ht="25.5" customHeight="1" x14ac:dyDescent="0.2">
      <c r="A304" s="195"/>
      <c r="B304" s="1012" t="s">
        <v>408</v>
      </c>
      <c r="C304" s="996"/>
      <c r="D304" s="996"/>
      <c r="E304" s="996"/>
      <c r="F304" s="996"/>
      <c r="G304" s="997"/>
      <c r="H304" s="43">
        <v>7052</v>
      </c>
      <c r="I304" s="1013"/>
      <c r="J304" s="1013"/>
      <c r="K304" s="43">
        <v>7053</v>
      </c>
      <c r="L304" s="947"/>
      <c r="M304" s="947"/>
      <c r="N304" s="650" t="str">
        <f>IF(L304&lt;0,"This should be a positive number"," ")</f>
        <v xml:space="preserve"> </v>
      </c>
      <c r="O304" s="651"/>
      <c r="P304" s="651"/>
      <c r="Q304" s="651"/>
      <c r="R304" s="652"/>
    </row>
    <row r="305" spans="1:18" s="2" customFormat="1" ht="25.5" customHeight="1" x14ac:dyDescent="0.2">
      <c r="A305" s="195"/>
      <c r="B305" s="1012" t="s">
        <v>869</v>
      </c>
      <c r="C305" s="996"/>
      <c r="D305" s="996"/>
      <c r="E305" s="996"/>
      <c r="F305" s="996"/>
      <c r="G305" s="997"/>
      <c r="H305" s="43">
        <v>7054</v>
      </c>
      <c r="I305" s="1015">
        <f>I306-(I303+I304)</f>
        <v>0</v>
      </c>
      <c r="J305" s="1015"/>
      <c r="K305" s="43">
        <v>7055</v>
      </c>
      <c r="L305" s="954">
        <f>L306-(L303+L304)</f>
        <v>0</v>
      </c>
      <c r="M305" s="954"/>
    </row>
    <row r="306" spans="1:18" s="2" customFormat="1" ht="25.5" customHeight="1" x14ac:dyDescent="0.2">
      <c r="A306" s="196"/>
      <c r="B306" s="1016" t="s">
        <v>870</v>
      </c>
      <c r="C306" s="1017"/>
      <c r="D306" s="1017"/>
      <c r="E306" s="1017"/>
      <c r="F306" s="1017"/>
      <c r="G306" s="1018"/>
      <c r="H306" s="44">
        <v>7056</v>
      </c>
      <c r="I306" s="1019"/>
      <c r="J306" s="1019"/>
      <c r="K306" s="44">
        <v>7057</v>
      </c>
      <c r="L306" s="1020">
        <f>ABS(Code_0762)</f>
        <v>0</v>
      </c>
      <c r="M306" s="960"/>
    </row>
    <row r="307" spans="1:18" s="2" customFormat="1" ht="25.5" customHeight="1" x14ac:dyDescent="0.2">
      <c r="A307" s="43">
        <v>7576</v>
      </c>
      <c r="B307" s="1021" t="s">
        <v>871</v>
      </c>
      <c r="C307" s="1021"/>
      <c r="D307" s="1021"/>
      <c r="E307" s="1021"/>
      <c r="F307" s="1021"/>
      <c r="G307" s="1021"/>
      <c r="H307" s="1021"/>
      <c r="I307" s="1021"/>
      <c r="J307" s="1021"/>
      <c r="K307" s="1021"/>
      <c r="L307" s="991"/>
      <c r="M307" s="992"/>
    </row>
    <row r="308" spans="1:18" s="2" customFormat="1" ht="25.5" customHeight="1" x14ac:dyDescent="0.2">
      <c r="A308" s="1022" t="s">
        <v>872</v>
      </c>
      <c r="B308" s="1024" t="s">
        <v>873</v>
      </c>
      <c r="C308" s="1025"/>
      <c r="D308" s="1025"/>
      <c r="E308" s="1025"/>
      <c r="F308" s="1025"/>
      <c r="G308" s="1025"/>
      <c r="H308" s="1025"/>
      <c r="I308" s="1025"/>
      <c r="J308" s="1025"/>
      <c r="K308" s="1025"/>
      <c r="L308" s="33" t="s">
        <v>91</v>
      </c>
      <c r="M308" s="33" t="s">
        <v>92</v>
      </c>
    </row>
    <row r="309" spans="1:18" s="2" customFormat="1" ht="25.5" customHeight="1" x14ac:dyDescent="0.2">
      <c r="A309" s="1023"/>
      <c r="B309" s="1025"/>
      <c r="C309" s="1025"/>
      <c r="D309" s="1025"/>
      <c r="E309" s="1025"/>
      <c r="F309" s="1025"/>
      <c r="G309" s="1025"/>
      <c r="H309" s="1025"/>
      <c r="I309" s="1025"/>
      <c r="J309" s="1025"/>
      <c r="K309" s="1025"/>
      <c r="L309" s="458"/>
      <c r="M309" s="458"/>
      <c r="N309" s="615" t="str">
        <f>IF(COUNTBLANK(L309:M309)=2,"This item can not be left blank.",IF(COUNTBLANK(L309:M309)&lt;&gt;1,"Please VERIFY response",""))</f>
        <v>This item can not be left blank.</v>
      </c>
      <c r="O309" s="616"/>
      <c r="P309" s="616"/>
      <c r="Q309" s="616"/>
      <c r="R309" s="616"/>
    </row>
    <row r="310" spans="1:18" s="2" customFormat="1" ht="25.5" customHeight="1" x14ac:dyDescent="0.2">
      <c r="A310" s="15" t="str">
        <f>$A$33</f>
        <v xml:space="preserve"> </v>
      </c>
    </row>
    <row r="311" spans="1:18" s="2" customFormat="1" ht="25.5" customHeight="1" x14ac:dyDescent="0.2">
      <c r="A311" s="1014" t="s">
        <v>1524</v>
      </c>
      <c r="B311" s="634"/>
      <c r="C311" s="634"/>
      <c r="D311" s="634"/>
      <c r="E311" s="634"/>
      <c r="F311" s="634"/>
      <c r="G311" s="634"/>
      <c r="H311" s="634"/>
      <c r="I311" s="634"/>
      <c r="J311" s="634"/>
      <c r="K311" s="634"/>
      <c r="L311" s="634"/>
      <c r="M311" s="634"/>
    </row>
    <row r="312" spans="1:18" s="2" customFormat="1" ht="25.5" customHeight="1" x14ac:dyDescent="0.2">
      <c r="A312" s="18"/>
      <c r="B312" s="19"/>
      <c r="C312" s="19"/>
      <c r="D312" s="19"/>
      <c r="E312" s="19"/>
      <c r="F312" s="19"/>
      <c r="G312" s="19"/>
      <c r="H312" s="19"/>
      <c r="I312" s="19"/>
      <c r="J312" s="19"/>
      <c r="K312" s="19"/>
      <c r="L312" s="19"/>
      <c r="M312" s="19"/>
    </row>
    <row r="313" spans="1:18" s="2" customFormat="1" ht="25.5" customHeight="1" x14ac:dyDescent="0.2">
      <c r="A313" s="989" t="s">
        <v>1528</v>
      </c>
      <c r="B313" s="646"/>
      <c r="C313" s="646"/>
      <c r="D313" s="646"/>
      <c r="E313" s="646"/>
      <c r="F313" s="646"/>
      <c r="G313" s="646"/>
      <c r="H313" s="646"/>
      <c r="I313" s="646"/>
      <c r="J313" s="646"/>
      <c r="K313" s="646"/>
      <c r="L313" s="646"/>
      <c r="M313" s="646"/>
    </row>
    <row r="314" spans="1:18" s="2" customFormat="1" ht="25.5" customHeight="1" x14ac:dyDescent="0.2">
      <c r="A314" s="646"/>
      <c r="B314" s="646"/>
      <c r="C314" s="646"/>
      <c r="D314" s="646"/>
      <c r="E314" s="646"/>
      <c r="F314" s="646"/>
      <c r="G314" s="646"/>
      <c r="H314" s="646"/>
      <c r="I314" s="646"/>
      <c r="J314" s="646"/>
      <c r="K314" s="646"/>
      <c r="L314" s="646"/>
      <c r="M314" s="646"/>
    </row>
    <row r="315" spans="1:18" s="2" customFormat="1" ht="25.5" customHeight="1" x14ac:dyDescent="0.2">
      <c r="A315" s="990"/>
      <c r="B315" s="990"/>
      <c r="C315" s="990"/>
      <c r="D315" s="990"/>
      <c r="E315" s="990"/>
      <c r="F315" s="990"/>
      <c r="G315" s="990"/>
      <c r="H315" s="990"/>
      <c r="I315" s="990"/>
      <c r="J315" s="990"/>
      <c r="K315" s="990"/>
      <c r="L315" s="990"/>
      <c r="M315" s="990"/>
    </row>
    <row r="316" spans="1:18" s="2" customFormat="1" ht="25.5" customHeight="1" x14ac:dyDescent="0.2">
      <c r="A316" s="773" t="s">
        <v>1520</v>
      </c>
      <c r="B316" s="567"/>
      <c r="C316" s="567"/>
      <c r="D316" s="567"/>
      <c r="E316" s="567"/>
      <c r="F316" s="567"/>
      <c r="G316" s="567"/>
      <c r="H316" s="567"/>
      <c r="I316" s="567"/>
      <c r="J316" s="567"/>
      <c r="K316" s="674"/>
      <c r="L316" s="780" t="s">
        <v>2834</v>
      </c>
      <c r="M316" s="781"/>
    </row>
    <row r="317" spans="1:18" s="2" customFormat="1" ht="25.5" customHeight="1" x14ac:dyDescent="0.2">
      <c r="A317" s="20">
        <v>7117</v>
      </c>
      <c r="B317" s="539" t="s">
        <v>874</v>
      </c>
      <c r="C317" s="528"/>
      <c r="D317" s="528"/>
      <c r="E317" s="528"/>
      <c r="F317" s="528"/>
      <c r="G317" s="528"/>
      <c r="H317" s="528"/>
      <c r="I317" s="529"/>
      <c r="J317" s="991"/>
      <c r="K317" s="992"/>
      <c r="L317" s="790"/>
      <c r="M317" s="791"/>
      <c r="N317" s="1000" t="s">
        <v>875</v>
      </c>
      <c r="O317" s="1001"/>
      <c r="P317" s="1001"/>
      <c r="Q317" s="1001"/>
      <c r="R317" s="1002"/>
    </row>
    <row r="318" spans="1:18" s="2" customFormat="1" ht="25.5" customHeight="1" x14ac:dyDescent="0.2">
      <c r="A318" s="20">
        <v>7118</v>
      </c>
      <c r="B318" s="539" t="s">
        <v>876</v>
      </c>
      <c r="C318" s="528"/>
      <c r="D318" s="528"/>
      <c r="E318" s="528"/>
      <c r="F318" s="528"/>
      <c r="G318" s="528"/>
      <c r="H318" s="528"/>
      <c r="I318" s="529"/>
      <c r="J318" s="878">
        <f>Code_5501-Code_7117</f>
        <v>0</v>
      </c>
      <c r="K318" s="879"/>
      <c r="L318" s="792"/>
      <c r="M318" s="793"/>
      <c r="N318" s="1003"/>
      <c r="O318" s="1004"/>
      <c r="P318" s="1004"/>
      <c r="Q318" s="1004"/>
      <c r="R318" s="1005"/>
    </row>
    <row r="319" spans="1:18" s="2" customFormat="1" ht="25.5" customHeight="1" x14ac:dyDescent="0.2">
      <c r="A319" s="21">
        <v>5501</v>
      </c>
      <c r="B319" s="522" t="s">
        <v>877</v>
      </c>
      <c r="C319" s="523"/>
      <c r="D319" s="523"/>
      <c r="E319" s="523"/>
      <c r="F319" s="523"/>
      <c r="G319" s="523"/>
      <c r="H319" s="523"/>
      <c r="I319" s="523"/>
      <c r="J319" s="523"/>
      <c r="K319" s="524"/>
      <c r="L319" s="880">
        <f>Code_7094</f>
        <v>0</v>
      </c>
      <c r="M319" s="881"/>
      <c r="N319" s="1006"/>
      <c r="O319" s="1007"/>
      <c r="P319" s="1007"/>
      <c r="Q319" s="1007"/>
      <c r="R319" s="1008"/>
    </row>
    <row r="320" spans="1:18" s="2" customFormat="1" ht="25.5" customHeight="1" x14ac:dyDescent="0.2">
      <c r="A320" s="20">
        <v>5502</v>
      </c>
      <c r="B320" s="539" t="s">
        <v>878</v>
      </c>
      <c r="C320" s="528"/>
      <c r="D320" s="528"/>
      <c r="E320" s="528"/>
      <c r="F320" s="528"/>
      <c r="G320" s="528"/>
      <c r="H320" s="528"/>
      <c r="I320" s="529"/>
      <c r="J320" s="537">
        <f>IF(ISERROR(ROUND((Code_0841/Code_0740)*L319,0)),,ROUND((Code_0841/Code_0740)*L319,0))</f>
        <v>0</v>
      </c>
      <c r="K320" s="538"/>
      <c r="L320" s="790"/>
      <c r="M320" s="1009"/>
      <c r="N320" s="970" t="s">
        <v>1586</v>
      </c>
      <c r="O320" s="896"/>
      <c r="P320" s="896"/>
      <c r="Q320" s="896"/>
      <c r="R320" s="897"/>
    </row>
    <row r="321" spans="1:18" s="2" customFormat="1" ht="25.5" customHeight="1" x14ac:dyDescent="0.2">
      <c r="A321" s="20">
        <v>5506</v>
      </c>
      <c r="B321" s="539" t="s">
        <v>879</v>
      </c>
      <c r="C321" s="528"/>
      <c r="D321" s="528"/>
      <c r="E321" s="528"/>
      <c r="F321" s="528"/>
      <c r="G321" s="528"/>
      <c r="H321" s="528"/>
      <c r="I321" s="529"/>
      <c r="J321" s="537">
        <f>IF(ISERROR(ROUND((Code_0842/Code_0740)*L319,0)),,ROUND((Code_0842/Code_0740)*L319,0))</f>
        <v>0</v>
      </c>
      <c r="K321" s="538"/>
      <c r="L321" s="792"/>
      <c r="M321" s="1010"/>
      <c r="N321" s="981"/>
      <c r="O321" s="646"/>
      <c r="P321" s="646"/>
      <c r="Q321" s="646"/>
      <c r="R321" s="982"/>
    </row>
    <row r="322" spans="1:18" s="2" customFormat="1" ht="25.5" customHeight="1" x14ac:dyDescent="0.2">
      <c r="A322" s="45">
        <v>5503</v>
      </c>
      <c r="B322" s="527" t="s">
        <v>880</v>
      </c>
      <c r="C322" s="536"/>
      <c r="D322" s="536"/>
      <c r="E322" s="536"/>
      <c r="F322" s="536"/>
      <c r="G322" s="536"/>
      <c r="H322" s="536"/>
      <c r="I322" s="536"/>
      <c r="J322" s="536"/>
      <c r="K322" s="540"/>
      <c r="L322" s="537">
        <f>IF(ISERROR(ROUND((Code_0760/Code_0740)*L319,0)),,ROUND((Code_0760/Code_0740)*L319,0))</f>
        <v>0</v>
      </c>
      <c r="M322" s="538"/>
      <c r="N322" s="981"/>
      <c r="O322" s="646"/>
      <c r="P322" s="646"/>
      <c r="Q322" s="646"/>
      <c r="R322" s="982"/>
    </row>
    <row r="323" spans="1:18" s="2" customFormat="1" ht="25.5" customHeight="1" x14ac:dyDescent="0.2">
      <c r="A323" s="20">
        <v>5504</v>
      </c>
      <c r="B323" s="539" t="s">
        <v>881</v>
      </c>
      <c r="C323" s="528"/>
      <c r="D323" s="528"/>
      <c r="E323" s="528"/>
      <c r="F323" s="528"/>
      <c r="G323" s="528"/>
      <c r="H323" s="528"/>
      <c r="I323" s="529"/>
      <c r="J323" s="537">
        <f>IF(ISERROR(ROUND((Code_0741/Code_0760)*L322,0)),,ROUND((Code_0741/Code_0760)*L322,0))</f>
        <v>0</v>
      </c>
      <c r="K323" s="538"/>
      <c r="L323" s="993"/>
      <c r="M323" s="993"/>
      <c r="N323" s="981"/>
      <c r="O323" s="646"/>
      <c r="P323" s="646"/>
      <c r="Q323" s="646"/>
      <c r="R323" s="982"/>
    </row>
    <row r="324" spans="1:18" s="2" customFormat="1" ht="25.5" customHeight="1" x14ac:dyDescent="0.2">
      <c r="A324" s="20">
        <v>5507</v>
      </c>
      <c r="B324" s="539" t="s">
        <v>882</v>
      </c>
      <c r="C324" s="528"/>
      <c r="D324" s="528"/>
      <c r="E324" s="528"/>
      <c r="F324" s="528"/>
      <c r="G324" s="528"/>
      <c r="H324" s="528"/>
      <c r="I324" s="529"/>
      <c r="J324" s="537">
        <f>IF(ISERROR(ROUND((Code_0742/Code_0760)*L322,0)),,ROUND((Code_0742/Code_0760)*L322,0))</f>
        <v>0</v>
      </c>
      <c r="K324" s="538"/>
      <c r="L324" s="994"/>
      <c r="M324" s="994"/>
      <c r="N324" s="981"/>
      <c r="O324" s="646"/>
      <c r="P324" s="646"/>
      <c r="Q324" s="646"/>
      <c r="R324" s="982"/>
    </row>
    <row r="325" spans="1:18" s="2" customFormat="1" ht="25.5" customHeight="1" x14ac:dyDescent="0.2">
      <c r="A325" s="20">
        <v>7121</v>
      </c>
      <c r="B325" s="539" t="s">
        <v>883</v>
      </c>
      <c r="C325" s="528"/>
      <c r="D325" s="528"/>
      <c r="E325" s="528"/>
      <c r="F325" s="528"/>
      <c r="G325" s="528"/>
      <c r="H325" s="528"/>
      <c r="I325" s="529"/>
      <c r="J325" s="537">
        <f>IF(ISERROR(ROUND((Code_0762/Code_0760)*L322,0)),,ROUND((Code_0762/Code_0760)*L322,0))</f>
        <v>0</v>
      </c>
      <c r="K325" s="538"/>
      <c r="L325" s="994"/>
      <c r="M325" s="994"/>
      <c r="N325" s="981"/>
      <c r="O325" s="646"/>
      <c r="P325" s="646"/>
      <c r="Q325" s="646"/>
      <c r="R325" s="982"/>
    </row>
    <row r="326" spans="1:18" s="2" customFormat="1" ht="25.5" customHeight="1" x14ac:dyDescent="0.2">
      <c r="A326" s="20">
        <v>5512</v>
      </c>
      <c r="B326" s="527" t="s">
        <v>1702</v>
      </c>
      <c r="C326" s="536"/>
      <c r="D326" s="536"/>
      <c r="E326" s="536"/>
      <c r="F326" s="536"/>
      <c r="G326" s="536"/>
      <c r="H326" s="536"/>
      <c r="I326" s="536"/>
      <c r="J326" s="537">
        <f>IF(ISERROR(ROUND((Code_8100/Code_0760)*Code_5503,0)),,ROUND((Code_8100/Code_0760)*Code_5503,0))</f>
        <v>0</v>
      </c>
      <c r="K326" s="538"/>
      <c r="L326" s="994"/>
      <c r="M326" s="994"/>
      <c r="N326" s="898"/>
      <c r="O326" s="899"/>
      <c r="P326" s="899"/>
      <c r="Q326" s="899"/>
      <c r="R326" s="900"/>
    </row>
    <row r="327" spans="1:18" s="2" customFormat="1" ht="25.5" customHeight="1" x14ac:dyDescent="0.2">
      <c r="A327" s="20">
        <v>7087</v>
      </c>
      <c r="B327" s="539" t="s">
        <v>884</v>
      </c>
      <c r="C327" s="528"/>
      <c r="D327" s="528"/>
      <c r="E327" s="528"/>
      <c r="F327" s="528"/>
      <c r="G327" s="528"/>
      <c r="H327" s="528"/>
      <c r="I327" s="528"/>
      <c r="J327" s="528"/>
      <c r="K327" s="529"/>
      <c r="L327" s="630"/>
      <c r="M327" s="631"/>
      <c r="N327" s="644" t="str">
        <f>IF(AND(ISBLANK(L327),L319&gt;0),"If charges are entered, then expenses must also be entered.","")</f>
        <v/>
      </c>
      <c r="O327" s="645"/>
      <c r="P327" s="645"/>
      <c r="Q327" s="645"/>
      <c r="R327" s="617"/>
    </row>
    <row r="328" spans="1:18" s="2" customFormat="1" ht="25.5" customHeight="1" x14ac:dyDescent="0.2">
      <c r="A328" s="46"/>
      <c r="B328" s="47"/>
      <c r="C328" s="47"/>
      <c r="D328" s="47"/>
      <c r="E328" s="47"/>
      <c r="F328" s="47"/>
      <c r="G328" s="47"/>
      <c r="H328" s="47"/>
      <c r="I328" s="47"/>
      <c r="J328" s="47"/>
      <c r="K328" s="47"/>
      <c r="L328" s="48"/>
      <c r="M328" s="49"/>
    </row>
    <row r="329" spans="1:18" s="2" customFormat="1" ht="25.5" customHeight="1" x14ac:dyDescent="0.2">
      <c r="A329" s="1014" t="s">
        <v>1524</v>
      </c>
      <c r="B329" s="634"/>
      <c r="C329" s="634"/>
      <c r="D329" s="634"/>
      <c r="E329" s="634"/>
      <c r="F329" s="634"/>
      <c r="G329" s="634"/>
      <c r="H329" s="634"/>
      <c r="I329" s="634"/>
      <c r="J329" s="634"/>
      <c r="K329" s="634"/>
      <c r="L329" s="634"/>
      <c r="M329" s="634"/>
    </row>
    <row r="330" spans="1:18" s="2" customFormat="1" ht="25.5" customHeight="1" x14ac:dyDescent="0.2">
      <c r="A330" s="18"/>
      <c r="B330" s="19"/>
      <c r="C330" s="19"/>
      <c r="D330" s="19"/>
      <c r="E330" s="19"/>
      <c r="F330" s="19"/>
      <c r="G330" s="19"/>
      <c r="H330" s="19"/>
      <c r="I330" s="19"/>
      <c r="J330" s="19"/>
      <c r="K330" s="19"/>
      <c r="L330" s="19"/>
      <c r="M330" s="19"/>
    </row>
    <row r="331" spans="1:18" s="2" customFormat="1" ht="25.5" customHeight="1" x14ac:dyDescent="0.2">
      <c r="A331" s="989" t="s">
        <v>1527</v>
      </c>
      <c r="B331" s="646"/>
      <c r="C331" s="646"/>
      <c r="D331" s="646"/>
      <c r="E331" s="646"/>
      <c r="F331" s="646"/>
      <c r="G331" s="646"/>
      <c r="H331" s="646"/>
      <c r="I331" s="646"/>
      <c r="J331" s="646"/>
      <c r="K331" s="646"/>
      <c r="L331" s="646"/>
      <c r="M331" s="646"/>
    </row>
    <row r="332" spans="1:18" s="2" customFormat="1" ht="25.5" customHeight="1" x14ac:dyDescent="0.2">
      <c r="A332" s="646"/>
      <c r="B332" s="646"/>
      <c r="C332" s="646"/>
      <c r="D332" s="646"/>
      <c r="E332" s="646"/>
      <c r="F332" s="646"/>
      <c r="G332" s="646"/>
      <c r="H332" s="646"/>
      <c r="I332" s="646"/>
      <c r="J332" s="646"/>
      <c r="K332" s="646"/>
      <c r="L332" s="646"/>
      <c r="M332" s="646"/>
    </row>
    <row r="333" spans="1:18" s="2" customFormat="1" ht="25.5" customHeight="1" x14ac:dyDescent="0.2">
      <c r="A333" s="773" t="s">
        <v>1521</v>
      </c>
      <c r="B333" s="567"/>
      <c r="C333" s="567"/>
      <c r="D333" s="567"/>
      <c r="E333" s="567"/>
      <c r="F333" s="567"/>
      <c r="G333" s="567"/>
      <c r="H333" s="567"/>
      <c r="I333" s="567"/>
      <c r="J333" s="567"/>
      <c r="K333" s="674"/>
      <c r="L333" s="780" t="s">
        <v>2834</v>
      </c>
      <c r="M333" s="781"/>
    </row>
    <row r="334" spans="1:18" s="2" customFormat="1" ht="25.5" customHeight="1" x14ac:dyDescent="0.2">
      <c r="A334" s="20">
        <v>7119</v>
      </c>
      <c r="B334" s="539" t="s">
        <v>885</v>
      </c>
      <c r="C334" s="528"/>
      <c r="D334" s="528"/>
      <c r="E334" s="528"/>
      <c r="F334" s="528"/>
      <c r="G334" s="528"/>
      <c r="H334" s="528"/>
      <c r="I334" s="529"/>
      <c r="J334" s="991"/>
      <c r="K334" s="992"/>
      <c r="L334" s="790"/>
      <c r="M334" s="791"/>
      <c r="N334" s="1000" t="s">
        <v>886</v>
      </c>
      <c r="O334" s="1001"/>
      <c r="P334" s="1001"/>
      <c r="Q334" s="1001"/>
      <c r="R334" s="1002"/>
    </row>
    <row r="335" spans="1:18" s="2" customFormat="1" ht="25.5" customHeight="1" x14ac:dyDescent="0.2">
      <c r="A335" s="20">
        <v>7120</v>
      </c>
      <c r="B335" s="539" t="s">
        <v>887</v>
      </c>
      <c r="C335" s="528"/>
      <c r="D335" s="528"/>
      <c r="E335" s="528"/>
      <c r="F335" s="528"/>
      <c r="G335" s="528"/>
      <c r="H335" s="528"/>
      <c r="I335" s="529"/>
      <c r="J335" s="878">
        <f>Code_7061-Code_7119</f>
        <v>0</v>
      </c>
      <c r="K335" s="879"/>
      <c r="L335" s="792"/>
      <c r="M335" s="793"/>
      <c r="N335" s="1003"/>
      <c r="O335" s="1004"/>
      <c r="P335" s="1004"/>
      <c r="Q335" s="1004"/>
      <c r="R335" s="1005"/>
    </row>
    <row r="336" spans="1:18" s="2" customFormat="1" ht="25.5" customHeight="1" x14ac:dyDescent="0.2">
      <c r="A336" s="21">
        <v>7061</v>
      </c>
      <c r="B336" s="522" t="s">
        <v>888</v>
      </c>
      <c r="C336" s="523"/>
      <c r="D336" s="523"/>
      <c r="E336" s="523"/>
      <c r="F336" s="523"/>
      <c r="G336" s="523"/>
      <c r="H336" s="523"/>
      <c r="I336" s="523"/>
      <c r="J336" s="523"/>
      <c r="K336" s="524"/>
      <c r="L336" s="880">
        <f>Code_7095</f>
        <v>0</v>
      </c>
      <c r="M336" s="881"/>
      <c r="N336" s="1006"/>
      <c r="O336" s="1007"/>
      <c r="P336" s="1007"/>
      <c r="Q336" s="1007"/>
      <c r="R336" s="1008"/>
    </row>
    <row r="337" spans="1:18" s="2" customFormat="1" ht="25.5" customHeight="1" x14ac:dyDescent="0.2">
      <c r="A337" s="20">
        <v>7062</v>
      </c>
      <c r="B337" s="539" t="s">
        <v>889</v>
      </c>
      <c r="C337" s="528"/>
      <c r="D337" s="528"/>
      <c r="E337" s="528"/>
      <c r="F337" s="528"/>
      <c r="G337" s="528"/>
      <c r="H337" s="528"/>
      <c r="I337" s="529"/>
      <c r="J337" s="537">
        <f>IF(ISERROR(ROUND((Code_0841/Code_0740)*L336,0)),,ROUND((Code_0841/Code_0740)*L336,0))</f>
        <v>0</v>
      </c>
      <c r="K337" s="538"/>
      <c r="L337" s="790"/>
      <c r="M337" s="791"/>
      <c r="N337" s="970" t="s">
        <v>1587</v>
      </c>
      <c r="O337" s="896"/>
      <c r="P337" s="896"/>
      <c r="Q337" s="896"/>
      <c r="R337" s="897"/>
    </row>
    <row r="338" spans="1:18" s="2" customFormat="1" ht="25.5" customHeight="1" x14ac:dyDescent="0.2">
      <c r="A338" s="20">
        <v>7063</v>
      </c>
      <c r="B338" s="539" t="s">
        <v>272</v>
      </c>
      <c r="C338" s="528"/>
      <c r="D338" s="528"/>
      <c r="E338" s="528"/>
      <c r="F338" s="528"/>
      <c r="G338" s="528"/>
      <c r="H338" s="528"/>
      <c r="I338" s="529"/>
      <c r="J338" s="537">
        <f>IF(ISERROR(ROUND((Code_0842/Code_0740)*L336,0)),,ROUND((Code_0842/Code_0740)*L336,0))</f>
        <v>0</v>
      </c>
      <c r="K338" s="538"/>
      <c r="L338" s="792"/>
      <c r="M338" s="793"/>
      <c r="N338" s="981"/>
      <c r="O338" s="617"/>
      <c r="P338" s="617"/>
      <c r="Q338" s="617"/>
      <c r="R338" s="982"/>
    </row>
    <row r="339" spans="1:18" s="2" customFormat="1" ht="25.5" customHeight="1" x14ac:dyDescent="0.2">
      <c r="A339" s="45">
        <v>7064</v>
      </c>
      <c r="B339" s="527" t="s">
        <v>273</v>
      </c>
      <c r="C339" s="536"/>
      <c r="D339" s="536"/>
      <c r="E339" s="536"/>
      <c r="F339" s="536"/>
      <c r="G339" s="536"/>
      <c r="H339" s="536"/>
      <c r="I339" s="536"/>
      <c r="J339" s="536"/>
      <c r="K339" s="540"/>
      <c r="L339" s="537">
        <f>IF(ISERROR(ROUND((Code_0760/Code_0740)*L336,0)),,ROUND((Code_0760/Code_0740)*L336,0))</f>
        <v>0</v>
      </c>
      <c r="M339" s="538"/>
      <c r="N339" s="981"/>
      <c r="O339" s="617"/>
      <c r="P339" s="617"/>
      <c r="Q339" s="617"/>
      <c r="R339" s="982"/>
    </row>
    <row r="340" spans="1:18" s="2" customFormat="1" ht="25.5" customHeight="1" x14ac:dyDescent="0.2">
      <c r="A340" s="20">
        <v>7065</v>
      </c>
      <c r="B340" s="539" t="s">
        <v>274</v>
      </c>
      <c r="C340" s="528"/>
      <c r="D340" s="528"/>
      <c r="E340" s="528"/>
      <c r="F340" s="528"/>
      <c r="G340" s="528"/>
      <c r="H340" s="528"/>
      <c r="I340" s="529"/>
      <c r="J340" s="537">
        <f>IF(ISERROR(ROUND((Code_0741/Code_0760)*L339,0)),,ROUND((Code_0741/Code_0760)*L339,0))</f>
        <v>0</v>
      </c>
      <c r="K340" s="538"/>
      <c r="L340" s="983"/>
      <c r="M340" s="984"/>
      <c r="N340" s="981"/>
      <c r="O340" s="617"/>
      <c r="P340" s="617"/>
      <c r="Q340" s="617"/>
      <c r="R340" s="982"/>
    </row>
    <row r="341" spans="1:18" s="2" customFormat="1" ht="25.5" customHeight="1" x14ac:dyDescent="0.2">
      <c r="A341" s="20">
        <v>7066</v>
      </c>
      <c r="B341" s="539" t="s">
        <v>275</v>
      </c>
      <c r="C341" s="528"/>
      <c r="D341" s="528"/>
      <c r="E341" s="528"/>
      <c r="F341" s="528"/>
      <c r="G341" s="528"/>
      <c r="H341" s="528"/>
      <c r="I341" s="529"/>
      <c r="J341" s="537">
        <f>IF(ISERROR(ROUND((Code_0742/Code_0760)*L339,0)),,ROUND((Code_0742/Code_0760)*L339,0))</f>
        <v>0</v>
      </c>
      <c r="K341" s="538"/>
      <c r="L341" s="985"/>
      <c r="M341" s="986"/>
      <c r="N341" s="981"/>
      <c r="O341" s="617"/>
      <c r="P341" s="617"/>
      <c r="Q341" s="617"/>
      <c r="R341" s="982"/>
    </row>
    <row r="342" spans="1:18" s="2" customFormat="1" ht="25.5" customHeight="1" x14ac:dyDescent="0.2">
      <c r="A342" s="20">
        <v>7122</v>
      </c>
      <c r="B342" s="539" t="s">
        <v>276</v>
      </c>
      <c r="C342" s="528"/>
      <c r="D342" s="528"/>
      <c r="E342" s="528"/>
      <c r="F342" s="528"/>
      <c r="G342" s="528"/>
      <c r="H342" s="528"/>
      <c r="I342" s="529"/>
      <c r="J342" s="537">
        <f>IF(ISERROR(ROUND((Code_0762/Code_0760)*L339,0)),,ROUND((Code_0762/Code_0760)*L339,0))</f>
        <v>0</v>
      </c>
      <c r="K342" s="538"/>
      <c r="L342" s="985"/>
      <c r="M342" s="986"/>
      <c r="N342" s="981"/>
      <c r="O342" s="617"/>
      <c r="P342" s="617"/>
      <c r="Q342" s="617"/>
      <c r="R342" s="982"/>
    </row>
    <row r="343" spans="1:18" s="2" customFormat="1" ht="25.5" customHeight="1" x14ac:dyDescent="0.2">
      <c r="A343" s="20">
        <v>7123</v>
      </c>
      <c r="B343" s="527" t="s">
        <v>1703</v>
      </c>
      <c r="C343" s="536"/>
      <c r="D343" s="536"/>
      <c r="E343" s="536"/>
      <c r="F343" s="536"/>
      <c r="G343" s="536"/>
      <c r="H343" s="536"/>
      <c r="I343" s="536"/>
      <c r="J343" s="537">
        <f>IF(ISERROR(ROUND((Code_8100/Code_0760)*Code_7064,0)),,ROUND((Code_8100/Code_0760)*Code_7064,0))</f>
        <v>0</v>
      </c>
      <c r="K343" s="538"/>
      <c r="L343" s="987"/>
      <c r="M343" s="988"/>
      <c r="N343" s="898"/>
      <c r="O343" s="899"/>
      <c r="P343" s="899"/>
      <c r="Q343" s="899"/>
      <c r="R343" s="900"/>
    </row>
    <row r="344" spans="1:18" s="2" customFormat="1" ht="25.5" customHeight="1" x14ac:dyDescent="0.2">
      <c r="A344" s="20">
        <v>7088</v>
      </c>
      <c r="B344" s="539" t="s">
        <v>277</v>
      </c>
      <c r="C344" s="528"/>
      <c r="D344" s="528"/>
      <c r="E344" s="528"/>
      <c r="F344" s="528"/>
      <c r="G344" s="528"/>
      <c r="H344" s="528"/>
      <c r="I344" s="528"/>
      <c r="J344" s="528"/>
      <c r="K344" s="529"/>
      <c r="L344" s="630"/>
      <c r="M344" s="631"/>
      <c r="N344" s="644" t="str">
        <f>IF(AND(ISBLANK(L344),L336&gt;0),"If charges are entered, then expenses must also be entered.","")</f>
        <v/>
      </c>
      <c r="O344" s="645"/>
      <c r="P344" s="645"/>
      <c r="Q344" s="645"/>
      <c r="R344" s="617"/>
    </row>
    <row r="345" spans="1:18" s="2" customFormat="1" ht="25.5" customHeight="1" x14ac:dyDescent="0.2">
      <c r="A345" s="15" t="str">
        <f>$A$33</f>
        <v xml:space="preserve"> </v>
      </c>
    </row>
    <row r="346" spans="1:18" s="2" customFormat="1" ht="25.5" customHeight="1" x14ac:dyDescent="0.2">
      <c r="A346" s="1014" t="s">
        <v>1524</v>
      </c>
      <c r="B346" s="634"/>
      <c r="C346" s="634"/>
      <c r="D346" s="634"/>
      <c r="E346" s="634"/>
      <c r="F346" s="634"/>
      <c r="G346" s="634"/>
      <c r="H346" s="634"/>
      <c r="I346" s="634"/>
      <c r="J346" s="634"/>
      <c r="K346" s="634"/>
      <c r="L346" s="634"/>
      <c r="M346" s="634"/>
    </row>
    <row r="347" spans="1:18" s="2" customFormat="1" ht="25.5" customHeight="1" x14ac:dyDescent="0.2">
      <c r="A347" s="18"/>
      <c r="B347" s="19"/>
      <c r="C347" s="19"/>
      <c r="D347" s="19"/>
      <c r="E347" s="19"/>
      <c r="F347" s="19"/>
      <c r="G347" s="19"/>
      <c r="H347" s="19"/>
      <c r="I347" s="19"/>
      <c r="J347" s="19"/>
      <c r="K347" s="19"/>
      <c r="L347" s="19"/>
      <c r="M347" s="19"/>
    </row>
    <row r="348" spans="1:18" s="2" customFormat="1" ht="25.5" customHeight="1" x14ac:dyDescent="0.2">
      <c r="A348" s="989" t="s">
        <v>1526</v>
      </c>
      <c r="B348" s="646"/>
      <c r="C348" s="646"/>
      <c r="D348" s="646"/>
      <c r="E348" s="646"/>
      <c r="F348" s="646"/>
      <c r="G348" s="646"/>
      <c r="H348" s="646"/>
      <c r="I348" s="646"/>
      <c r="J348" s="646"/>
      <c r="K348" s="646"/>
      <c r="L348" s="646"/>
      <c r="M348" s="646"/>
    </row>
    <row r="349" spans="1:18" s="2" customFormat="1" ht="25.5" customHeight="1" x14ac:dyDescent="0.2">
      <c r="A349" s="646"/>
      <c r="B349" s="646"/>
      <c r="C349" s="646"/>
      <c r="D349" s="646"/>
      <c r="E349" s="646"/>
      <c r="F349" s="646"/>
      <c r="G349" s="646"/>
      <c r="H349" s="646"/>
      <c r="I349" s="646"/>
      <c r="J349" s="646"/>
      <c r="K349" s="646"/>
      <c r="L349" s="646"/>
      <c r="M349" s="646"/>
    </row>
    <row r="350" spans="1:18" s="2" customFormat="1" ht="25.5" customHeight="1" x14ac:dyDescent="0.2">
      <c r="A350" s="773" t="s">
        <v>1522</v>
      </c>
      <c r="B350" s="567"/>
      <c r="C350" s="567"/>
      <c r="D350" s="567"/>
      <c r="E350" s="567"/>
      <c r="F350" s="567"/>
      <c r="G350" s="567"/>
      <c r="H350" s="567"/>
      <c r="I350" s="567"/>
      <c r="J350" s="567"/>
      <c r="K350" s="674"/>
      <c r="L350" s="780" t="s">
        <v>2834</v>
      </c>
      <c r="M350" s="781"/>
    </row>
    <row r="351" spans="1:18" s="2" customFormat="1" ht="25.5" customHeight="1" x14ac:dyDescent="0.2">
      <c r="A351" s="20">
        <v>7068</v>
      </c>
      <c r="B351" s="539" t="s">
        <v>278</v>
      </c>
      <c r="C351" s="528"/>
      <c r="D351" s="528"/>
      <c r="E351" s="528"/>
      <c r="F351" s="528"/>
      <c r="G351" s="528"/>
      <c r="H351" s="528"/>
      <c r="I351" s="528"/>
      <c r="J351" s="528"/>
      <c r="K351" s="529"/>
      <c r="L351" s="632">
        <f>Code_7091</f>
        <v>0</v>
      </c>
      <c r="M351" s="633"/>
    </row>
    <row r="352" spans="1:18" s="2" customFormat="1" ht="25.5" customHeight="1" x14ac:dyDescent="0.2">
      <c r="A352" s="20">
        <v>7069</v>
      </c>
      <c r="B352" s="539" t="s">
        <v>279</v>
      </c>
      <c r="C352" s="528"/>
      <c r="D352" s="528"/>
      <c r="E352" s="528"/>
      <c r="F352" s="528"/>
      <c r="G352" s="528"/>
      <c r="H352" s="528"/>
      <c r="I352" s="529"/>
      <c r="J352" s="915"/>
      <c r="K352" s="916"/>
      <c r="L352" s="790"/>
      <c r="M352" s="791"/>
    </row>
    <row r="353" spans="1:18" s="2" customFormat="1" ht="25.5" customHeight="1" x14ac:dyDescent="0.2">
      <c r="A353" s="20">
        <v>7070</v>
      </c>
      <c r="B353" s="539" t="s">
        <v>280</v>
      </c>
      <c r="C353" s="528"/>
      <c r="D353" s="528"/>
      <c r="E353" s="528"/>
      <c r="F353" s="528"/>
      <c r="G353" s="528"/>
      <c r="H353" s="528"/>
      <c r="I353" s="529"/>
      <c r="J353" s="915"/>
      <c r="K353" s="916"/>
      <c r="L353" s="792"/>
      <c r="M353" s="793"/>
    </row>
    <row r="354" spans="1:18" s="2" customFormat="1" ht="25.5" customHeight="1" x14ac:dyDescent="0.2">
      <c r="A354" s="20">
        <v>7071</v>
      </c>
      <c r="B354" s="539" t="s">
        <v>281</v>
      </c>
      <c r="C354" s="528"/>
      <c r="D354" s="528"/>
      <c r="E354" s="528"/>
      <c r="F354" s="528"/>
      <c r="G354" s="528"/>
      <c r="H354" s="528"/>
      <c r="I354" s="528"/>
      <c r="J354" s="528"/>
      <c r="K354" s="529"/>
      <c r="L354" s="915"/>
      <c r="M354" s="916"/>
      <c r="N354" s="650" t="str">
        <f>IF(L354&gt;0,"This normally should be a negative number"," ")</f>
        <v xml:space="preserve"> </v>
      </c>
      <c r="O354" s="651"/>
      <c r="P354" s="651"/>
      <c r="Q354" s="651"/>
      <c r="R354" s="1026"/>
    </row>
    <row r="355" spans="1:18" s="2" customFormat="1" ht="25.5" customHeight="1" x14ac:dyDescent="0.2">
      <c r="A355" s="20">
        <v>7072</v>
      </c>
      <c r="B355" s="539" t="s">
        <v>282</v>
      </c>
      <c r="C355" s="528"/>
      <c r="D355" s="528"/>
      <c r="E355" s="528"/>
      <c r="F355" s="528"/>
      <c r="G355" s="528"/>
      <c r="H355" s="528"/>
      <c r="I355" s="529"/>
      <c r="J355" s="915"/>
      <c r="K355" s="916"/>
      <c r="L355" s="983"/>
      <c r="M355" s="984"/>
      <c r="N355" s="650" t="str">
        <f>IF(J355&gt;0,"This normally should be a negative number"," ")</f>
        <v xml:space="preserve"> </v>
      </c>
      <c r="O355" s="651"/>
      <c r="P355" s="651"/>
      <c r="Q355" s="651"/>
      <c r="R355" s="1026"/>
    </row>
    <row r="356" spans="1:18" s="2" customFormat="1" ht="25.5" customHeight="1" x14ac:dyDescent="0.2">
      <c r="A356" s="20">
        <v>7073</v>
      </c>
      <c r="B356" s="539" t="s">
        <v>283</v>
      </c>
      <c r="C356" s="528"/>
      <c r="D356" s="528"/>
      <c r="E356" s="528"/>
      <c r="F356" s="528"/>
      <c r="G356" s="528"/>
      <c r="H356" s="528"/>
      <c r="I356" s="529"/>
      <c r="J356" s="915"/>
      <c r="K356" s="916"/>
      <c r="L356" s="985"/>
      <c r="M356" s="986"/>
      <c r="N356" s="650" t="str">
        <f>IF(J356&gt;0,"This normally should be a negative number"," ")</f>
        <v xml:space="preserve"> </v>
      </c>
      <c r="O356" s="651"/>
      <c r="P356" s="651"/>
      <c r="Q356" s="651"/>
      <c r="R356" s="1026"/>
    </row>
    <row r="357" spans="1:18" s="2" customFormat="1" ht="25.5" customHeight="1" x14ac:dyDescent="0.2">
      <c r="A357" s="20">
        <v>7130</v>
      </c>
      <c r="B357" s="527" t="s">
        <v>1589</v>
      </c>
      <c r="C357" s="536"/>
      <c r="D357" s="536"/>
      <c r="E357" s="536"/>
      <c r="F357" s="536"/>
      <c r="G357" s="536"/>
      <c r="H357" s="536"/>
      <c r="I357" s="536"/>
      <c r="J357" s="915"/>
      <c r="K357" s="916"/>
      <c r="L357" s="987"/>
      <c r="M357" s="988"/>
      <c r="N357" s="650" t="str">
        <f>IF(J357&gt;0,"This should be a negative number"," ")</f>
        <v xml:space="preserve"> </v>
      </c>
      <c r="O357" s="651"/>
      <c r="P357" s="651"/>
      <c r="Q357" s="651"/>
      <c r="R357" s="1026"/>
    </row>
    <row r="358" spans="1:18" s="2" customFormat="1" ht="25.5" customHeight="1" x14ac:dyDescent="0.2">
      <c r="A358" s="20">
        <v>7085</v>
      </c>
      <c r="B358" s="539" t="s">
        <v>284</v>
      </c>
      <c r="C358" s="528"/>
      <c r="D358" s="528"/>
      <c r="E358" s="528"/>
      <c r="F358" s="528"/>
      <c r="G358" s="528"/>
      <c r="H358" s="528"/>
      <c r="I358" s="528"/>
      <c r="J358" s="528"/>
      <c r="K358" s="529"/>
      <c r="L358" s="915"/>
      <c r="M358" s="916"/>
      <c r="N358" s="644" t="str">
        <f>IF(AND(ISBLANK(L358),L351&gt;0),"If charges are entered, then expenses must also be entered.","")</f>
        <v/>
      </c>
      <c r="O358" s="645"/>
      <c r="P358" s="645"/>
      <c r="Q358" s="645"/>
      <c r="R358" s="617"/>
    </row>
    <row r="359" spans="1:18" s="2" customFormat="1" ht="25.5" customHeight="1" x14ac:dyDescent="0.2">
      <c r="A359" s="40"/>
    </row>
    <row r="360" spans="1:18" s="2" customFormat="1" ht="25.5" customHeight="1" x14ac:dyDescent="0.2">
      <c r="A360" s="1014" t="s">
        <v>1524</v>
      </c>
      <c r="B360" s="634"/>
      <c r="C360" s="634"/>
      <c r="D360" s="634"/>
      <c r="E360" s="634"/>
      <c r="F360" s="634"/>
      <c r="G360" s="634"/>
      <c r="H360" s="634"/>
      <c r="I360" s="634"/>
      <c r="J360" s="634"/>
      <c r="K360" s="634"/>
      <c r="L360" s="634"/>
      <c r="M360" s="634"/>
    </row>
    <row r="361" spans="1:18" s="2" customFormat="1" ht="25.5" customHeight="1" x14ac:dyDescent="0.2">
      <c r="A361" s="18"/>
      <c r="B361" s="19"/>
      <c r="C361" s="19"/>
      <c r="D361" s="19"/>
      <c r="E361" s="19"/>
      <c r="F361" s="19"/>
      <c r="G361" s="19"/>
      <c r="H361" s="19"/>
      <c r="I361" s="19"/>
      <c r="J361" s="19"/>
      <c r="K361" s="19"/>
      <c r="L361" s="19"/>
      <c r="M361" s="19"/>
    </row>
    <row r="362" spans="1:18" s="2" customFormat="1" ht="25.5" customHeight="1" x14ac:dyDescent="0.2">
      <c r="A362" s="989" t="s">
        <v>1525</v>
      </c>
      <c r="B362" s="646"/>
      <c r="C362" s="646"/>
      <c r="D362" s="646"/>
      <c r="E362" s="646"/>
      <c r="F362" s="646"/>
      <c r="G362" s="646"/>
      <c r="H362" s="646"/>
      <c r="I362" s="646"/>
      <c r="J362" s="646"/>
      <c r="K362" s="646"/>
      <c r="L362" s="646"/>
      <c r="M362" s="646"/>
    </row>
    <row r="363" spans="1:18" s="2" customFormat="1" ht="25.5" customHeight="1" x14ac:dyDescent="0.2">
      <c r="A363" s="646"/>
      <c r="B363" s="646"/>
      <c r="C363" s="646"/>
      <c r="D363" s="646"/>
      <c r="E363" s="646"/>
      <c r="F363" s="646"/>
      <c r="G363" s="646"/>
      <c r="H363" s="646"/>
      <c r="I363" s="646"/>
      <c r="J363" s="646"/>
      <c r="K363" s="646"/>
      <c r="L363" s="646"/>
      <c r="M363" s="646"/>
    </row>
    <row r="364" spans="1:18" s="2" customFormat="1" ht="25.5" customHeight="1" x14ac:dyDescent="0.2">
      <c r="A364" s="773" t="s">
        <v>1523</v>
      </c>
      <c r="B364" s="567"/>
      <c r="C364" s="567"/>
      <c r="D364" s="567"/>
      <c r="E364" s="567"/>
      <c r="F364" s="567"/>
      <c r="G364" s="567"/>
      <c r="H364" s="567"/>
      <c r="I364" s="567"/>
      <c r="J364" s="567"/>
      <c r="K364" s="674"/>
      <c r="L364" s="780" t="s">
        <v>2834</v>
      </c>
      <c r="M364" s="781"/>
    </row>
    <row r="365" spans="1:18" s="2" customFormat="1" ht="25.5" customHeight="1" x14ac:dyDescent="0.2">
      <c r="A365" s="20">
        <v>7075</v>
      </c>
      <c r="B365" s="539" t="s">
        <v>285</v>
      </c>
      <c r="C365" s="528"/>
      <c r="D365" s="528"/>
      <c r="E365" s="528"/>
      <c r="F365" s="528"/>
      <c r="G365" s="528"/>
      <c r="H365" s="528"/>
      <c r="I365" s="528"/>
      <c r="J365" s="528"/>
      <c r="K365" s="529"/>
      <c r="L365" s="878">
        <f>Code_7092</f>
        <v>0</v>
      </c>
      <c r="M365" s="879"/>
    </row>
    <row r="366" spans="1:18" s="2" customFormat="1" ht="25.5" customHeight="1" x14ac:dyDescent="0.2">
      <c r="A366" s="20">
        <v>7076</v>
      </c>
      <c r="B366" s="539" t="s">
        <v>286</v>
      </c>
      <c r="C366" s="528"/>
      <c r="D366" s="528"/>
      <c r="E366" s="528"/>
      <c r="F366" s="528"/>
      <c r="G366" s="528"/>
      <c r="H366" s="528"/>
      <c r="I366" s="529"/>
      <c r="J366" s="915"/>
      <c r="K366" s="916"/>
      <c r="L366" s="790"/>
      <c r="M366" s="791"/>
    </row>
    <row r="367" spans="1:18" s="2" customFormat="1" ht="25.5" customHeight="1" x14ac:dyDescent="0.2">
      <c r="A367" s="20">
        <v>7077</v>
      </c>
      <c r="B367" s="539" t="s">
        <v>287</v>
      </c>
      <c r="C367" s="528"/>
      <c r="D367" s="528"/>
      <c r="E367" s="528"/>
      <c r="F367" s="528"/>
      <c r="G367" s="528"/>
      <c r="H367" s="528"/>
      <c r="I367" s="529"/>
      <c r="J367" s="915"/>
      <c r="K367" s="916"/>
      <c r="L367" s="792"/>
      <c r="M367" s="793"/>
    </row>
    <row r="368" spans="1:18" s="2" customFormat="1" ht="25.5" customHeight="1" x14ac:dyDescent="0.2">
      <c r="A368" s="20">
        <v>7078</v>
      </c>
      <c r="B368" s="539" t="s">
        <v>288</v>
      </c>
      <c r="C368" s="528"/>
      <c r="D368" s="528"/>
      <c r="E368" s="528"/>
      <c r="F368" s="528"/>
      <c r="G368" s="528"/>
      <c r="H368" s="528"/>
      <c r="I368" s="528"/>
      <c r="J368" s="528"/>
      <c r="K368" s="529"/>
      <c r="L368" s="915"/>
      <c r="M368" s="916"/>
      <c r="N368" s="650" t="str">
        <f>IF(L368&gt;0,"This normally should be a negative number"," ")</f>
        <v xml:space="preserve"> </v>
      </c>
      <c r="O368" s="651"/>
      <c r="P368" s="651"/>
      <c r="Q368" s="651"/>
      <c r="R368" s="1026"/>
    </row>
    <row r="369" spans="1:18" s="2" customFormat="1" ht="25.5" customHeight="1" x14ac:dyDescent="0.2">
      <c r="A369" s="20">
        <v>7079</v>
      </c>
      <c r="B369" s="539" t="s">
        <v>289</v>
      </c>
      <c r="C369" s="528"/>
      <c r="D369" s="528"/>
      <c r="E369" s="528"/>
      <c r="F369" s="528"/>
      <c r="G369" s="528"/>
      <c r="H369" s="528"/>
      <c r="I369" s="529"/>
      <c r="J369" s="915"/>
      <c r="K369" s="916"/>
      <c r="L369" s="983"/>
      <c r="M369" s="984"/>
      <c r="N369" s="650" t="str">
        <f>IF(J369&gt;0,"This normally should be a negative number"," ")</f>
        <v xml:space="preserve"> </v>
      </c>
      <c r="O369" s="651"/>
      <c r="P369" s="651"/>
      <c r="Q369" s="651"/>
      <c r="R369" s="1026"/>
    </row>
    <row r="370" spans="1:18" s="2" customFormat="1" ht="25.5" customHeight="1" x14ac:dyDescent="0.2">
      <c r="A370" s="20">
        <v>7080</v>
      </c>
      <c r="B370" s="539" t="s">
        <v>290</v>
      </c>
      <c r="C370" s="528"/>
      <c r="D370" s="528"/>
      <c r="E370" s="528"/>
      <c r="F370" s="528"/>
      <c r="G370" s="528"/>
      <c r="H370" s="528"/>
      <c r="I370" s="529"/>
      <c r="J370" s="915"/>
      <c r="K370" s="916"/>
      <c r="L370" s="985"/>
      <c r="M370" s="986"/>
      <c r="N370" s="650" t="str">
        <f>IF(J370&gt;0,"This normally should be a negative number"," ")</f>
        <v xml:space="preserve"> </v>
      </c>
      <c r="O370" s="651"/>
      <c r="P370" s="651"/>
      <c r="Q370" s="651"/>
      <c r="R370" s="1026"/>
    </row>
    <row r="371" spans="1:18" s="2" customFormat="1" ht="25.5" customHeight="1" x14ac:dyDescent="0.2">
      <c r="A371" s="20">
        <v>7124</v>
      </c>
      <c r="B371" s="539" t="s">
        <v>291</v>
      </c>
      <c r="C371" s="528"/>
      <c r="D371" s="528"/>
      <c r="E371" s="528"/>
      <c r="F371" s="528"/>
      <c r="G371" s="528"/>
      <c r="H371" s="528"/>
      <c r="I371" s="529"/>
      <c r="J371" s="915"/>
      <c r="K371" s="916"/>
      <c r="L371" s="985"/>
      <c r="M371" s="986"/>
      <c r="N371" s="650" t="str">
        <f>IF(J371&gt;0,"This normally should be a negative number"," ")</f>
        <v xml:space="preserve"> </v>
      </c>
      <c r="O371" s="651"/>
      <c r="P371" s="651"/>
      <c r="Q371" s="651"/>
      <c r="R371" s="1026"/>
    </row>
    <row r="372" spans="1:18" s="2" customFormat="1" ht="25.5" customHeight="1" x14ac:dyDescent="0.2">
      <c r="A372" s="20">
        <v>7131</v>
      </c>
      <c r="B372" s="527" t="s">
        <v>1588</v>
      </c>
      <c r="C372" s="536"/>
      <c r="D372" s="536"/>
      <c r="E372" s="536"/>
      <c r="F372" s="536"/>
      <c r="G372" s="536"/>
      <c r="H372" s="536"/>
      <c r="I372" s="536"/>
      <c r="J372" s="915"/>
      <c r="K372" s="916"/>
      <c r="L372" s="987"/>
      <c r="M372" s="988"/>
      <c r="N372" s="650" t="str">
        <f>IF(J372&gt;0,"This should be a negative number"," ")</f>
        <v xml:space="preserve"> </v>
      </c>
      <c r="O372" s="651"/>
      <c r="P372" s="651"/>
      <c r="Q372" s="651"/>
      <c r="R372" s="1026"/>
    </row>
    <row r="373" spans="1:18" s="2" customFormat="1" ht="25.5" customHeight="1" x14ac:dyDescent="0.2">
      <c r="A373" s="20">
        <v>7086</v>
      </c>
      <c r="B373" s="539" t="s">
        <v>292</v>
      </c>
      <c r="C373" s="528"/>
      <c r="D373" s="528"/>
      <c r="E373" s="528"/>
      <c r="F373" s="528"/>
      <c r="G373" s="528"/>
      <c r="H373" s="528"/>
      <c r="I373" s="528"/>
      <c r="J373" s="528"/>
      <c r="K373" s="529"/>
      <c r="L373" s="915"/>
      <c r="M373" s="916"/>
      <c r="N373" s="644" t="str">
        <f>IF(AND(ISBLANK(L373),L365&gt;0),"If charges are entered, then expenses must also be entered.","")</f>
        <v/>
      </c>
      <c r="O373" s="645"/>
      <c r="P373" s="645"/>
      <c r="Q373" s="645"/>
      <c r="R373" s="617"/>
    </row>
    <row r="374" spans="1:18" s="2" customFormat="1" ht="25.5" customHeight="1" x14ac:dyDescent="0.2">
      <c r="A374" s="15" t="str">
        <f>$A$33</f>
        <v xml:space="preserve"> </v>
      </c>
    </row>
    <row r="375" spans="1:18" s="2" customFormat="1" ht="25.5" customHeight="1" x14ac:dyDescent="0.2">
      <c r="A375" s="1014" t="s">
        <v>1534</v>
      </c>
      <c r="B375" s="634"/>
      <c r="C375" s="634"/>
      <c r="D375" s="634"/>
      <c r="E375" s="634"/>
      <c r="F375" s="634"/>
      <c r="G375" s="634"/>
      <c r="H375" s="634"/>
      <c r="I375" s="634"/>
      <c r="J375" s="634"/>
      <c r="K375" s="634"/>
      <c r="L375" s="634"/>
      <c r="M375" s="634"/>
    </row>
    <row r="376" spans="1:18" s="2" customFormat="1" ht="25.5" customHeight="1" x14ac:dyDescent="0.2">
      <c r="A376" s="1027" t="s">
        <v>1529</v>
      </c>
      <c r="B376" s="1028"/>
      <c r="C376" s="1028"/>
      <c r="D376" s="1028"/>
      <c r="E376" s="3"/>
      <c r="F376" s="1030" t="s">
        <v>293</v>
      </c>
      <c r="G376" s="1031"/>
      <c r="H376" s="3"/>
      <c r="I376" s="1030" t="s">
        <v>294</v>
      </c>
      <c r="J376" s="1031"/>
      <c r="K376" s="50"/>
      <c r="L376" s="780" t="s">
        <v>2834</v>
      </c>
      <c r="M376" s="781"/>
      <c r="N376" s="1026" t="str">
        <f>IF($D$5&gt;=200,"This section is REQUIRED for Pyschiatric and Specialty hospitals.","")</f>
        <v/>
      </c>
      <c r="O376" s="1026"/>
      <c r="P376" s="1026"/>
      <c r="Q376" s="1026"/>
      <c r="R376" s="1026"/>
    </row>
    <row r="377" spans="1:18" s="2" customFormat="1" ht="25.5" customHeight="1" x14ac:dyDescent="0.2">
      <c r="A377" s="1029"/>
      <c r="B377" s="1029"/>
      <c r="C377" s="1029"/>
      <c r="D377" s="1029"/>
      <c r="E377" s="51" t="s">
        <v>295</v>
      </c>
      <c r="F377" s="1032"/>
      <c r="G377" s="1032"/>
      <c r="H377" s="51" t="s">
        <v>295</v>
      </c>
      <c r="I377" s="1032"/>
      <c r="J377" s="1032"/>
      <c r="K377" s="51" t="s">
        <v>295</v>
      </c>
      <c r="L377" s="593" t="s">
        <v>296</v>
      </c>
      <c r="M377" s="593"/>
    </row>
    <row r="378" spans="1:18" s="2" customFormat="1" ht="25.5" customHeight="1" x14ac:dyDescent="0.2">
      <c r="A378" s="995" t="s">
        <v>297</v>
      </c>
      <c r="B378" s="996"/>
      <c r="C378" s="996"/>
      <c r="D378" s="997"/>
      <c r="E378" s="384">
        <v>2021</v>
      </c>
      <c r="F378" s="915"/>
      <c r="G378" s="916"/>
      <c r="H378" s="384">
        <v>2031</v>
      </c>
      <c r="I378" s="998"/>
      <c r="J378" s="999"/>
      <c r="K378" s="384">
        <v>2071</v>
      </c>
      <c r="L378" s="998"/>
      <c r="M378" s="999"/>
      <c r="N378" s="653" t="s">
        <v>1379</v>
      </c>
      <c r="O378" s="654"/>
      <c r="P378" s="654"/>
      <c r="Q378" s="654"/>
      <c r="R378" s="654"/>
    </row>
    <row r="379" spans="1:18" s="2" customFormat="1" ht="25.5" customHeight="1" x14ac:dyDescent="0.2">
      <c r="A379" s="995" t="s">
        <v>298</v>
      </c>
      <c r="B379" s="996"/>
      <c r="C379" s="996"/>
      <c r="D379" s="997"/>
      <c r="E379" s="384">
        <v>2022</v>
      </c>
      <c r="F379" s="915"/>
      <c r="G379" s="916"/>
      <c r="H379" s="384">
        <v>2032</v>
      </c>
      <c r="I379" s="998"/>
      <c r="J379" s="999"/>
      <c r="K379" s="384">
        <v>2072</v>
      </c>
      <c r="L379" s="998"/>
      <c r="M379" s="999"/>
    </row>
    <row r="380" spans="1:18" s="2" customFormat="1" ht="25.5" customHeight="1" x14ac:dyDescent="0.2">
      <c r="A380" s="995" t="s">
        <v>299</v>
      </c>
      <c r="B380" s="996"/>
      <c r="C380" s="996"/>
      <c r="D380" s="997"/>
      <c r="E380" s="384">
        <v>2121</v>
      </c>
      <c r="F380" s="915"/>
      <c r="G380" s="916"/>
      <c r="H380" s="384">
        <v>2131</v>
      </c>
      <c r="I380" s="998"/>
      <c r="J380" s="999"/>
      <c r="K380" s="384">
        <v>2171</v>
      </c>
      <c r="L380" s="998"/>
      <c r="M380" s="999"/>
    </row>
    <row r="381" spans="1:18" s="2" customFormat="1" ht="25.5" customHeight="1" x14ac:dyDescent="0.2">
      <c r="A381" s="995" t="s">
        <v>300</v>
      </c>
      <c r="B381" s="996"/>
      <c r="C381" s="996"/>
      <c r="D381" s="997"/>
      <c r="E381" s="384">
        <v>2026</v>
      </c>
      <c r="F381" s="915"/>
      <c r="G381" s="916"/>
      <c r="H381" s="384">
        <v>2036</v>
      </c>
      <c r="I381" s="998"/>
      <c r="J381" s="999"/>
      <c r="K381" s="384">
        <v>2076</v>
      </c>
      <c r="L381" s="998"/>
      <c r="M381" s="999"/>
    </row>
    <row r="382" spans="1:18" s="2" customFormat="1" ht="25.5" customHeight="1" x14ac:dyDescent="0.2">
      <c r="A382" s="995" t="s">
        <v>301</v>
      </c>
      <c r="B382" s="996"/>
      <c r="C382" s="996"/>
      <c r="D382" s="997"/>
      <c r="E382" s="384">
        <v>2023</v>
      </c>
      <c r="F382" s="915"/>
      <c r="G382" s="916"/>
      <c r="H382" s="384">
        <v>2033</v>
      </c>
      <c r="I382" s="998"/>
      <c r="J382" s="999"/>
      <c r="K382" s="384">
        <v>2073</v>
      </c>
      <c r="L382" s="998"/>
      <c r="M382" s="999"/>
    </row>
    <row r="383" spans="1:18" s="2" customFormat="1" ht="25.5" customHeight="1" x14ac:dyDescent="0.2">
      <c r="A383" s="995" t="s">
        <v>302</v>
      </c>
      <c r="B383" s="996"/>
      <c r="C383" s="996"/>
      <c r="D383" s="997"/>
      <c r="E383" s="384">
        <v>2027</v>
      </c>
      <c r="F383" s="915"/>
      <c r="G383" s="916"/>
      <c r="H383" s="384">
        <v>2037</v>
      </c>
      <c r="I383" s="998"/>
      <c r="J383" s="999"/>
      <c r="K383" s="384">
        <v>2077</v>
      </c>
      <c r="L383" s="998"/>
      <c r="M383" s="999"/>
    </row>
    <row r="384" spans="1:18" s="2" customFormat="1" ht="25.5" customHeight="1" x14ac:dyDescent="0.2">
      <c r="A384" s="995" t="s">
        <v>303</v>
      </c>
      <c r="B384" s="996"/>
      <c r="C384" s="996"/>
      <c r="D384" s="997"/>
      <c r="E384" s="384">
        <v>2024</v>
      </c>
      <c r="F384" s="915"/>
      <c r="G384" s="916"/>
      <c r="H384" s="384">
        <v>2034</v>
      </c>
      <c r="I384" s="998"/>
      <c r="J384" s="999"/>
      <c r="K384" s="384">
        <v>2074</v>
      </c>
      <c r="L384" s="998"/>
      <c r="M384" s="999"/>
    </row>
    <row r="385" spans="1:18" s="2" customFormat="1" ht="25.5" customHeight="1" x14ac:dyDescent="0.2">
      <c r="A385" s="995" t="s">
        <v>304</v>
      </c>
      <c r="B385" s="996"/>
      <c r="C385" s="996"/>
      <c r="D385" s="997"/>
      <c r="E385" s="384">
        <v>2028</v>
      </c>
      <c r="F385" s="915"/>
      <c r="G385" s="916"/>
      <c r="H385" s="384">
        <v>2038</v>
      </c>
      <c r="I385" s="998"/>
      <c r="J385" s="999"/>
      <c r="K385" s="384">
        <v>2078</v>
      </c>
      <c r="L385" s="998"/>
      <c r="M385" s="999"/>
    </row>
    <row r="386" spans="1:18" s="2" customFormat="1" ht="25.5" customHeight="1" x14ac:dyDescent="0.2">
      <c r="A386" s="995" t="s">
        <v>305</v>
      </c>
      <c r="B386" s="996"/>
      <c r="C386" s="996"/>
      <c r="D386" s="997"/>
      <c r="E386" s="384">
        <v>2122</v>
      </c>
      <c r="F386" s="915"/>
      <c r="G386" s="916"/>
      <c r="H386" s="384">
        <v>2132</v>
      </c>
      <c r="I386" s="998"/>
      <c r="J386" s="999"/>
      <c r="K386" s="384">
        <v>2172</v>
      </c>
      <c r="L386" s="998"/>
      <c r="M386" s="999"/>
    </row>
    <row r="387" spans="1:18" s="2" customFormat="1" ht="25.5" customHeight="1" x14ac:dyDescent="0.2">
      <c r="A387" s="995" t="s">
        <v>306</v>
      </c>
      <c r="B387" s="996"/>
      <c r="C387" s="996"/>
      <c r="D387" s="997"/>
      <c r="E387" s="384">
        <v>2123</v>
      </c>
      <c r="F387" s="915"/>
      <c r="G387" s="916"/>
      <c r="H387" s="384">
        <v>2133</v>
      </c>
      <c r="I387" s="998"/>
      <c r="J387" s="999"/>
      <c r="K387" s="384">
        <v>2173</v>
      </c>
      <c r="L387" s="998"/>
      <c r="M387" s="999"/>
    </row>
    <row r="388" spans="1:18" s="2" customFormat="1" ht="25.5" customHeight="1" x14ac:dyDescent="0.2">
      <c r="A388" s="1033" t="s">
        <v>1724</v>
      </c>
      <c r="B388" s="996"/>
      <c r="C388" s="996"/>
      <c r="D388" s="997"/>
      <c r="E388" s="384">
        <v>2178</v>
      </c>
      <c r="F388" s="915"/>
      <c r="G388" s="916"/>
      <c r="H388" s="384">
        <v>2188</v>
      </c>
      <c r="I388" s="998"/>
      <c r="J388" s="999"/>
      <c r="K388" s="384">
        <v>2198</v>
      </c>
      <c r="L388" s="998"/>
      <c r="M388" s="999"/>
    </row>
    <row r="389" spans="1:18" s="2" customFormat="1" ht="25.5" customHeight="1" x14ac:dyDescent="0.2">
      <c r="A389" s="995" t="s">
        <v>307</v>
      </c>
      <c r="B389" s="996"/>
      <c r="C389" s="996"/>
      <c r="D389" s="997"/>
      <c r="E389" s="384">
        <v>2125</v>
      </c>
      <c r="F389" s="915"/>
      <c r="G389" s="916"/>
      <c r="H389" s="384">
        <v>2135</v>
      </c>
      <c r="I389" s="998"/>
      <c r="J389" s="999"/>
      <c r="K389" s="384">
        <v>2175</v>
      </c>
      <c r="L389" s="998"/>
      <c r="M389" s="999"/>
    </row>
    <row r="390" spans="1:18" s="2" customFormat="1" ht="25.5" customHeight="1" x14ac:dyDescent="0.2">
      <c r="A390" s="995" t="s">
        <v>2079</v>
      </c>
      <c r="B390" s="996"/>
      <c r="C390" s="996"/>
      <c r="D390" s="997"/>
      <c r="E390" s="384">
        <v>2104</v>
      </c>
      <c r="F390" s="915"/>
      <c r="G390" s="916"/>
      <c r="H390" s="384">
        <v>2114</v>
      </c>
      <c r="I390" s="998"/>
      <c r="J390" s="999"/>
      <c r="K390" s="384">
        <v>2194</v>
      </c>
      <c r="L390" s="998"/>
      <c r="M390" s="999"/>
    </row>
    <row r="391" spans="1:18" s="2" customFormat="1" ht="25.5" customHeight="1" x14ac:dyDescent="0.2">
      <c r="A391" s="995" t="s">
        <v>308</v>
      </c>
      <c r="B391" s="996"/>
      <c r="C391" s="996"/>
      <c r="D391" s="997"/>
      <c r="E391" s="52"/>
      <c r="F391" s="1034"/>
      <c r="G391" s="1034"/>
      <c r="H391" s="53"/>
      <c r="I391" s="1034"/>
      <c r="J391" s="1035"/>
      <c r="K391" s="384">
        <v>2176</v>
      </c>
      <c r="L391" s="998"/>
      <c r="M391" s="999"/>
    </row>
    <row r="392" spans="1:18" s="2" customFormat="1" ht="25.5" customHeight="1" x14ac:dyDescent="0.2">
      <c r="A392" s="1041" t="s">
        <v>309</v>
      </c>
      <c r="B392" s="996"/>
      <c r="C392" s="996"/>
      <c r="D392" s="997"/>
      <c r="E392" s="384">
        <v>2128</v>
      </c>
      <c r="F392" s="632">
        <f>F393-SUM(F378:G391)</f>
        <v>0</v>
      </c>
      <c r="G392" s="633"/>
      <c r="H392" s="384">
        <v>2138</v>
      </c>
      <c r="I392" s="1042">
        <f>I393-SUM(I378:J391)</f>
        <v>0</v>
      </c>
      <c r="J392" s="1043"/>
      <c r="K392" s="384">
        <v>2177</v>
      </c>
      <c r="L392" s="1042">
        <f>L393-SUM(L378:M391)</f>
        <v>0</v>
      </c>
      <c r="M392" s="1043"/>
    </row>
    <row r="393" spans="1:18" s="2" customFormat="1" ht="25.5" customHeight="1" x14ac:dyDescent="0.2">
      <c r="A393" s="1036" t="s">
        <v>310</v>
      </c>
      <c r="B393" s="1017"/>
      <c r="C393" s="1017"/>
      <c r="D393" s="1018"/>
      <c r="E393" s="384">
        <v>2030</v>
      </c>
      <c r="F393" s="1037">
        <f>Code_0601</f>
        <v>0</v>
      </c>
      <c r="G393" s="1038"/>
      <c r="H393" s="384">
        <v>2040</v>
      </c>
      <c r="I393" s="1039"/>
      <c r="J393" s="1040"/>
      <c r="K393" s="384">
        <v>2080</v>
      </c>
      <c r="L393" s="1039"/>
      <c r="M393" s="1040"/>
    </row>
    <row r="394" spans="1:18" s="2" customFormat="1" ht="25.5" customHeight="1" x14ac:dyDescent="0.2">
      <c r="A394" s="15"/>
    </row>
    <row r="395" spans="1:18" s="2" customFormat="1" ht="25.5" customHeight="1" x14ac:dyDescent="0.2">
      <c r="A395" s="1014" t="s">
        <v>1534</v>
      </c>
      <c r="B395" s="634"/>
      <c r="C395" s="634"/>
      <c r="D395" s="634"/>
      <c r="E395" s="634"/>
      <c r="F395" s="634"/>
      <c r="G395" s="634"/>
      <c r="H395" s="634"/>
      <c r="I395" s="634"/>
      <c r="J395" s="634"/>
      <c r="K395" s="634"/>
      <c r="L395" s="634"/>
      <c r="M395" s="634"/>
    </row>
    <row r="396" spans="1:18" s="2" customFormat="1" ht="25.5" customHeight="1" x14ac:dyDescent="0.2">
      <c r="A396" s="1027" t="s">
        <v>1297</v>
      </c>
      <c r="B396" s="1028"/>
      <c r="C396" s="1028"/>
      <c r="D396" s="1028"/>
      <c r="E396" s="3"/>
      <c r="F396" s="1030" t="s">
        <v>311</v>
      </c>
      <c r="G396" s="1031"/>
      <c r="H396" s="3"/>
      <c r="I396" s="1030" t="s">
        <v>312</v>
      </c>
      <c r="J396" s="1031"/>
      <c r="K396" s="50"/>
      <c r="L396" s="780" t="s">
        <v>2834</v>
      </c>
      <c r="M396" s="781"/>
      <c r="N396" s="1026" t="str">
        <f>IF($D$5&gt;=200,"This section is REQUIRED for Pyschiatric and Specialty hospitals.","")</f>
        <v/>
      </c>
      <c r="O396" s="1026"/>
      <c r="P396" s="1026"/>
      <c r="Q396" s="1026"/>
      <c r="R396" s="1026"/>
    </row>
    <row r="397" spans="1:18" s="2" customFormat="1" ht="25.5" customHeight="1" x14ac:dyDescent="0.2">
      <c r="A397" s="1029"/>
      <c r="B397" s="1029"/>
      <c r="C397" s="1029"/>
      <c r="D397" s="1029"/>
      <c r="E397" s="51" t="s">
        <v>295</v>
      </c>
      <c r="F397" s="1032"/>
      <c r="G397" s="1032"/>
      <c r="H397" s="51" t="s">
        <v>295</v>
      </c>
      <c r="I397" s="1032"/>
      <c r="J397" s="1032"/>
      <c r="K397" s="51" t="s">
        <v>295</v>
      </c>
      <c r="L397" s="1044" t="s">
        <v>313</v>
      </c>
      <c r="M397" s="593"/>
    </row>
    <row r="398" spans="1:18" s="2" customFormat="1" ht="25.5" customHeight="1" x14ac:dyDescent="0.2">
      <c r="A398" s="995" t="s">
        <v>297</v>
      </c>
      <c r="B398" s="996"/>
      <c r="C398" s="996"/>
      <c r="D398" s="997"/>
      <c r="E398" s="384">
        <v>2051</v>
      </c>
      <c r="F398" s="782"/>
      <c r="G398" s="783"/>
      <c r="H398" s="384">
        <v>2061</v>
      </c>
      <c r="I398" s="782"/>
      <c r="J398" s="783"/>
      <c r="K398" s="384">
        <v>7412</v>
      </c>
      <c r="L398" s="720">
        <f t="shared" ref="L398:L413" si="0">F398+I398</f>
        <v>0</v>
      </c>
      <c r="M398" s="721"/>
      <c r="N398" s="653"/>
      <c r="O398" s="654"/>
      <c r="P398" s="654"/>
      <c r="Q398" s="654"/>
      <c r="R398" s="654"/>
    </row>
    <row r="399" spans="1:18" s="2" customFormat="1" ht="25.5" customHeight="1" x14ac:dyDescent="0.2">
      <c r="A399" s="995" t="s">
        <v>298</v>
      </c>
      <c r="B399" s="996"/>
      <c r="C399" s="996"/>
      <c r="D399" s="997"/>
      <c r="E399" s="384">
        <v>2052</v>
      </c>
      <c r="F399" s="782"/>
      <c r="G399" s="783"/>
      <c r="H399" s="384">
        <v>2062</v>
      </c>
      <c r="I399" s="782"/>
      <c r="J399" s="783"/>
      <c r="K399" s="384">
        <v>7413</v>
      </c>
      <c r="L399" s="720">
        <f t="shared" si="0"/>
        <v>0</v>
      </c>
      <c r="M399" s="721"/>
    </row>
    <row r="400" spans="1:18" s="2" customFormat="1" ht="25.5" customHeight="1" x14ac:dyDescent="0.2">
      <c r="A400" s="995" t="s">
        <v>299</v>
      </c>
      <c r="B400" s="996"/>
      <c r="C400" s="996"/>
      <c r="D400" s="997"/>
      <c r="E400" s="384">
        <v>2151</v>
      </c>
      <c r="F400" s="782"/>
      <c r="G400" s="783"/>
      <c r="H400" s="384">
        <v>2161</v>
      </c>
      <c r="I400" s="782"/>
      <c r="J400" s="783"/>
      <c r="K400" s="384">
        <v>7414</v>
      </c>
      <c r="L400" s="720">
        <f t="shared" si="0"/>
        <v>0</v>
      </c>
      <c r="M400" s="721"/>
    </row>
    <row r="401" spans="1:18" s="2" customFormat="1" ht="25.5" customHeight="1" x14ac:dyDescent="0.2">
      <c r="A401" s="995" t="s">
        <v>300</v>
      </c>
      <c r="B401" s="996"/>
      <c r="C401" s="996"/>
      <c r="D401" s="997"/>
      <c r="E401" s="384">
        <v>2056</v>
      </c>
      <c r="F401" s="782"/>
      <c r="G401" s="783"/>
      <c r="H401" s="384">
        <v>2066</v>
      </c>
      <c r="I401" s="782"/>
      <c r="J401" s="783"/>
      <c r="K401" s="384">
        <v>7415</v>
      </c>
      <c r="L401" s="720">
        <f t="shared" si="0"/>
        <v>0</v>
      </c>
      <c r="M401" s="721"/>
    </row>
    <row r="402" spans="1:18" s="2" customFormat="1" ht="25.5" customHeight="1" x14ac:dyDescent="0.2">
      <c r="A402" s="995" t="s">
        <v>301</v>
      </c>
      <c r="B402" s="996"/>
      <c r="C402" s="996"/>
      <c r="D402" s="997"/>
      <c r="E402" s="384">
        <v>2053</v>
      </c>
      <c r="F402" s="782"/>
      <c r="G402" s="783"/>
      <c r="H402" s="384">
        <v>2063</v>
      </c>
      <c r="I402" s="782"/>
      <c r="J402" s="783"/>
      <c r="K402" s="384">
        <v>7416</v>
      </c>
      <c r="L402" s="720">
        <f t="shared" si="0"/>
        <v>0</v>
      </c>
      <c r="M402" s="721"/>
    </row>
    <row r="403" spans="1:18" s="2" customFormat="1" ht="25.5" customHeight="1" x14ac:dyDescent="0.2">
      <c r="A403" s="995" t="s">
        <v>302</v>
      </c>
      <c r="B403" s="996"/>
      <c r="C403" s="996"/>
      <c r="D403" s="997"/>
      <c r="E403" s="384">
        <v>2057</v>
      </c>
      <c r="F403" s="782"/>
      <c r="G403" s="783"/>
      <c r="H403" s="384">
        <v>2067</v>
      </c>
      <c r="I403" s="782"/>
      <c r="J403" s="783"/>
      <c r="K403" s="384">
        <v>7417</v>
      </c>
      <c r="L403" s="720">
        <f t="shared" si="0"/>
        <v>0</v>
      </c>
      <c r="M403" s="721"/>
    </row>
    <row r="404" spans="1:18" s="2" customFormat="1" ht="25.5" customHeight="1" x14ac:dyDescent="0.2">
      <c r="A404" s="995" t="s">
        <v>303</v>
      </c>
      <c r="B404" s="996"/>
      <c r="C404" s="996"/>
      <c r="D404" s="997"/>
      <c r="E404" s="384">
        <v>2054</v>
      </c>
      <c r="F404" s="782"/>
      <c r="G404" s="783"/>
      <c r="H404" s="384">
        <v>2064</v>
      </c>
      <c r="I404" s="782"/>
      <c r="J404" s="783"/>
      <c r="K404" s="384">
        <v>7418</v>
      </c>
      <c r="L404" s="720">
        <f t="shared" si="0"/>
        <v>0</v>
      </c>
      <c r="M404" s="721"/>
    </row>
    <row r="405" spans="1:18" s="2" customFormat="1" ht="25.5" customHeight="1" x14ac:dyDescent="0.2">
      <c r="A405" s="995" t="s">
        <v>304</v>
      </c>
      <c r="B405" s="996"/>
      <c r="C405" s="996"/>
      <c r="D405" s="997"/>
      <c r="E405" s="384">
        <v>2058</v>
      </c>
      <c r="F405" s="782"/>
      <c r="G405" s="783"/>
      <c r="H405" s="384">
        <v>2068</v>
      </c>
      <c r="I405" s="782"/>
      <c r="J405" s="783"/>
      <c r="K405" s="384">
        <v>7419</v>
      </c>
      <c r="L405" s="720">
        <f t="shared" si="0"/>
        <v>0</v>
      </c>
      <c r="M405" s="721"/>
    </row>
    <row r="406" spans="1:18" s="2" customFormat="1" ht="25.5" customHeight="1" x14ac:dyDescent="0.2">
      <c r="A406" s="995" t="s">
        <v>305</v>
      </c>
      <c r="B406" s="996"/>
      <c r="C406" s="996"/>
      <c r="D406" s="997"/>
      <c r="E406" s="384">
        <v>2152</v>
      </c>
      <c r="F406" s="782"/>
      <c r="G406" s="783"/>
      <c r="H406" s="384">
        <v>2162</v>
      </c>
      <c r="I406" s="782"/>
      <c r="J406" s="783"/>
      <c r="K406" s="384">
        <v>7420</v>
      </c>
      <c r="L406" s="720">
        <f t="shared" si="0"/>
        <v>0</v>
      </c>
      <c r="M406" s="721"/>
    </row>
    <row r="407" spans="1:18" s="2" customFormat="1" ht="25.5" customHeight="1" x14ac:dyDescent="0.2">
      <c r="A407" s="995" t="s">
        <v>306</v>
      </c>
      <c r="B407" s="996"/>
      <c r="C407" s="996"/>
      <c r="D407" s="997"/>
      <c r="E407" s="384">
        <v>2153</v>
      </c>
      <c r="F407" s="782"/>
      <c r="G407" s="783"/>
      <c r="H407" s="384">
        <v>2163</v>
      </c>
      <c r="I407" s="782"/>
      <c r="J407" s="783"/>
      <c r="K407" s="384">
        <v>7421</v>
      </c>
      <c r="L407" s="720">
        <f t="shared" si="0"/>
        <v>0</v>
      </c>
      <c r="M407" s="721"/>
    </row>
    <row r="408" spans="1:18" s="2" customFormat="1" ht="25.5" customHeight="1" x14ac:dyDescent="0.2">
      <c r="A408" s="1033" t="s">
        <v>1724</v>
      </c>
      <c r="B408" s="996"/>
      <c r="C408" s="996"/>
      <c r="D408" s="997"/>
      <c r="E408" s="384">
        <v>2182</v>
      </c>
      <c r="F408" s="782"/>
      <c r="G408" s="783"/>
      <c r="H408" s="384">
        <v>2192</v>
      </c>
      <c r="I408" s="782"/>
      <c r="J408" s="783"/>
      <c r="K408" s="384">
        <v>7282</v>
      </c>
      <c r="L408" s="720">
        <f t="shared" si="0"/>
        <v>0</v>
      </c>
      <c r="M408" s="721"/>
    </row>
    <row r="409" spans="1:18" s="2" customFormat="1" ht="25.5" customHeight="1" x14ac:dyDescent="0.2">
      <c r="A409" s="995" t="s">
        <v>307</v>
      </c>
      <c r="B409" s="996"/>
      <c r="C409" s="996"/>
      <c r="D409" s="997"/>
      <c r="E409" s="384">
        <v>2155</v>
      </c>
      <c r="F409" s="782"/>
      <c r="G409" s="783"/>
      <c r="H409" s="384">
        <v>2165</v>
      </c>
      <c r="I409" s="782"/>
      <c r="J409" s="783"/>
      <c r="K409" s="384">
        <v>7423</v>
      </c>
      <c r="L409" s="720">
        <f t="shared" si="0"/>
        <v>0</v>
      </c>
      <c r="M409" s="721"/>
    </row>
    <row r="410" spans="1:18" s="2" customFormat="1" ht="25.5" customHeight="1" x14ac:dyDescent="0.2">
      <c r="A410" s="995" t="s">
        <v>2079</v>
      </c>
      <c r="B410" s="996"/>
      <c r="C410" s="996"/>
      <c r="D410" s="997"/>
      <c r="E410" s="384">
        <v>2158</v>
      </c>
      <c r="F410" s="782"/>
      <c r="G410" s="783"/>
      <c r="H410" s="384">
        <v>2168</v>
      </c>
      <c r="I410" s="782"/>
      <c r="J410" s="783"/>
      <c r="K410" s="384">
        <v>7148</v>
      </c>
      <c r="L410" s="720">
        <f t="shared" ref="L410" si="1">F410+I410</f>
        <v>0</v>
      </c>
      <c r="M410" s="721"/>
    </row>
    <row r="411" spans="1:18" s="2" customFormat="1" ht="25.5" customHeight="1" x14ac:dyDescent="0.2">
      <c r="A411" s="995" t="s">
        <v>308</v>
      </c>
      <c r="B411" s="996"/>
      <c r="C411" s="996"/>
      <c r="D411" s="997"/>
      <c r="E411" s="384">
        <v>2156</v>
      </c>
      <c r="F411" s="782"/>
      <c r="G411" s="783"/>
      <c r="H411" s="384">
        <v>2166</v>
      </c>
      <c r="I411" s="782"/>
      <c r="J411" s="783"/>
      <c r="K411" s="384">
        <v>7424</v>
      </c>
      <c r="L411" s="720">
        <f t="shared" si="0"/>
        <v>0</v>
      </c>
      <c r="M411" s="721"/>
    </row>
    <row r="412" spans="1:18" s="2" customFormat="1" ht="25.5" customHeight="1" x14ac:dyDescent="0.2">
      <c r="A412" s="1041" t="s">
        <v>309</v>
      </c>
      <c r="B412" s="996"/>
      <c r="C412" s="996"/>
      <c r="D412" s="997"/>
      <c r="E412" s="384">
        <v>2157</v>
      </c>
      <c r="F412" s="720">
        <f>F413-SUM(F398:G411)</f>
        <v>0</v>
      </c>
      <c r="G412" s="721"/>
      <c r="H412" s="384">
        <v>2167</v>
      </c>
      <c r="I412" s="720">
        <f>I413-SUM(I398:J411)</f>
        <v>0</v>
      </c>
      <c r="J412" s="721"/>
      <c r="K412" s="384">
        <v>7425</v>
      </c>
      <c r="L412" s="720">
        <f t="shared" ref="L412" si="2">F412+I412</f>
        <v>0</v>
      </c>
      <c r="M412" s="721"/>
    </row>
    <row r="413" spans="1:18" s="2" customFormat="1" ht="25.5" customHeight="1" x14ac:dyDescent="0.2">
      <c r="A413" s="1036" t="s">
        <v>870</v>
      </c>
      <c r="B413" s="1017"/>
      <c r="C413" s="1017"/>
      <c r="D413" s="1018"/>
      <c r="E413" s="384">
        <v>2060</v>
      </c>
      <c r="F413" s="782"/>
      <c r="G413" s="783"/>
      <c r="H413" s="384">
        <v>2070</v>
      </c>
      <c r="I413" s="782"/>
      <c r="J413" s="783"/>
      <c r="K413" s="384">
        <v>7426</v>
      </c>
      <c r="L413" s="695">
        <f t="shared" si="0"/>
        <v>0</v>
      </c>
      <c r="M413" s="696"/>
    </row>
    <row r="414" spans="1:18" s="2" customFormat="1" ht="25.5" customHeight="1" x14ac:dyDescent="0.2">
      <c r="A414" s="15" t="str">
        <f>$A$33</f>
        <v xml:space="preserve"> </v>
      </c>
      <c r="F414" s="54"/>
      <c r="G414" s="54"/>
    </row>
    <row r="415" spans="1:18" s="2" customFormat="1" ht="25.5" customHeight="1" x14ac:dyDescent="0.2">
      <c r="A415" s="566" t="s">
        <v>314</v>
      </c>
      <c r="B415" s="634"/>
      <c r="C415" s="634"/>
      <c r="D415" s="634"/>
      <c r="E415" s="634"/>
      <c r="F415" s="634"/>
      <c r="G415" s="634"/>
      <c r="H415" s="634"/>
      <c r="I415" s="634"/>
      <c r="J415" s="634"/>
      <c r="K415" s="634"/>
      <c r="L415" s="634"/>
      <c r="M415" s="634"/>
    </row>
    <row r="416" spans="1:18" s="2" customFormat="1" ht="25.5" customHeight="1" x14ac:dyDescent="0.2">
      <c r="A416" s="1027" t="s">
        <v>1530</v>
      </c>
      <c r="B416" s="1028"/>
      <c r="C416" s="1028"/>
      <c r="D416" s="1028"/>
      <c r="E416" s="3"/>
      <c r="F416" s="1030" t="s">
        <v>315</v>
      </c>
      <c r="G416" s="1031"/>
      <c r="H416" s="3"/>
      <c r="I416" s="1030" t="s">
        <v>316</v>
      </c>
      <c r="J416" s="1031"/>
      <c r="K416" s="50"/>
      <c r="L416" s="780" t="s">
        <v>2834</v>
      </c>
      <c r="M416" s="781"/>
      <c r="N416" s="1026" t="str">
        <f>IF($D$5&gt;=200,"This section is REQUIRED for Pyschiatric and Specialty hospitals.","")</f>
        <v/>
      </c>
      <c r="O416" s="1026"/>
      <c r="P416" s="1026"/>
      <c r="Q416" s="1026"/>
      <c r="R416" s="1026"/>
    </row>
    <row r="417" spans="1:13" s="2" customFormat="1" ht="25.5" customHeight="1" x14ac:dyDescent="0.2">
      <c r="A417" s="1029"/>
      <c r="B417" s="1029"/>
      <c r="C417" s="1029"/>
      <c r="D417" s="1029"/>
      <c r="E417" s="51" t="s">
        <v>295</v>
      </c>
      <c r="F417" s="1032"/>
      <c r="G417" s="1032"/>
      <c r="H417" s="51" t="s">
        <v>295</v>
      </c>
      <c r="I417" s="1032"/>
      <c r="J417" s="1032"/>
      <c r="K417" s="51"/>
      <c r="L417" s="1045"/>
      <c r="M417" s="781"/>
    </row>
    <row r="418" spans="1:13" s="2" customFormat="1" ht="25.5" customHeight="1" x14ac:dyDescent="0.2">
      <c r="A418" s="995" t="s">
        <v>297</v>
      </c>
      <c r="B418" s="996"/>
      <c r="C418" s="996"/>
      <c r="D418" s="997"/>
      <c r="E418" s="384">
        <v>7427</v>
      </c>
      <c r="F418" s="915"/>
      <c r="G418" s="916"/>
      <c r="H418" s="384">
        <v>2041</v>
      </c>
      <c r="I418" s="998"/>
      <c r="J418" s="999"/>
      <c r="K418" s="38"/>
      <c r="L418" s="39"/>
      <c r="M418" s="39"/>
    </row>
    <row r="419" spans="1:13" s="2" customFormat="1" ht="25.5" customHeight="1" x14ac:dyDescent="0.2">
      <c r="A419" s="995" t="s">
        <v>298</v>
      </c>
      <c r="B419" s="996"/>
      <c r="C419" s="996"/>
      <c r="D419" s="997"/>
      <c r="E419" s="384">
        <v>7428</v>
      </c>
      <c r="F419" s="915"/>
      <c r="G419" s="916"/>
      <c r="H419" s="384">
        <v>2042</v>
      </c>
      <c r="I419" s="998"/>
      <c r="J419" s="999"/>
      <c r="K419" s="39"/>
      <c r="L419" s="39"/>
      <c r="M419" s="39"/>
    </row>
    <row r="420" spans="1:13" s="2" customFormat="1" ht="25.5" customHeight="1" x14ac:dyDescent="0.2">
      <c r="A420" s="995" t="s">
        <v>299</v>
      </c>
      <c r="B420" s="996"/>
      <c r="C420" s="996"/>
      <c r="D420" s="997"/>
      <c r="E420" s="384">
        <v>7429</v>
      </c>
      <c r="F420" s="915"/>
      <c r="G420" s="916"/>
      <c r="H420" s="384">
        <v>2141</v>
      </c>
      <c r="I420" s="998"/>
      <c r="J420" s="999"/>
      <c r="K420" s="39"/>
      <c r="L420" s="39"/>
      <c r="M420" s="39"/>
    </row>
    <row r="421" spans="1:13" s="2" customFormat="1" ht="25.5" customHeight="1" x14ac:dyDescent="0.2">
      <c r="A421" s="995" t="s">
        <v>300</v>
      </c>
      <c r="B421" s="996"/>
      <c r="C421" s="996"/>
      <c r="D421" s="997"/>
      <c r="E421" s="384">
        <v>7430</v>
      </c>
      <c r="F421" s="915"/>
      <c r="G421" s="916"/>
      <c r="H421" s="384">
        <v>2046</v>
      </c>
      <c r="I421" s="998"/>
      <c r="J421" s="999"/>
      <c r="K421" s="39"/>
      <c r="L421" s="39"/>
      <c r="M421" s="39"/>
    </row>
    <row r="422" spans="1:13" s="2" customFormat="1" ht="25.5" customHeight="1" x14ac:dyDescent="0.2">
      <c r="A422" s="995" t="s">
        <v>301</v>
      </c>
      <c r="B422" s="996"/>
      <c r="C422" s="996"/>
      <c r="D422" s="997"/>
      <c r="E422" s="384">
        <v>7431</v>
      </c>
      <c r="F422" s="915"/>
      <c r="G422" s="916"/>
      <c r="H422" s="384">
        <v>2043</v>
      </c>
      <c r="I422" s="998"/>
      <c r="J422" s="999"/>
      <c r="K422" s="39"/>
      <c r="L422" s="39"/>
      <c r="M422" s="39"/>
    </row>
    <row r="423" spans="1:13" s="2" customFormat="1" ht="25.5" customHeight="1" x14ac:dyDescent="0.2">
      <c r="A423" s="995" t="s">
        <v>302</v>
      </c>
      <c r="B423" s="996"/>
      <c r="C423" s="996"/>
      <c r="D423" s="997"/>
      <c r="E423" s="384">
        <v>7432</v>
      </c>
      <c r="F423" s="915"/>
      <c r="G423" s="916"/>
      <c r="H423" s="384">
        <v>2047</v>
      </c>
      <c r="I423" s="998"/>
      <c r="J423" s="999"/>
      <c r="K423" s="39"/>
      <c r="L423" s="39"/>
      <c r="M423" s="39"/>
    </row>
    <row r="424" spans="1:13" s="2" customFormat="1" ht="25.5" customHeight="1" x14ac:dyDescent="0.2">
      <c r="A424" s="995" t="s">
        <v>303</v>
      </c>
      <c r="B424" s="996"/>
      <c r="C424" s="996"/>
      <c r="D424" s="997"/>
      <c r="E424" s="384">
        <v>7433</v>
      </c>
      <c r="F424" s="915"/>
      <c r="G424" s="916"/>
      <c r="H424" s="384">
        <v>2044</v>
      </c>
      <c r="I424" s="998"/>
      <c r="J424" s="999"/>
      <c r="K424" s="39"/>
      <c r="L424" s="39"/>
      <c r="M424" s="39"/>
    </row>
    <row r="425" spans="1:13" s="2" customFormat="1" ht="25.5" customHeight="1" x14ac:dyDescent="0.2">
      <c r="A425" s="995" t="s">
        <v>304</v>
      </c>
      <c r="B425" s="996"/>
      <c r="C425" s="996"/>
      <c r="D425" s="997"/>
      <c r="E425" s="384">
        <v>7434</v>
      </c>
      <c r="F425" s="915"/>
      <c r="G425" s="916"/>
      <c r="H425" s="384">
        <v>2048</v>
      </c>
      <c r="I425" s="998"/>
      <c r="J425" s="999"/>
      <c r="K425" s="39"/>
      <c r="L425" s="39"/>
      <c r="M425" s="39"/>
    </row>
    <row r="426" spans="1:13" s="2" customFormat="1" ht="25.5" customHeight="1" x14ac:dyDescent="0.2">
      <c r="A426" s="995" t="s">
        <v>305</v>
      </c>
      <c r="B426" s="996"/>
      <c r="C426" s="996"/>
      <c r="D426" s="997"/>
      <c r="E426" s="384">
        <v>7435</v>
      </c>
      <c r="F426" s="915"/>
      <c r="G426" s="916"/>
      <c r="H426" s="384">
        <v>2142</v>
      </c>
      <c r="I426" s="998"/>
      <c r="J426" s="999"/>
      <c r="K426" s="39"/>
      <c r="L426" s="39"/>
      <c r="M426" s="39"/>
    </row>
    <row r="427" spans="1:13" s="2" customFormat="1" ht="25.5" customHeight="1" x14ac:dyDescent="0.2">
      <c r="A427" s="995" t="s">
        <v>306</v>
      </c>
      <c r="B427" s="996"/>
      <c r="C427" s="996"/>
      <c r="D427" s="997"/>
      <c r="E427" s="384">
        <v>7436</v>
      </c>
      <c r="F427" s="915"/>
      <c r="G427" s="916"/>
      <c r="H427" s="384">
        <v>2143</v>
      </c>
      <c r="I427" s="998"/>
      <c r="J427" s="999"/>
      <c r="K427" s="39"/>
      <c r="L427" s="39"/>
      <c r="M427" s="39"/>
    </row>
    <row r="428" spans="1:13" s="2" customFormat="1" ht="25.5" customHeight="1" x14ac:dyDescent="0.2">
      <c r="A428" s="1033" t="s">
        <v>1724</v>
      </c>
      <c r="B428" s="996"/>
      <c r="C428" s="996"/>
      <c r="D428" s="997"/>
      <c r="E428" s="384">
        <v>7285</v>
      </c>
      <c r="F428" s="915"/>
      <c r="G428" s="916"/>
      <c r="H428" s="384">
        <v>2185</v>
      </c>
      <c r="I428" s="998"/>
      <c r="J428" s="999"/>
      <c r="K428" s="39"/>
      <c r="L428" s="39"/>
      <c r="M428" s="39"/>
    </row>
    <row r="429" spans="1:13" s="2" customFormat="1" ht="25.5" customHeight="1" x14ac:dyDescent="0.2">
      <c r="A429" s="995" t="s">
        <v>307</v>
      </c>
      <c r="B429" s="996"/>
      <c r="C429" s="996"/>
      <c r="D429" s="997"/>
      <c r="E429" s="384">
        <v>7438</v>
      </c>
      <c r="F429" s="915"/>
      <c r="G429" s="916"/>
      <c r="H429" s="384">
        <v>2145</v>
      </c>
      <c r="I429" s="998"/>
      <c r="J429" s="999"/>
      <c r="K429" s="39"/>
      <c r="L429" s="39"/>
      <c r="M429" s="39"/>
    </row>
    <row r="430" spans="1:13" s="2" customFormat="1" ht="25.5" customHeight="1" x14ac:dyDescent="0.2">
      <c r="A430" s="995" t="s">
        <v>2079</v>
      </c>
      <c r="B430" s="996"/>
      <c r="C430" s="996"/>
      <c r="D430" s="997"/>
      <c r="E430" s="384">
        <v>7168</v>
      </c>
      <c r="F430" s="915"/>
      <c r="G430" s="916"/>
      <c r="H430" s="384">
        <v>2148</v>
      </c>
      <c r="I430" s="998"/>
      <c r="J430" s="999"/>
      <c r="K430" s="39"/>
      <c r="L430" s="39"/>
      <c r="M430" s="39"/>
    </row>
    <row r="431" spans="1:13" s="2" customFormat="1" ht="25.5" customHeight="1" x14ac:dyDescent="0.2">
      <c r="A431" s="995" t="s">
        <v>308</v>
      </c>
      <c r="B431" s="996"/>
      <c r="C431" s="996"/>
      <c r="D431" s="997"/>
      <c r="E431" s="384">
        <v>7439</v>
      </c>
      <c r="F431" s="915"/>
      <c r="G431" s="916"/>
      <c r="H431" s="384">
        <v>2146</v>
      </c>
      <c r="I431" s="998"/>
      <c r="J431" s="999"/>
      <c r="K431" s="39"/>
      <c r="L431" s="39"/>
      <c r="M431" s="39"/>
    </row>
    <row r="432" spans="1:13" s="2" customFormat="1" ht="25.5" customHeight="1" x14ac:dyDescent="0.2">
      <c r="A432" s="1041" t="s">
        <v>309</v>
      </c>
      <c r="B432" s="996"/>
      <c r="C432" s="996"/>
      <c r="D432" s="997"/>
      <c r="E432" s="384">
        <v>7440</v>
      </c>
      <c r="F432" s="943">
        <f>F433-SUM(F418:G431)</f>
        <v>0</v>
      </c>
      <c r="G432" s="944"/>
      <c r="H432" s="384">
        <v>2147</v>
      </c>
      <c r="I432" s="1042">
        <f>I433-SUM(I418:J431)</f>
        <v>0</v>
      </c>
      <c r="J432" s="1043"/>
      <c r="K432" s="39"/>
      <c r="L432" s="39"/>
      <c r="M432" s="39"/>
    </row>
    <row r="433" spans="1:18" s="2" customFormat="1" ht="25.5" customHeight="1" x14ac:dyDescent="0.2">
      <c r="A433" s="1036" t="s">
        <v>870</v>
      </c>
      <c r="B433" s="1017"/>
      <c r="C433" s="1017"/>
      <c r="D433" s="1018"/>
      <c r="E433" s="384">
        <v>7441</v>
      </c>
      <c r="F433" s="630"/>
      <c r="G433" s="631"/>
      <c r="H433" s="384">
        <v>2050</v>
      </c>
      <c r="I433" s="1039"/>
      <c r="J433" s="1040"/>
      <c r="K433" s="39"/>
      <c r="L433" s="39"/>
      <c r="M433" s="39"/>
    </row>
    <row r="434" spans="1:18" s="2" customFormat="1" ht="25.5" customHeight="1" x14ac:dyDescent="0.2">
      <c r="A434" s="40"/>
    </row>
    <row r="435" spans="1:18" s="2" customFormat="1" ht="25.5" customHeight="1" x14ac:dyDescent="0.2">
      <c r="A435" s="773" t="s">
        <v>1531</v>
      </c>
      <c r="B435" s="567"/>
      <c r="C435" s="567"/>
      <c r="D435" s="567"/>
      <c r="E435" s="567"/>
      <c r="F435" s="567"/>
      <c r="G435" s="567"/>
      <c r="H435" s="567"/>
      <c r="I435" s="567"/>
      <c r="J435" s="567"/>
      <c r="K435" s="674"/>
      <c r="L435" s="780" t="s">
        <v>2834</v>
      </c>
      <c r="M435" s="781"/>
      <c r="N435" s="1026" t="str">
        <f>IF($D$5&gt;=200,"This section is REQUIRED for Pyschiatric and Specialty hospitals.","")</f>
        <v/>
      </c>
      <c r="O435" s="1026"/>
      <c r="P435" s="1026"/>
      <c r="Q435" s="1026"/>
      <c r="R435" s="1026"/>
    </row>
    <row r="436" spans="1:18" s="2" customFormat="1" ht="25.5" customHeight="1" x14ac:dyDescent="0.2">
      <c r="A436" s="20">
        <v>4530</v>
      </c>
      <c r="B436" s="539" t="s">
        <v>317</v>
      </c>
      <c r="C436" s="528"/>
      <c r="D436" s="528"/>
      <c r="E436" s="528"/>
      <c r="F436" s="528"/>
      <c r="G436" s="528"/>
      <c r="H436" s="528"/>
      <c r="I436" s="528"/>
      <c r="J436" s="528"/>
      <c r="K436" s="529"/>
      <c r="L436" s="1047"/>
      <c r="M436" s="1048"/>
      <c r="N436" s="1046" t="str">
        <f>IF($D$5&gt;=200,"Psychiatric or Specialty hospitals click here to skip to the next REQUIRED item.","")</f>
        <v/>
      </c>
      <c r="O436" s="1046"/>
      <c r="P436" s="1046"/>
      <c r="Q436" s="1046"/>
      <c r="R436" s="1046"/>
    </row>
    <row r="437" spans="1:18" s="2" customFormat="1" ht="25.5" customHeight="1" x14ac:dyDescent="0.2">
      <c r="A437" s="40"/>
    </row>
    <row r="438" spans="1:18" s="2" customFormat="1" ht="25.5" customHeight="1" x14ac:dyDescent="0.2">
      <c r="A438" s="566" t="s">
        <v>318</v>
      </c>
      <c r="B438" s="634"/>
      <c r="C438" s="634"/>
      <c r="D438" s="634"/>
      <c r="E438" s="634"/>
      <c r="F438" s="634"/>
      <c r="G438" s="634"/>
      <c r="H438" s="634"/>
      <c r="I438" s="634"/>
      <c r="J438" s="634"/>
      <c r="K438" s="634"/>
      <c r="L438" s="634"/>
      <c r="M438" s="634"/>
    </row>
    <row r="439" spans="1:18" s="2" customFormat="1" ht="25.5" customHeight="1" x14ac:dyDescent="0.2">
      <c r="A439" s="773" t="s">
        <v>1532</v>
      </c>
      <c r="B439" s="567"/>
      <c r="C439" s="567"/>
      <c r="D439" s="567"/>
      <c r="E439" s="567"/>
      <c r="F439" s="567"/>
      <c r="G439" s="567"/>
      <c r="H439" s="567"/>
      <c r="I439" s="567"/>
      <c r="J439" s="567"/>
      <c r="K439" s="674"/>
      <c r="L439" s="780" t="s">
        <v>2834</v>
      </c>
      <c r="M439" s="781"/>
    </row>
    <row r="440" spans="1:18" s="2" customFormat="1" ht="25.5" customHeight="1" x14ac:dyDescent="0.2">
      <c r="A440" s="20">
        <v>5101</v>
      </c>
      <c r="B440" s="539" t="s">
        <v>319</v>
      </c>
      <c r="C440" s="528"/>
      <c r="D440" s="528"/>
      <c r="E440" s="528"/>
      <c r="F440" s="528"/>
      <c r="G440" s="528"/>
      <c r="H440" s="528"/>
      <c r="I440" s="528"/>
      <c r="J440" s="528"/>
      <c r="K440" s="529"/>
      <c r="L440" s="1049"/>
      <c r="M440" s="1050"/>
      <c r="N440" s="895" t="s">
        <v>376</v>
      </c>
      <c r="O440" s="896"/>
      <c r="P440" s="896"/>
      <c r="Q440" s="896"/>
      <c r="R440" s="897"/>
    </row>
    <row r="441" spans="1:18" s="2" customFormat="1" ht="25.5" customHeight="1" x14ac:dyDescent="0.2">
      <c r="A441" s="20">
        <v>5102</v>
      </c>
      <c r="B441" s="539" t="s">
        <v>917</v>
      </c>
      <c r="C441" s="528"/>
      <c r="D441" s="528"/>
      <c r="E441" s="528"/>
      <c r="F441" s="528"/>
      <c r="G441" s="528"/>
      <c r="H441" s="528"/>
      <c r="I441" s="528"/>
      <c r="J441" s="528"/>
      <c r="K441" s="529"/>
      <c r="L441" s="915"/>
      <c r="M441" s="916"/>
      <c r="N441" s="898"/>
      <c r="O441" s="899"/>
      <c r="P441" s="899"/>
      <c r="Q441" s="899"/>
      <c r="R441" s="900"/>
    </row>
    <row r="442" spans="1:18" s="2" customFormat="1" ht="25.5" customHeight="1" x14ac:dyDescent="0.2">
      <c r="A442" s="40"/>
    </row>
    <row r="443" spans="1:18" s="2" customFormat="1" ht="25.5" customHeight="1" x14ac:dyDescent="0.2">
      <c r="A443" s="566" t="s">
        <v>318</v>
      </c>
      <c r="B443" s="634"/>
      <c r="C443" s="634"/>
      <c r="D443" s="634"/>
      <c r="E443" s="634"/>
      <c r="F443" s="634"/>
      <c r="G443" s="634"/>
      <c r="H443" s="634"/>
      <c r="I443" s="634"/>
      <c r="J443" s="634"/>
      <c r="K443" s="634"/>
      <c r="L443" s="634"/>
      <c r="M443" s="634"/>
    </row>
    <row r="444" spans="1:18" s="2" customFormat="1" ht="25.5" customHeight="1" x14ac:dyDescent="0.2">
      <c r="A444" s="773" t="s">
        <v>1533</v>
      </c>
      <c r="B444" s="567"/>
      <c r="C444" s="567"/>
      <c r="D444" s="567"/>
      <c r="E444" s="567"/>
      <c r="F444" s="567"/>
      <c r="G444" s="567"/>
      <c r="H444" s="567"/>
      <c r="I444" s="567"/>
      <c r="J444" s="567"/>
      <c r="K444" s="674"/>
      <c r="L444" s="780" t="s">
        <v>2834</v>
      </c>
      <c r="M444" s="781"/>
    </row>
    <row r="445" spans="1:18" s="2" customFormat="1" ht="25.5" customHeight="1" x14ac:dyDescent="0.2">
      <c r="A445" s="20">
        <v>5200</v>
      </c>
      <c r="B445" s="539" t="s">
        <v>918</v>
      </c>
      <c r="C445" s="528"/>
      <c r="D445" s="528"/>
      <c r="E445" s="528"/>
      <c r="F445" s="528"/>
      <c r="G445" s="528"/>
      <c r="H445" s="528"/>
      <c r="I445" s="528"/>
      <c r="J445" s="528"/>
      <c r="K445" s="529"/>
      <c r="L445" s="915"/>
      <c r="M445" s="916"/>
    </row>
    <row r="446" spans="1:18" s="2" customFormat="1" ht="25.5" customHeight="1" x14ac:dyDescent="0.2">
      <c r="A446" s="15" t="str">
        <f>$A$33</f>
        <v xml:space="preserve"> </v>
      </c>
    </row>
    <row r="447" spans="1:18" s="2" customFormat="1" ht="25.5" customHeight="1" x14ac:dyDescent="0.2">
      <c r="A447" s="773" t="s">
        <v>1535</v>
      </c>
      <c r="B447" s="567"/>
      <c r="C447" s="567"/>
      <c r="D447" s="567"/>
      <c r="E447" s="567"/>
      <c r="F447" s="567"/>
      <c r="G447" s="567"/>
      <c r="H447" s="567"/>
      <c r="I447" s="567"/>
      <c r="J447" s="567"/>
      <c r="K447" s="674"/>
      <c r="L447" s="780" t="s">
        <v>2834</v>
      </c>
      <c r="M447" s="781"/>
      <c r="N447" s="1026" t="str">
        <f>IF($D$5&gt;=200,"This section is REQUIRED for Pyschiatric and Specialty hospitals.","")</f>
        <v/>
      </c>
      <c r="O447" s="1026"/>
      <c r="P447" s="1026"/>
      <c r="Q447" s="1026"/>
      <c r="R447" s="1026"/>
    </row>
    <row r="448" spans="1:18" s="2" customFormat="1" ht="25.5" customHeight="1" x14ac:dyDescent="0.2">
      <c r="A448" s="567"/>
      <c r="B448" s="567"/>
      <c r="C448" s="567"/>
      <c r="D448" s="567"/>
      <c r="E448" s="567"/>
      <c r="F448" s="567"/>
      <c r="G448" s="567"/>
      <c r="H448" s="567"/>
      <c r="I448" s="567"/>
      <c r="J448" s="567"/>
      <c r="K448" s="674"/>
      <c r="L448" s="33" t="s">
        <v>91</v>
      </c>
      <c r="M448" s="33" t="s">
        <v>92</v>
      </c>
    </row>
    <row r="449" spans="1:18" s="2" customFormat="1" ht="25.5" customHeight="1" x14ac:dyDescent="0.2">
      <c r="A449" s="20">
        <v>7000</v>
      </c>
      <c r="B449" s="539" t="s">
        <v>919</v>
      </c>
      <c r="C449" s="528"/>
      <c r="D449" s="528"/>
      <c r="E449" s="528"/>
      <c r="F449" s="528"/>
      <c r="G449" s="528"/>
      <c r="H449" s="528"/>
      <c r="I449" s="528"/>
      <c r="J449" s="528"/>
      <c r="K449" s="529"/>
      <c r="L449" s="458"/>
      <c r="M449" s="458"/>
      <c r="N449" s="615" t="str">
        <f>IF(COUNTBLANK(L449:M449)=2,"Please enter response",IF(COUNTBLANK(L449:M449)=0,"Please select only one response",""))</f>
        <v>Please enter response</v>
      </c>
      <c r="O449" s="616"/>
      <c r="P449" s="616"/>
      <c r="Q449" s="616"/>
      <c r="R449" s="617"/>
    </row>
    <row r="450" spans="1:18" s="2" customFormat="1" ht="25.5" customHeight="1" x14ac:dyDescent="0.2">
      <c r="A450" s="20">
        <v>7047</v>
      </c>
      <c r="B450" s="539" t="s">
        <v>920</v>
      </c>
      <c r="C450" s="528"/>
      <c r="D450" s="528"/>
      <c r="E450" s="528"/>
      <c r="F450" s="528"/>
      <c r="G450" s="528"/>
      <c r="H450" s="528"/>
      <c r="I450" s="528"/>
      <c r="J450" s="528"/>
      <c r="K450" s="529"/>
      <c r="L450" s="34"/>
      <c r="M450" s="34"/>
      <c r="N450" s="615" t="str">
        <f>IF(COUNTBLANK(L449:M449)=0,"",IF(AND(NOT(ISBLANK(L449)),COUNTBLANK(L450:M450)=2),"Please enter response",IF(COUNTBLANK(L450:M450)=0, "Please enter only one response",IF(AND(NOT(ISBLANK(M449)),COUNTBLANK(L450:M450)&lt;&gt;2),"No response needed",""))))</f>
        <v/>
      </c>
      <c r="O450" s="616"/>
      <c r="P450" s="616"/>
      <c r="Q450" s="616"/>
      <c r="R450" s="617"/>
    </row>
    <row r="451" spans="1:18" s="2" customFormat="1" ht="25.5" customHeight="1" x14ac:dyDescent="0.2">
      <c r="A451" s="20">
        <v>7049</v>
      </c>
      <c r="B451" s="539" t="s">
        <v>921</v>
      </c>
      <c r="C451" s="528"/>
      <c r="D451" s="528"/>
      <c r="E451" s="528"/>
      <c r="F451" s="528"/>
      <c r="G451" s="528"/>
      <c r="H451" s="528"/>
      <c r="I451" s="528"/>
      <c r="J451" s="528"/>
      <c r="K451" s="529"/>
      <c r="L451" s="1051"/>
      <c r="M451" s="1052"/>
      <c r="N451" s="615" t="str">
        <f>IF(AND(NOT(ISBLANK(L449)),COUNTBLANK(L451:M451)=2),"This item cannot be left blank.  Please review instructions.",IF(AND(NOT(ISBLANK(M449)),NOT(ISBLANK(L451))),"No response needed",""))</f>
        <v/>
      </c>
      <c r="O451" s="616"/>
      <c r="P451" s="616"/>
      <c r="Q451" s="616"/>
      <c r="R451" s="617"/>
    </row>
    <row r="452" spans="1:18" s="2" customFormat="1" ht="25.5" customHeight="1" x14ac:dyDescent="0.2">
      <c r="A452" s="46"/>
      <c r="B452" s="47"/>
      <c r="C452" s="47"/>
      <c r="D452" s="47"/>
      <c r="E452" s="47"/>
      <c r="F452" s="47"/>
      <c r="G452" s="47"/>
      <c r="H452" s="47"/>
      <c r="I452" s="47"/>
      <c r="J452" s="47"/>
      <c r="K452" s="47"/>
      <c r="L452" s="242"/>
      <c r="M452" s="242"/>
      <c r="N452" s="5"/>
      <c r="O452" s="5"/>
      <c r="P452" s="5"/>
      <c r="Q452" s="5"/>
      <c r="R452" s="81"/>
    </row>
    <row r="453" spans="1:18" s="2" customFormat="1" ht="25.5" customHeight="1" x14ac:dyDescent="0.2">
      <c r="A453" s="773" t="s">
        <v>1536</v>
      </c>
      <c r="B453" s="567"/>
      <c r="C453" s="567"/>
      <c r="D453" s="567"/>
      <c r="E453" s="567"/>
      <c r="F453" s="567"/>
      <c r="G453" s="567"/>
      <c r="H453" s="567"/>
      <c r="I453" s="567"/>
      <c r="J453" s="567"/>
      <c r="K453" s="674"/>
      <c r="L453" s="780" t="s">
        <v>2834</v>
      </c>
      <c r="M453" s="781"/>
      <c r="N453" s="1026" t="str">
        <f>IF($D$5&gt;=200,"This section is REQUIRED for Pyschiatric and Specialty hospitals.","")</f>
        <v/>
      </c>
      <c r="O453" s="1026"/>
      <c r="P453" s="1026"/>
      <c r="Q453" s="1026"/>
      <c r="R453" s="1026"/>
    </row>
    <row r="454" spans="1:18" s="2" customFormat="1" ht="25.5" customHeight="1" x14ac:dyDescent="0.2">
      <c r="A454" s="20">
        <v>4503</v>
      </c>
      <c r="B454" s="539" t="s">
        <v>933</v>
      </c>
      <c r="C454" s="528"/>
      <c r="D454" s="528"/>
      <c r="E454" s="528"/>
      <c r="F454" s="528"/>
      <c r="G454" s="528"/>
      <c r="H454" s="528"/>
      <c r="I454" s="528"/>
      <c r="J454" s="528"/>
      <c r="K454" s="529"/>
      <c r="L454" s="782"/>
      <c r="M454" s="783"/>
      <c r="N454" s="653" t="s">
        <v>1379</v>
      </c>
      <c r="O454" s="654"/>
      <c r="P454" s="654"/>
      <c r="Q454" s="654"/>
      <c r="R454" s="654"/>
    </row>
    <row r="455" spans="1:18" s="2" customFormat="1" ht="25.5" customHeight="1" x14ac:dyDescent="0.2">
      <c r="A455" s="20">
        <v>4505</v>
      </c>
      <c r="B455" s="539" t="s">
        <v>934</v>
      </c>
      <c r="C455" s="528"/>
      <c r="D455" s="528"/>
      <c r="E455" s="528"/>
      <c r="F455" s="528"/>
      <c r="G455" s="528"/>
      <c r="H455" s="528"/>
      <c r="I455" s="528"/>
      <c r="J455" s="528"/>
      <c r="K455" s="529"/>
      <c r="L455" s="782"/>
      <c r="M455" s="783"/>
      <c r="N455" s="872" t="s">
        <v>935</v>
      </c>
      <c r="O455" s="913"/>
      <c r="P455" s="913"/>
      <c r="Q455" s="913"/>
      <c r="R455" s="914"/>
    </row>
    <row r="456" spans="1:18" s="2" customFormat="1" ht="25.5" customHeight="1" x14ac:dyDescent="0.2">
      <c r="A456" s="20">
        <v>4502</v>
      </c>
      <c r="B456" s="539" t="s">
        <v>1088</v>
      </c>
      <c r="C456" s="528"/>
      <c r="D456" s="528"/>
      <c r="E456" s="528"/>
      <c r="F456" s="528"/>
      <c r="G456" s="528"/>
      <c r="H456" s="528"/>
      <c r="I456" s="528"/>
      <c r="J456" s="528"/>
      <c r="K456" s="529"/>
      <c r="L456" s="720">
        <f>L457-L454-L455</f>
        <v>0</v>
      </c>
      <c r="M456" s="721"/>
    </row>
    <row r="457" spans="1:18" s="2" customFormat="1" ht="25.5" customHeight="1" x14ac:dyDescent="0.2">
      <c r="A457" s="21">
        <v>4501</v>
      </c>
      <c r="B457" s="522" t="s">
        <v>1089</v>
      </c>
      <c r="C457" s="523"/>
      <c r="D457" s="523"/>
      <c r="E457" s="523"/>
      <c r="F457" s="523"/>
      <c r="G457" s="523"/>
      <c r="H457" s="523"/>
      <c r="I457" s="523"/>
      <c r="J457" s="523"/>
      <c r="K457" s="524"/>
      <c r="L457" s="1062"/>
      <c r="M457" s="1063"/>
    </row>
    <row r="458" spans="1:18" s="2" customFormat="1" ht="25.5" customHeight="1" x14ac:dyDescent="0.2">
      <c r="A458" s="40"/>
      <c r="L458" s="54"/>
      <c r="M458" s="54"/>
    </row>
    <row r="459" spans="1:18" s="2" customFormat="1" ht="25.5" customHeight="1" x14ac:dyDescent="0.2">
      <c r="A459" s="20">
        <v>7044</v>
      </c>
      <c r="B459" s="539" t="s">
        <v>1090</v>
      </c>
      <c r="C459" s="528"/>
      <c r="D459" s="528"/>
      <c r="E459" s="528"/>
      <c r="F459" s="528"/>
      <c r="G459" s="528"/>
      <c r="H459" s="528"/>
      <c r="I459" s="528"/>
      <c r="J459" s="528"/>
      <c r="K459" s="529"/>
      <c r="L459" s="782"/>
      <c r="M459" s="783"/>
      <c r="N459" s="616" t="str">
        <f>IF(L459&gt;L454,"Please review.  This must be less than or equal to ER Registrations reported as "&amp;TEXT(L454,"0,000"),"")</f>
        <v/>
      </c>
      <c r="O459" s="616"/>
      <c r="P459" s="616"/>
      <c r="Q459" s="616"/>
      <c r="R459" s="652"/>
    </row>
    <row r="460" spans="1:18" s="2" customFormat="1" ht="25.5" customHeight="1" x14ac:dyDescent="0.2">
      <c r="A460" s="40"/>
      <c r="N460" s="652"/>
      <c r="O460" s="652"/>
      <c r="P460" s="652"/>
      <c r="Q460" s="652"/>
      <c r="R460" s="652"/>
    </row>
    <row r="461" spans="1:18" s="2" customFormat="1" ht="25.5" customHeight="1" x14ac:dyDescent="0.2">
      <c r="A461" s="20">
        <v>7311</v>
      </c>
      <c r="B461" s="539" t="s">
        <v>1091</v>
      </c>
      <c r="C461" s="528"/>
      <c r="D461" s="528"/>
      <c r="E461" s="528"/>
      <c r="F461" s="528"/>
      <c r="G461" s="528"/>
      <c r="H461" s="528"/>
      <c r="I461" s="528"/>
      <c r="J461" s="528"/>
      <c r="K461" s="529"/>
      <c r="L461" s="782"/>
      <c r="M461" s="783"/>
      <c r="N461" s="872" t="s">
        <v>1092</v>
      </c>
      <c r="O461" s="873"/>
      <c r="P461" s="873"/>
      <c r="Q461" s="873"/>
      <c r="R461" s="874"/>
    </row>
    <row r="462" spans="1:18" ht="25.5" customHeight="1" x14ac:dyDescent="0.2">
      <c r="A462" s="15" t="str">
        <f>$A$33</f>
        <v xml:space="preserve"> </v>
      </c>
    </row>
    <row r="463" spans="1:18" s="2" customFormat="1" ht="25.5" customHeight="1" x14ac:dyDescent="0.2">
      <c r="A463" s="773" t="s">
        <v>1537</v>
      </c>
      <c r="B463" s="567"/>
      <c r="C463" s="567"/>
      <c r="D463" s="567"/>
      <c r="E463" s="567"/>
      <c r="F463" s="567"/>
      <c r="G463" s="567"/>
      <c r="H463" s="567"/>
      <c r="I463" s="567"/>
      <c r="J463" s="567"/>
      <c r="K463" s="674"/>
      <c r="L463" s="780" t="s">
        <v>2834</v>
      </c>
      <c r="M463" s="781"/>
      <c r="N463" s="1026" t="str">
        <f>IF('2021 HAR'!$D$5&gt;=200,"This section is REQUIRED for Pyschiatric and Specialty hospitals.","")</f>
        <v/>
      </c>
      <c r="O463" s="1026"/>
      <c r="P463" s="1026"/>
      <c r="Q463" s="1026"/>
      <c r="R463" s="1026"/>
    </row>
    <row r="464" spans="1:18" s="2" customFormat="1" ht="25.5" customHeight="1" x14ac:dyDescent="0.2">
      <c r="A464" s="21">
        <v>4320</v>
      </c>
      <c r="B464" s="522" t="s">
        <v>768</v>
      </c>
      <c r="C464" s="523"/>
      <c r="D464" s="523"/>
      <c r="E464" s="523"/>
      <c r="F464" s="523"/>
      <c r="G464" s="523"/>
      <c r="H464" s="523"/>
      <c r="I464" s="523" t="str">
        <f>IF(AND(NOT(ISBLANK(#REF!)),Code_4320&lt;=0),"Please Enter the Total Acute Care Admissions.","")</f>
        <v>Please Enter the Total Acute Care Admissions.</v>
      </c>
      <c r="J464" s="523"/>
      <c r="K464" s="524"/>
      <c r="L464" s="1047"/>
      <c r="M464" s="1048"/>
      <c r="N464" s="654" t="str">
        <f>IF('2021 HAR'!$D$5&gt;=200,"Additional Admissions Information is Required. Please Click here to report this information.","")</f>
        <v/>
      </c>
      <c r="O464" s="654"/>
      <c r="P464" s="654"/>
      <c r="Q464" s="654"/>
      <c r="R464" s="654"/>
    </row>
    <row r="465" spans="1:18" s="2" customFormat="1" ht="25.5" customHeight="1" x14ac:dyDescent="0.2">
      <c r="A465" s="20">
        <v>4331</v>
      </c>
      <c r="B465" s="539" t="s">
        <v>922</v>
      </c>
      <c r="C465" s="528"/>
      <c r="D465" s="528"/>
      <c r="E465" s="528"/>
      <c r="F465" s="528"/>
      <c r="G465" s="528"/>
      <c r="H465" s="528"/>
      <c r="I465" s="528"/>
      <c r="J465" s="528"/>
      <c r="K465" s="529"/>
      <c r="L465" s="782"/>
      <c r="M465" s="783"/>
    </row>
    <row r="466" spans="1:18" s="2" customFormat="1" ht="25.5" customHeight="1" x14ac:dyDescent="0.2">
      <c r="A466" s="20">
        <v>7177</v>
      </c>
      <c r="B466" s="539" t="s">
        <v>923</v>
      </c>
      <c r="C466" s="528"/>
      <c r="D466" s="528"/>
      <c r="E466" s="528"/>
      <c r="F466" s="528"/>
      <c r="G466" s="528"/>
      <c r="H466" s="528"/>
      <c r="I466" s="528"/>
      <c r="J466" s="528"/>
      <c r="K466" s="529"/>
      <c r="L466" s="782"/>
      <c r="M466" s="783"/>
    </row>
    <row r="467" spans="1:18" s="2" customFormat="1" ht="25.5" customHeight="1" x14ac:dyDescent="0.2">
      <c r="A467" s="20">
        <v>7178</v>
      </c>
      <c r="B467" s="539" t="s">
        <v>924</v>
      </c>
      <c r="C467" s="528"/>
      <c r="D467" s="528"/>
      <c r="E467" s="528"/>
      <c r="F467" s="528"/>
      <c r="G467" s="528"/>
      <c r="H467" s="528"/>
      <c r="I467" s="528"/>
      <c r="J467" s="528"/>
      <c r="K467" s="529"/>
      <c r="L467" s="782"/>
      <c r="M467" s="783"/>
    </row>
    <row r="468" spans="1:18" s="2" customFormat="1" ht="25.5" customHeight="1" x14ac:dyDescent="0.2">
      <c r="A468" s="20">
        <v>7179</v>
      </c>
      <c r="B468" s="539" t="s">
        <v>925</v>
      </c>
      <c r="C468" s="528"/>
      <c r="D468" s="528"/>
      <c r="E468" s="528"/>
      <c r="F468" s="528"/>
      <c r="G468" s="528"/>
      <c r="H468" s="528"/>
      <c r="I468" s="528"/>
      <c r="J468" s="528"/>
      <c r="K468" s="529"/>
      <c r="L468" s="782"/>
      <c r="M468" s="783"/>
    </row>
    <row r="469" spans="1:18" s="2" customFormat="1" ht="25.5" customHeight="1" x14ac:dyDescent="0.2">
      <c r="A469" s="21">
        <v>7180</v>
      </c>
      <c r="B469" s="522" t="s">
        <v>926</v>
      </c>
      <c r="C469" s="523"/>
      <c r="D469" s="523"/>
      <c r="E469" s="523"/>
      <c r="F469" s="523"/>
      <c r="G469" s="523"/>
      <c r="H469" s="523"/>
      <c r="I469" s="523"/>
      <c r="J469" s="523"/>
      <c r="K469" s="524"/>
      <c r="L469" s="695">
        <f>SUM(L465:M468)</f>
        <v>0</v>
      </c>
      <c r="M469" s="696"/>
    </row>
    <row r="470" spans="1:18" s="2" customFormat="1" ht="25.5" customHeight="1" x14ac:dyDescent="0.2">
      <c r="A470" s="21">
        <v>7176</v>
      </c>
      <c r="B470" s="522" t="s">
        <v>1010</v>
      </c>
      <c r="C470" s="523"/>
      <c r="D470" s="523"/>
      <c r="E470" s="523"/>
      <c r="F470" s="523"/>
      <c r="G470" s="523"/>
      <c r="H470" s="523"/>
      <c r="I470" s="523" t="str">
        <f>IF(AND(NOT(ISBLANK(#REF!)),Code_4320&lt;=0),"Please Enter the Total Acute Care Admissions.","")</f>
        <v>Please Enter the Total Acute Care Admissions.</v>
      </c>
      <c r="J470" s="523"/>
      <c r="K470" s="524"/>
      <c r="L470" s="695">
        <f>SUM(L464+L469)</f>
        <v>0</v>
      </c>
      <c r="M470" s="696">
        <f>SUM(H447:H469)</f>
        <v>0</v>
      </c>
    </row>
    <row r="471" spans="1:18" s="2" customFormat="1" ht="25.5" customHeight="1" x14ac:dyDescent="0.2">
      <c r="A471" s="40"/>
    </row>
    <row r="472" spans="1:18" s="2" customFormat="1" ht="25.5" customHeight="1" x14ac:dyDescent="0.2">
      <c r="A472" s="566" t="s">
        <v>671</v>
      </c>
      <c r="B472" s="634"/>
      <c r="C472" s="634"/>
      <c r="D472" s="634"/>
      <c r="E472" s="634"/>
      <c r="F472" s="634"/>
      <c r="G472" s="634"/>
      <c r="H472" s="634"/>
      <c r="I472" s="634"/>
      <c r="J472" s="634"/>
      <c r="K472" s="634"/>
      <c r="L472" s="634"/>
      <c r="M472" s="634"/>
    </row>
    <row r="473" spans="1:18" s="2" customFormat="1" ht="25.5" customHeight="1" x14ac:dyDescent="0.2">
      <c r="A473" s="773" t="s">
        <v>1538</v>
      </c>
      <c r="B473" s="567"/>
      <c r="C473" s="567"/>
      <c r="D473" s="567"/>
      <c r="E473" s="567"/>
      <c r="F473" s="567"/>
      <c r="G473" s="567"/>
      <c r="H473" s="567"/>
      <c r="I473" s="567"/>
      <c r="J473" s="567"/>
      <c r="K473" s="674"/>
      <c r="L473" s="780" t="s">
        <v>2834</v>
      </c>
      <c r="M473" s="781"/>
      <c r="N473" s="654" t="str">
        <f>IF(NOT(ISBLANK(M475)),"You are required to fill out the Service Line Data Tab since you have selected 'No'.  Please click here to supply the Service Line information.","")</f>
        <v/>
      </c>
      <c r="O473" s="654"/>
      <c r="P473" s="654"/>
      <c r="Q473" s="654"/>
      <c r="R473" s="654"/>
    </row>
    <row r="474" spans="1:18" s="2" customFormat="1" ht="25.5" customHeight="1" x14ac:dyDescent="0.2">
      <c r="A474" s="774" t="s">
        <v>672</v>
      </c>
      <c r="B474" s="775"/>
      <c r="C474" s="775"/>
      <c r="D474" s="775"/>
      <c r="E474" s="775"/>
      <c r="F474" s="775"/>
      <c r="G474" s="775"/>
      <c r="H474" s="775"/>
      <c r="I474" s="775"/>
      <c r="J474" s="775"/>
      <c r="K474" s="776"/>
      <c r="L474" s="33" t="s">
        <v>91</v>
      </c>
      <c r="M474" s="77" t="s">
        <v>92</v>
      </c>
      <c r="N474" s="662"/>
      <c r="O474" s="662"/>
      <c r="P474" s="662"/>
      <c r="Q474" s="662"/>
      <c r="R474" s="662"/>
    </row>
    <row r="475" spans="1:18" s="2" customFormat="1" ht="25.5" customHeight="1" x14ac:dyDescent="0.2">
      <c r="A475" s="777"/>
      <c r="B475" s="778"/>
      <c r="C475" s="778"/>
      <c r="D475" s="778"/>
      <c r="E475" s="778"/>
      <c r="F475" s="778"/>
      <c r="G475" s="778"/>
      <c r="H475" s="778"/>
      <c r="I475" s="778"/>
      <c r="J475" s="778"/>
      <c r="K475" s="779"/>
      <c r="L475" s="458"/>
      <c r="M475" s="458"/>
      <c r="N475" s="616" t="str">
        <f>IF(AND(NOT(ISBLANK(L475)),NOT(ISBLANK(M475))),"Please select only ONE choice!",IF(AND(ISBLANK(L475),ISBLANK(M475)),"Please mark an X in to indicate your choice",""))</f>
        <v>Please mark an X in to indicate your choice</v>
      </c>
      <c r="O475" s="616"/>
      <c r="P475" s="616"/>
      <c r="Q475" s="616"/>
      <c r="R475" s="616"/>
    </row>
    <row r="476" spans="1:18" s="2" customFormat="1" ht="25.5" customHeight="1" x14ac:dyDescent="0.2">
      <c r="A476" s="78"/>
      <c r="B476" s="78"/>
      <c r="C476" s="78"/>
      <c r="D476" s="78"/>
      <c r="E476" s="78"/>
      <c r="F476" s="78"/>
      <c r="G476" s="78"/>
      <c r="H476" s="78"/>
      <c r="I476" s="78"/>
      <c r="J476" s="78"/>
      <c r="K476" s="78"/>
      <c r="L476" s="65"/>
      <c r="M476" s="65"/>
      <c r="N476" s="5"/>
      <c r="O476" s="5"/>
      <c r="P476" s="5"/>
      <c r="Q476" s="5"/>
      <c r="R476" s="5"/>
    </row>
    <row r="477" spans="1:18" s="2" customFormat="1" ht="25.5" customHeight="1" x14ac:dyDescent="0.2">
      <c r="A477" s="773" t="s">
        <v>1539</v>
      </c>
      <c r="B477" s="567"/>
      <c r="C477" s="567"/>
      <c r="D477" s="567"/>
      <c r="E477" s="567"/>
      <c r="F477" s="567"/>
      <c r="G477" s="567"/>
      <c r="H477" s="567"/>
      <c r="I477" s="567"/>
      <c r="J477" s="567"/>
      <c r="K477" s="674"/>
      <c r="L477" s="780" t="s">
        <v>2834</v>
      </c>
      <c r="M477" s="781"/>
      <c r="N477" s="1026" t="str">
        <f>IF($D$5&gt;=200,"This section is REQUIRED for Pyschiatric and Specialty hospitals.","")</f>
        <v/>
      </c>
      <c r="O477" s="1026"/>
      <c r="P477" s="1026"/>
      <c r="Q477" s="1026"/>
      <c r="R477" s="1026"/>
    </row>
    <row r="478" spans="1:18" s="2" customFormat="1" ht="25.5" customHeight="1" x14ac:dyDescent="0.2">
      <c r="A478" s="21">
        <v>4030</v>
      </c>
      <c r="B478" s="522" t="s">
        <v>769</v>
      </c>
      <c r="C478" s="523"/>
      <c r="D478" s="523"/>
      <c r="E478" s="523"/>
      <c r="F478" s="523"/>
      <c r="G478" s="523"/>
      <c r="H478" s="523"/>
      <c r="I478" s="523"/>
      <c r="J478" s="523"/>
      <c r="K478" s="524"/>
      <c r="L478" s="1047"/>
      <c r="M478" s="1048"/>
      <c r="N478" s="654" t="str">
        <f>IF('2021 HAR'!$D$5&gt;=200,"Additional Days Information is Required. Please Click here to report this information.","")</f>
        <v/>
      </c>
      <c r="O478" s="654"/>
      <c r="P478" s="654"/>
      <c r="Q478" s="654"/>
      <c r="R478" s="654"/>
    </row>
    <row r="479" spans="1:18" s="2" customFormat="1" ht="25.5" customHeight="1" x14ac:dyDescent="0.2">
      <c r="A479" s="20">
        <v>4041</v>
      </c>
      <c r="B479" s="539" t="s">
        <v>927</v>
      </c>
      <c r="C479" s="528"/>
      <c r="D479" s="528"/>
      <c r="E479" s="528"/>
      <c r="F479" s="528"/>
      <c r="G479" s="528"/>
      <c r="H479" s="528"/>
      <c r="I479" s="528"/>
      <c r="J479" s="528"/>
      <c r="K479" s="529"/>
      <c r="L479" s="782"/>
      <c r="M479" s="783"/>
    </row>
    <row r="480" spans="1:18" s="2" customFormat="1" ht="25.5" customHeight="1" x14ac:dyDescent="0.2">
      <c r="A480" s="20">
        <v>7156</v>
      </c>
      <c r="B480" s="539" t="s">
        <v>928</v>
      </c>
      <c r="C480" s="528"/>
      <c r="D480" s="528"/>
      <c r="E480" s="528"/>
      <c r="F480" s="528"/>
      <c r="G480" s="528"/>
      <c r="H480" s="528"/>
      <c r="I480" s="528"/>
      <c r="J480" s="528"/>
      <c r="K480" s="529"/>
      <c r="L480" s="782"/>
      <c r="M480" s="783"/>
    </row>
    <row r="481" spans="1:18" s="2" customFormat="1" ht="25.5" customHeight="1" x14ac:dyDescent="0.2">
      <c r="A481" s="20">
        <v>7157</v>
      </c>
      <c r="B481" s="539" t="s">
        <v>929</v>
      </c>
      <c r="C481" s="528"/>
      <c r="D481" s="528"/>
      <c r="E481" s="528"/>
      <c r="F481" s="528"/>
      <c r="G481" s="528"/>
      <c r="H481" s="528"/>
      <c r="I481" s="528"/>
      <c r="J481" s="528"/>
      <c r="K481" s="529"/>
      <c r="L481" s="782"/>
      <c r="M481" s="783"/>
    </row>
    <row r="482" spans="1:18" s="2" customFormat="1" ht="25.5" customHeight="1" x14ac:dyDescent="0.2">
      <c r="A482" s="20">
        <v>7158</v>
      </c>
      <c r="B482" s="539" t="s">
        <v>930</v>
      </c>
      <c r="C482" s="528"/>
      <c r="D482" s="528"/>
      <c r="E482" s="528"/>
      <c r="F482" s="528"/>
      <c r="G482" s="528"/>
      <c r="H482" s="528"/>
      <c r="I482" s="528"/>
      <c r="J482" s="528"/>
      <c r="K482" s="529"/>
      <c r="L482" s="782"/>
      <c r="M482" s="783"/>
    </row>
    <row r="483" spans="1:18" s="2" customFormat="1" ht="25.5" customHeight="1" x14ac:dyDescent="0.2">
      <c r="A483" s="21">
        <v>7155</v>
      </c>
      <c r="B483" s="522" t="s">
        <v>931</v>
      </c>
      <c r="C483" s="523"/>
      <c r="D483" s="523"/>
      <c r="E483" s="523"/>
      <c r="F483" s="523"/>
      <c r="G483" s="523">
        <f>SUM(G479:H482)</f>
        <v>0</v>
      </c>
      <c r="H483" s="523"/>
      <c r="I483" s="523"/>
      <c r="J483" s="523"/>
      <c r="K483" s="524"/>
      <c r="L483" s="695">
        <f>SUM(L479:M482)</f>
        <v>0</v>
      </c>
      <c r="M483" s="696"/>
    </row>
    <row r="484" spans="1:18" s="2" customFormat="1" ht="25.5" customHeight="1" x14ac:dyDescent="0.2">
      <c r="A484" s="21">
        <v>7244</v>
      </c>
      <c r="B484" s="522" t="s">
        <v>932</v>
      </c>
      <c r="C484" s="523"/>
      <c r="D484" s="523"/>
      <c r="E484" s="523"/>
      <c r="F484" s="523"/>
      <c r="G484" s="523">
        <f>SUM(G478+G483)</f>
        <v>0</v>
      </c>
      <c r="H484" s="523">
        <f>SUM(H468:H483)</f>
        <v>0</v>
      </c>
      <c r="I484" s="523" t="str">
        <f>IF(AND(NOT(ISBLANK(P471)),Code_4320&lt;=0),"Please Enter the Total Acute Care Admissions.","")</f>
        <v/>
      </c>
      <c r="J484" s="523"/>
      <c r="K484" s="524"/>
      <c r="L484" s="695">
        <f>SUM(L478+L483)</f>
        <v>0</v>
      </c>
      <c r="M484" s="696">
        <f>SUM(M468:M483)</f>
        <v>0</v>
      </c>
    </row>
    <row r="486" spans="1:18" s="2" customFormat="1" ht="25.5" customHeight="1" x14ac:dyDescent="0.2">
      <c r="A486" s="15" t="str">
        <f>$A$33</f>
        <v xml:space="preserve"> </v>
      </c>
    </row>
    <row r="487" spans="1:18" s="2" customFormat="1" ht="25.5" customHeight="1" x14ac:dyDescent="0.2">
      <c r="A487" s="566" t="s">
        <v>770</v>
      </c>
      <c r="B487" s="634"/>
      <c r="C487" s="634"/>
      <c r="D487" s="634"/>
      <c r="E487" s="634"/>
      <c r="F487" s="634"/>
      <c r="G487" s="634"/>
      <c r="H487" s="634"/>
      <c r="I487" s="634"/>
      <c r="J487" s="634"/>
      <c r="K487" s="634"/>
      <c r="L487" s="634"/>
      <c r="M487" s="634"/>
    </row>
    <row r="488" spans="1:18" s="2" customFormat="1" ht="25.5" customHeight="1" x14ac:dyDescent="0.2">
      <c r="A488" s="773" t="s">
        <v>1540</v>
      </c>
      <c r="B488" s="567"/>
      <c r="C488" s="567"/>
      <c r="D488" s="567"/>
      <c r="E488" s="567"/>
      <c r="F488" s="567"/>
      <c r="G488" s="567"/>
      <c r="H488" s="567"/>
      <c r="I488" s="567"/>
      <c r="J488" s="567"/>
      <c r="K488" s="674"/>
      <c r="L488" s="780" t="s">
        <v>2834</v>
      </c>
      <c r="M488" s="781"/>
      <c r="N488" s="1026" t="str">
        <f>IF($D$5&gt;=200,"This section is REQUIRED for Pyschiatric and Specialty hospitals.","")</f>
        <v/>
      </c>
      <c r="O488" s="1026"/>
      <c r="P488" s="1026"/>
      <c r="Q488" s="1026"/>
      <c r="R488" s="1026"/>
    </row>
    <row r="489" spans="1:18" s="15" customFormat="1" ht="25.5" customHeight="1" x14ac:dyDescent="0.2">
      <c r="A489" s="21">
        <v>4370</v>
      </c>
      <c r="B489" s="522" t="s">
        <v>1716</v>
      </c>
      <c r="C489" s="523"/>
      <c r="D489" s="523"/>
      <c r="E489" s="523"/>
      <c r="F489" s="523"/>
      <c r="G489" s="523"/>
      <c r="H489" s="523"/>
      <c r="I489" s="523"/>
      <c r="J489" s="523"/>
      <c r="K489" s="524"/>
      <c r="L489" s="635"/>
      <c r="M489" s="636"/>
      <c r="N489" s="1080" t="str">
        <f>IF(OR(Code_4370&lt;0,Code_4341&lt;0,Code_7184&lt;0),"Warning: please report only positive integers",IF(AND(ISBLANK(Code_4341),ISBLANK(Code_7184)),"",IF(OR(NOT(ISBLANK(Code_4341)),NOT(ISBLANK(Code_7184))),IF((Code_4341+Code_7184)&lt;&gt;Code_4370,"Warning: Medicare breakouts do not sum to total",""),"")))</f>
        <v/>
      </c>
      <c r="O489" s="1081"/>
      <c r="P489" s="1081"/>
      <c r="Q489" s="1081"/>
      <c r="R489" s="1081"/>
    </row>
    <row r="490" spans="1:18" s="2" customFormat="1" ht="25.5" customHeight="1" x14ac:dyDescent="0.2">
      <c r="A490" s="20">
        <v>4341</v>
      </c>
      <c r="B490" s="539" t="s">
        <v>1093</v>
      </c>
      <c r="C490" s="528"/>
      <c r="D490" s="528"/>
      <c r="E490" s="528"/>
      <c r="F490" s="528"/>
      <c r="G490" s="528"/>
      <c r="H490" s="528"/>
      <c r="I490" s="529"/>
      <c r="J490" s="782"/>
      <c r="K490" s="783"/>
      <c r="L490" s="933" t="s">
        <v>1706</v>
      </c>
      <c r="M490" s="934"/>
      <c r="N490" s="607" t="str">
        <f>IF(AND(ISBLANK(J490),ISBLANK(J491),ISBLANK(L489)),"Enter Total Medicare Admissions in 4370 if detail is not available. 
(Cell is not locked.)","")</f>
        <v>Enter Total Medicare Admissions in 4370 if detail is not available. 
(Cell is not locked.)</v>
      </c>
      <c r="O490" s="608"/>
      <c r="P490" s="608"/>
      <c r="Q490" s="608"/>
      <c r="R490" s="608"/>
    </row>
    <row r="491" spans="1:18" s="2" customFormat="1" ht="25.5" customHeight="1" x14ac:dyDescent="0.2">
      <c r="A491" s="20">
        <v>7184</v>
      </c>
      <c r="B491" s="539" t="s">
        <v>1096</v>
      </c>
      <c r="C491" s="528"/>
      <c r="D491" s="528"/>
      <c r="E491" s="528"/>
      <c r="F491" s="528"/>
      <c r="G491" s="528"/>
      <c r="H491" s="528"/>
      <c r="I491" s="529"/>
      <c r="J491" s="782"/>
      <c r="K491" s="783"/>
      <c r="L491" s="935"/>
      <c r="M491" s="936"/>
      <c r="N491" s="607"/>
      <c r="O491" s="608"/>
      <c r="P491" s="608"/>
      <c r="Q491" s="608"/>
      <c r="R491" s="608"/>
    </row>
    <row r="492" spans="1:18" s="15" customFormat="1" ht="25.5" customHeight="1" x14ac:dyDescent="0.2">
      <c r="A492" s="21">
        <v>4373</v>
      </c>
      <c r="B492" s="522" t="s">
        <v>1717</v>
      </c>
      <c r="C492" s="523"/>
      <c r="D492" s="523"/>
      <c r="E492" s="523"/>
      <c r="F492" s="523"/>
      <c r="G492" s="523"/>
      <c r="H492" s="523"/>
      <c r="I492" s="523"/>
      <c r="J492" s="523"/>
      <c r="K492" s="524"/>
      <c r="L492" s="635"/>
      <c r="M492" s="636"/>
      <c r="N492" s="1080" t="str">
        <f>IF(OR(Code_4373&lt;0,Code_7181&lt;0,Code_7186&lt;0),"Warning: please report only positive integers",IF(AND(ISBLANK(Code_7181),ISBLANK(Code_7186)),"",IF(OR(NOT(ISBLANK(Code_7181)),NOT(ISBLANK(Code_7186))),IF((Code_7181+Code_7186)&lt;&gt;Code_4373,"Warning: MA/PMAP breakouts do not sum to total",""),"")))</f>
        <v/>
      </c>
      <c r="O492" s="1081"/>
      <c r="P492" s="1081"/>
      <c r="Q492" s="1081"/>
      <c r="R492" s="1081"/>
    </row>
    <row r="493" spans="1:18" s="2" customFormat="1" ht="25.5" customHeight="1" x14ac:dyDescent="0.2">
      <c r="A493" s="20">
        <v>7181</v>
      </c>
      <c r="B493" s="655" t="s">
        <v>1094</v>
      </c>
      <c r="C493" s="656"/>
      <c r="D493" s="656"/>
      <c r="E493" s="656"/>
      <c r="F493" s="656"/>
      <c r="G493" s="656"/>
      <c r="H493" s="656"/>
      <c r="I493" s="657"/>
      <c r="J493" s="782"/>
      <c r="K493" s="783"/>
      <c r="L493" s="1079" t="s">
        <v>1708</v>
      </c>
      <c r="M493" s="934"/>
      <c r="N493" s="607" t="str">
        <f>IF(AND(ISBLANK(J493),ISBLANK(J494),ISBLANK(L492)),"Enter Total MA/PMAP Admissions in 4373 if detail is not available. 
(Cell is not locked.)","")</f>
        <v>Enter Total MA/PMAP Admissions in 4373 if detail is not available. 
(Cell is not locked.)</v>
      </c>
      <c r="O493" s="608"/>
      <c r="P493" s="608"/>
      <c r="Q493" s="608"/>
      <c r="R493" s="608"/>
    </row>
    <row r="494" spans="1:18" s="2" customFormat="1" ht="25.5" customHeight="1" x14ac:dyDescent="0.2">
      <c r="A494" s="20">
        <v>7186</v>
      </c>
      <c r="B494" s="655" t="s">
        <v>1097</v>
      </c>
      <c r="C494" s="656"/>
      <c r="D494" s="656"/>
      <c r="E494" s="656"/>
      <c r="F494" s="656"/>
      <c r="G494" s="656"/>
      <c r="H494" s="656"/>
      <c r="I494" s="657"/>
      <c r="J494" s="782"/>
      <c r="K494" s="783"/>
      <c r="L494" s="935"/>
      <c r="M494" s="936"/>
      <c r="N494" s="607"/>
      <c r="O494" s="608"/>
      <c r="P494" s="608"/>
      <c r="Q494" s="608"/>
      <c r="R494" s="608"/>
    </row>
    <row r="495" spans="1:18" s="15" customFormat="1" ht="25.5" customHeight="1" x14ac:dyDescent="0.2">
      <c r="A495" s="21">
        <v>4376</v>
      </c>
      <c r="B495" s="522" t="s">
        <v>1718</v>
      </c>
      <c r="C495" s="523"/>
      <c r="D495" s="523"/>
      <c r="E495" s="523"/>
      <c r="F495" s="523"/>
      <c r="G495" s="523"/>
      <c r="H495" s="523"/>
      <c r="I495" s="523"/>
      <c r="J495" s="523"/>
      <c r="K495" s="524"/>
      <c r="L495" s="635"/>
      <c r="M495" s="636"/>
      <c r="N495" s="1080" t="str">
        <f>IF(OR(Code_4376&lt;0,Code_7183&lt;0,Code_7188&lt;0),"Warning: please report only positive integers",IF(AND(ISBLANK(Code_7183),ISBLANK(Code_7188)),"",IF(OR(NOT(ISBLANK(Code_7183)),NOT(ISBLANK(Code_7188))),IF((Code_7183+Code_7188)&lt;&gt;Code_4376,"Warning: MNCare breakouts do not sum to total",""),"")))</f>
        <v/>
      </c>
      <c r="O495" s="1081"/>
      <c r="P495" s="1081"/>
      <c r="Q495" s="1081"/>
      <c r="R495" s="1081"/>
    </row>
    <row r="496" spans="1:18" s="2" customFormat="1" ht="25.5" customHeight="1" x14ac:dyDescent="0.2">
      <c r="A496" s="20">
        <v>7183</v>
      </c>
      <c r="B496" s="655" t="s">
        <v>1095</v>
      </c>
      <c r="C496" s="656"/>
      <c r="D496" s="656"/>
      <c r="E496" s="656"/>
      <c r="F496" s="656"/>
      <c r="G496" s="656"/>
      <c r="H496" s="656"/>
      <c r="I496" s="657"/>
      <c r="J496" s="782"/>
      <c r="K496" s="783"/>
      <c r="L496" s="933" t="s">
        <v>1709</v>
      </c>
      <c r="M496" s="934"/>
      <c r="N496" s="607" t="str">
        <f>IF(AND(ISBLANK(J496),ISBLANK(J497),ISBLANK(L495)),"Enter Total MinnesotaCare Admissions in 4376 if detail is not available. 
(Cell is not locked.)","")</f>
        <v>Enter Total MinnesotaCare Admissions in 4376 if detail is not available. 
(Cell is not locked.)</v>
      </c>
      <c r="O496" s="608"/>
      <c r="P496" s="608"/>
      <c r="Q496" s="608"/>
      <c r="R496" s="608"/>
    </row>
    <row r="497" spans="1:18" s="2" customFormat="1" ht="25.5" customHeight="1" x14ac:dyDescent="0.2">
      <c r="A497" s="20">
        <v>7188</v>
      </c>
      <c r="B497" s="655" t="s">
        <v>1098</v>
      </c>
      <c r="C497" s="656"/>
      <c r="D497" s="656"/>
      <c r="E497" s="656"/>
      <c r="F497" s="656"/>
      <c r="G497" s="656"/>
      <c r="H497" s="656"/>
      <c r="I497" s="657"/>
      <c r="J497" s="782"/>
      <c r="K497" s="783"/>
      <c r="L497" s="935"/>
      <c r="M497" s="936"/>
      <c r="N497" s="607"/>
      <c r="O497" s="608"/>
      <c r="P497" s="608"/>
      <c r="Q497" s="608"/>
      <c r="R497" s="608"/>
    </row>
    <row r="498" spans="1:18" s="15" customFormat="1" ht="25.5" customHeight="1" x14ac:dyDescent="0.2">
      <c r="A498" s="21">
        <v>4379</v>
      </c>
      <c r="B498" s="522" t="s">
        <v>1719</v>
      </c>
      <c r="C498" s="523"/>
      <c r="D498" s="523"/>
      <c r="E498" s="523"/>
      <c r="F498" s="523"/>
      <c r="G498" s="523"/>
      <c r="H498" s="523"/>
      <c r="I498" s="523"/>
      <c r="J498" s="523"/>
      <c r="K498" s="524"/>
      <c r="L498" s="1062"/>
      <c r="M498" s="1063"/>
    </row>
    <row r="499" spans="1:18" s="2" customFormat="1" ht="25.5" customHeight="1" x14ac:dyDescent="0.2">
      <c r="A499" s="20">
        <v>7189</v>
      </c>
      <c r="B499" s="539" t="s">
        <v>1099</v>
      </c>
      <c r="C499" s="528"/>
      <c r="D499" s="528"/>
      <c r="E499" s="528"/>
      <c r="F499" s="528"/>
      <c r="G499" s="528"/>
      <c r="H499" s="528"/>
      <c r="I499" s="528"/>
      <c r="J499" s="528"/>
      <c r="K499" s="529"/>
      <c r="L499" s="782"/>
      <c r="M499" s="783"/>
    </row>
    <row r="500" spans="1:18" s="2" customFormat="1" ht="25.5" customHeight="1" x14ac:dyDescent="0.2">
      <c r="A500" s="20">
        <v>4344</v>
      </c>
      <c r="B500" s="927" t="s">
        <v>1100</v>
      </c>
      <c r="C500" s="648"/>
      <c r="D500" s="648"/>
      <c r="E500" s="648"/>
      <c r="F500" s="648"/>
      <c r="G500" s="648"/>
      <c r="H500" s="648"/>
      <c r="I500" s="648"/>
      <c r="J500" s="648"/>
      <c r="K500" s="649"/>
      <c r="L500" s="720">
        <f>Code_4340-Code_4370-Code_4373-Code_4376-Code_4379-Code_7189</f>
        <v>0</v>
      </c>
      <c r="M500" s="721"/>
      <c r="N500" s="1080" t="str">
        <f>IF(Code_4344&lt;0,"This should be a positive integer",IF(AND(Code_4344=0,Code_4026&gt;0),"Warning: there are Other Payer Patient Days reported in section 40.",""))</f>
        <v/>
      </c>
      <c r="O500" s="1081"/>
      <c r="P500" s="1081"/>
      <c r="Q500" s="1081"/>
      <c r="R500" s="1081"/>
    </row>
    <row r="501" spans="1:18" s="15" customFormat="1" ht="25.5" customHeight="1" x14ac:dyDescent="0.2">
      <c r="A501" s="21">
        <v>4340</v>
      </c>
      <c r="B501" s="522" t="s">
        <v>1101</v>
      </c>
      <c r="C501" s="523"/>
      <c r="D501" s="523"/>
      <c r="E501" s="523"/>
      <c r="F501" s="523"/>
      <c r="G501" s="523"/>
      <c r="H501" s="523"/>
      <c r="I501" s="523"/>
      <c r="J501" s="523"/>
      <c r="K501" s="524"/>
      <c r="L501" s="695">
        <f>Code_4320</f>
        <v>0</v>
      </c>
      <c r="M501" s="696"/>
    </row>
    <row r="502" spans="1:18" s="15" customFormat="1" ht="25.5" customHeight="1" x14ac:dyDescent="0.2">
      <c r="A502" s="21">
        <v>4342</v>
      </c>
      <c r="B502" s="527" t="s">
        <v>1576</v>
      </c>
      <c r="C502" s="536"/>
      <c r="D502" s="536"/>
      <c r="E502" s="536"/>
      <c r="F502" s="536"/>
      <c r="G502" s="536"/>
      <c r="H502" s="536"/>
      <c r="I502" s="536"/>
      <c r="J502" s="536"/>
      <c r="K502" s="540"/>
      <c r="L502" s="720">
        <f>SUM(Code_7181,Code_7183)</f>
        <v>0</v>
      </c>
      <c r="M502" s="721"/>
    </row>
    <row r="503" spans="1:18" s="15" customFormat="1" ht="25.5" customHeight="1" x14ac:dyDescent="0.2">
      <c r="A503" s="21">
        <v>7185</v>
      </c>
      <c r="B503" s="527" t="s">
        <v>1577</v>
      </c>
      <c r="C503" s="536"/>
      <c r="D503" s="536"/>
      <c r="E503" s="536"/>
      <c r="F503" s="536"/>
      <c r="G503" s="536"/>
      <c r="H503" s="536"/>
      <c r="I503" s="536"/>
      <c r="J503" s="536"/>
      <c r="K503" s="540"/>
      <c r="L503" s="720">
        <f>SUM(Code_7186,Code_7188)</f>
        <v>0</v>
      </c>
      <c r="M503" s="721"/>
    </row>
    <row r="504" spans="1:18" s="2" customFormat="1" ht="25.5" customHeight="1" x14ac:dyDescent="0.2">
      <c r="A504" s="773" t="s">
        <v>1541</v>
      </c>
      <c r="B504" s="567"/>
      <c r="C504" s="567"/>
      <c r="D504" s="567"/>
      <c r="E504" s="567"/>
      <c r="F504" s="567"/>
      <c r="G504" s="567"/>
      <c r="H504" s="567"/>
      <c r="I504" s="567"/>
      <c r="J504" s="567"/>
      <c r="K504" s="674"/>
      <c r="L504" s="780" t="s">
        <v>2834</v>
      </c>
      <c r="M504" s="781"/>
    </row>
    <row r="505" spans="1:18" s="2" customFormat="1" ht="25.5" customHeight="1" x14ac:dyDescent="0.2">
      <c r="A505" s="20">
        <v>4360</v>
      </c>
      <c r="B505" s="539" t="s">
        <v>1102</v>
      </c>
      <c r="C505" s="528"/>
      <c r="D505" s="528"/>
      <c r="E505" s="528"/>
      <c r="F505" s="528"/>
      <c r="G505" s="528"/>
      <c r="H505" s="528"/>
      <c r="I505" s="528"/>
      <c r="J505" s="528"/>
      <c r="K505" s="529"/>
      <c r="L505" s="720" t="e">
        <f>ROUND((Code_0860/Code_0851)*L501,0)</f>
        <v>#DIV/0!</v>
      </c>
      <c r="M505" s="721"/>
    </row>
    <row r="506" spans="1:18" s="2" customFormat="1" ht="25.5" customHeight="1" x14ac:dyDescent="0.2">
      <c r="A506" s="20">
        <v>4351</v>
      </c>
      <c r="B506" s="539" t="s">
        <v>1103</v>
      </c>
      <c r="C506" s="528"/>
      <c r="D506" s="528"/>
      <c r="E506" s="528"/>
      <c r="F506" s="528"/>
      <c r="G506" s="528"/>
      <c r="H506" s="528"/>
      <c r="I506" s="528"/>
      <c r="J506" s="528"/>
      <c r="K506" s="529"/>
      <c r="L506" s="1082" t="e">
        <f>ROUND(Code_4030/Code_4320,2)</f>
        <v>#DIV/0!</v>
      </c>
      <c r="M506" s="1083"/>
    </row>
    <row r="507" spans="1:18" s="2" customFormat="1" ht="25.5" customHeight="1" x14ac:dyDescent="0.2">
      <c r="A507" s="15" t="str">
        <f>$A$33</f>
        <v xml:space="preserve"> </v>
      </c>
    </row>
    <row r="508" spans="1:18" s="2" customFormat="1" ht="25.5" customHeight="1" x14ac:dyDescent="0.2">
      <c r="A508" s="566" t="s">
        <v>771</v>
      </c>
      <c r="B508" s="634"/>
      <c r="C508" s="634"/>
      <c r="D508" s="634"/>
      <c r="E508" s="634"/>
      <c r="F508" s="634"/>
      <c r="G508" s="634"/>
      <c r="H508" s="634"/>
      <c r="I508" s="634"/>
      <c r="J508" s="634"/>
      <c r="K508" s="634"/>
      <c r="L508" s="634"/>
      <c r="M508" s="634"/>
    </row>
    <row r="509" spans="1:18" s="2" customFormat="1" ht="25.5" customHeight="1" x14ac:dyDescent="0.2">
      <c r="A509" s="773" t="s">
        <v>1542</v>
      </c>
      <c r="B509" s="567"/>
      <c r="C509" s="567"/>
      <c r="D509" s="567"/>
      <c r="E509" s="567"/>
      <c r="F509" s="567"/>
      <c r="G509" s="567"/>
      <c r="H509" s="567"/>
      <c r="I509" s="567"/>
      <c r="J509" s="567"/>
      <c r="K509" s="674"/>
      <c r="L509" s="780" t="s">
        <v>2834</v>
      </c>
      <c r="M509" s="781"/>
      <c r="N509" s="1026" t="str">
        <f>IF($D$5&gt;=200,"This section is REQUIRED for Pyschiatric and Specialty hospitals.","")</f>
        <v/>
      </c>
      <c r="O509" s="1026"/>
      <c r="P509" s="1026"/>
      <c r="Q509" s="1026"/>
      <c r="R509" s="1026"/>
    </row>
    <row r="510" spans="1:18" s="15" customFormat="1" ht="25.5" customHeight="1" x14ac:dyDescent="0.2">
      <c r="A510" s="21">
        <v>4380</v>
      </c>
      <c r="B510" s="522" t="s">
        <v>1720</v>
      </c>
      <c r="C510" s="523"/>
      <c r="D510" s="523"/>
      <c r="E510" s="523"/>
      <c r="F510" s="523"/>
      <c r="G510" s="523"/>
      <c r="H510" s="523"/>
      <c r="I510" s="523"/>
      <c r="J510" s="523"/>
      <c r="K510" s="524"/>
      <c r="L510" s="1062"/>
      <c r="M510" s="1063"/>
      <c r="N510" s="1084" t="str">
        <f>IF(OR(Code_4380&lt;0,Code_4025&lt;0,Code_7162&lt;0),"Warning: please report only positive integers",IF(AND(ISBLANK(Code_4025),ISBLANK(Code_7162)),"",IF(OR(NOT(ISBLANK(Code_4025)),NOT(ISBLANK(Code_7162))),IF((Code_4025+Code_7162)&lt;&gt;Code_4380,"Warning: Medicare breakouts do not sum to total",""),"")))</f>
        <v/>
      </c>
      <c r="O510" s="1085"/>
      <c r="P510" s="1085"/>
      <c r="Q510" s="1085"/>
      <c r="R510" s="1085"/>
    </row>
    <row r="511" spans="1:18" s="2" customFormat="1" ht="25.5" customHeight="1" x14ac:dyDescent="0.2">
      <c r="A511" s="20">
        <v>4025</v>
      </c>
      <c r="B511" s="539" t="s">
        <v>1104</v>
      </c>
      <c r="C511" s="528"/>
      <c r="D511" s="528"/>
      <c r="E511" s="528"/>
      <c r="F511" s="528"/>
      <c r="G511" s="528"/>
      <c r="H511" s="528"/>
      <c r="I511" s="529"/>
      <c r="J511" s="782"/>
      <c r="K511" s="783"/>
      <c r="L511" s="933" t="s">
        <v>1706</v>
      </c>
      <c r="M511" s="934"/>
      <c r="N511" s="607" t="str">
        <f>IF(AND(ISBLANK(J511),ISBLANK(L510),ISBLANK(J512)),"Enter Total Medicare Patient Days in 4380 if detail is not available. 
(Cell is not locked.)","")</f>
        <v>Enter Total Medicare Patient Days in 4380 if detail is not available. 
(Cell is not locked.)</v>
      </c>
      <c r="O511" s="608"/>
      <c r="P511" s="608"/>
      <c r="Q511" s="608"/>
      <c r="R511" s="608"/>
    </row>
    <row r="512" spans="1:18" s="2" customFormat="1" ht="25.5" customHeight="1" x14ac:dyDescent="0.2">
      <c r="A512" s="20">
        <v>7162</v>
      </c>
      <c r="B512" s="539" t="s">
        <v>1107</v>
      </c>
      <c r="C512" s="528"/>
      <c r="D512" s="528"/>
      <c r="E512" s="528"/>
      <c r="F512" s="528"/>
      <c r="G512" s="528"/>
      <c r="H512" s="528"/>
      <c r="I512" s="529"/>
      <c r="J512" s="782"/>
      <c r="K512" s="783"/>
      <c r="L512" s="935"/>
      <c r="M512" s="936"/>
      <c r="N512" s="607"/>
      <c r="O512" s="608"/>
      <c r="P512" s="608"/>
      <c r="Q512" s="608"/>
      <c r="R512" s="608"/>
    </row>
    <row r="513" spans="1:18" s="15" customFormat="1" ht="25.5" customHeight="1" x14ac:dyDescent="0.2">
      <c r="A513" s="21">
        <v>4383</v>
      </c>
      <c r="B513" s="522" t="s">
        <v>1722</v>
      </c>
      <c r="C513" s="523"/>
      <c r="D513" s="523"/>
      <c r="E513" s="523"/>
      <c r="F513" s="523"/>
      <c r="G513" s="523"/>
      <c r="H513" s="523"/>
      <c r="I513" s="523"/>
      <c r="J513" s="523"/>
      <c r="K513" s="524"/>
      <c r="L513" s="1062"/>
      <c r="M513" s="1063"/>
      <c r="N513" s="1080" t="str">
        <f>IF(OR(Code_4383&lt;0,Code_7159&lt;0,Code_7164&lt;0),"Warning: please report only positive integers",IF(AND(ISBLANK(Code_7159),ISBLANK(Code_7164)),"",IF(OR(NOT(ISBLANK(Code_7159)),NOT(ISBLANK(Code_7164))),IF((Code_7159+Code_7164)&lt;&gt;Code_4383,"Warning: MA/PMAP breakouts do not sum to total",""),"")))</f>
        <v/>
      </c>
      <c r="O513" s="1081"/>
      <c r="P513" s="1081"/>
      <c r="Q513" s="1081"/>
      <c r="R513" s="1081"/>
    </row>
    <row r="514" spans="1:18" s="2" customFormat="1" ht="25.5" customHeight="1" x14ac:dyDescent="0.2">
      <c r="A514" s="20">
        <v>7159</v>
      </c>
      <c r="B514" s="655" t="s">
        <v>1105</v>
      </c>
      <c r="C514" s="656"/>
      <c r="D514" s="656"/>
      <c r="E514" s="656"/>
      <c r="F514" s="656"/>
      <c r="G514" s="656"/>
      <c r="H514" s="656"/>
      <c r="I514" s="657"/>
      <c r="J514" s="782"/>
      <c r="K514" s="783"/>
      <c r="L514" s="1079" t="s">
        <v>1708</v>
      </c>
      <c r="M514" s="934"/>
      <c r="N514" s="607" t="str">
        <f>IF(AND(ISBLANK(J514),ISBLANK(J515),ISBLANK(L513)),"Enter Total MA/PMAP Days in 4383 if detail is not available. 
(Cell is not locked.)","")</f>
        <v>Enter Total MA/PMAP Days in 4383 if detail is not available. 
(Cell is not locked.)</v>
      </c>
      <c r="O514" s="608"/>
      <c r="P514" s="608"/>
      <c r="Q514" s="608"/>
      <c r="R514" s="608"/>
    </row>
    <row r="515" spans="1:18" s="2" customFormat="1" ht="25.5" customHeight="1" x14ac:dyDescent="0.2">
      <c r="A515" s="20">
        <v>7164</v>
      </c>
      <c r="B515" s="655" t="s">
        <v>1108</v>
      </c>
      <c r="C515" s="656"/>
      <c r="D515" s="656"/>
      <c r="E515" s="656"/>
      <c r="F515" s="656"/>
      <c r="G515" s="656"/>
      <c r="H515" s="656"/>
      <c r="I515" s="657"/>
      <c r="J515" s="782"/>
      <c r="K515" s="783"/>
      <c r="L515" s="935"/>
      <c r="M515" s="936"/>
      <c r="N515" s="607"/>
      <c r="O515" s="608"/>
      <c r="P515" s="608"/>
      <c r="Q515" s="608"/>
      <c r="R515" s="608"/>
    </row>
    <row r="516" spans="1:18" s="15" customFormat="1" ht="25.5" customHeight="1" x14ac:dyDescent="0.2">
      <c r="A516" s="21">
        <v>4386</v>
      </c>
      <c r="B516" s="522" t="s">
        <v>1723</v>
      </c>
      <c r="C516" s="523"/>
      <c r="D516" s="523"/>
      <c r="E516" s="523"/>
      <c r="F516" s="523"/>
      <c r="G516" s="523"/>
      <c r="H516" s="523"/>
      <c r="I516" s="523"/>
      <c r="J516" s="523"/>
      <c r="K516" s="524"/>
      <c r="L516" s="1062"/>
      <c r="M516" s="1063"/>
      <c r="N516" s="1080" t="str">
        <f>IF(OR(Code_4386&lt;0,Code_7161&lt;0,Code_7166&lt;0),"Warning: please report only positive integers",IF(AND(ISBLANK(Code_7161),ISBLANK(Code_7166)),"",IF(OR(NOT(ISBLANK(Code_7161)),NOT(ISBLANK(Code_7166))),IF((Code_7161+Code_7166)&lt;&gt;Code_4386,"Warning: MNCare breakouts do not sum to total",""),"")))</f>
        <v/>
      </c>
      <c r="O516" s="1081"/>
      <c r="P516" s="1081"/>
      <c r="Q516" s="1081"/>
      <c r="R516" s="1081"/>
    </row>
    <row r="517" spans="1:18" s="2" customFormat="1" ht="25.5" customHeight="1" x14ac:dyDescent="0.2">
      <c r="A517" s="20">
        <v>7161</v>
      </c>
      <c r="B517" s="655" t="s">
        <v>1106</v>
      </c>
      <c r="C517" s="656"/>
      <c r="D517" s="656"/>
      <c r="E517" s="656"/>
      <c r="F517" s="656"/>
      <c r="G517" s="656"/>
      <c r="H517" s="656"/>
      <c r="I517" s="657"/>
      <c r="J517" s="782"/>
      <c r="K517" s="783"/>
      <c r="L517" s="933" t="s">
        <v>1709</v>
      </c>
      <c r="M517" s="934"/>
      <c r="N517" s="607" t="str">
        <f>IF(AND(ISBLANK(J517),ISBLANK(J518),ISBLANK(L516)),"Enter Total MinnesotaCare Days in 4386 if detail is not available. 
(Cell is not locked.)","")</f>
        <v>Enter Total MinnesotaCare Days in 4386 if detail is not available. 
(Cell is not locked.)</v>
      </c>
      <c r="O517" s="608"/>
      <c r="P517" s="608"/>
      <c r="Q517" s="608"/>
      <c r="R517" s="608"/>
    </row>
    <row r="518" spans="1:18" s="2" customFormat="1" ht="25.5" customHeight="1" x14ac:dyDescent="0.2">
      <c r="A518" s="20">
        <v>7166</v>
      </c>
      <c r="B518" s="655" t="s">
        <v>1109</v>
      </c>
      <c r="C518" s="656"/>
      <c r="D518" s="656"/>
      <c r="E518" s="656"/>
      <c r="F518" s="656"/>
      <c r="G518" s="656"/>
      <c r="H518" s="656"/>
      <c r="I518" s="657"/>
      <c r="J518" s="782"/>
      <c r="K518" s="783"/>
      <c r="L518" s="935"/>
      <c r="M518" s="936"/>
      <c r="N518" s="607"/>
      <c r="O518" s="608"/>
      <c r="P518" s="608"/>
      <c r="Q518" s="608"/>
      <c r="R518" s="608"/>
    </row>
    <row r="519" spans="1:18" s="2" customFormat="1" ht="25.5" customHeight="1" x14ac:dyDescent="0.2">
      <c r="A519" s="21">
        <v>4389</v>
      </c>
      <c r="B519" s="522" t="s">
        <v>1721</v>
      </c>
      <c r="C519" s="523"/>
      <c r="D519" s="523"/>
      <c r="E519" s="523"/>
      <c r="F519" s="523"/>
      <c r="G519" s="523"/>
      <c r="H519" s="523"/>
      <c r="I519" s="523"/>
      <c r="J519" s="523"/>
      <c r="K519" s="524"/>
      <c r="L519" s="1062"/>
      <c r="M519" s="1063"/>
    </row>
    <row r="520" spans="1:18" s="2" customFormat="1" ht="25.5" customHeight="1" x14ac:dyDescent="0.2">
      <c r="A520" s="20">
        <v>7167</v>
      </c>
      <c r="B520" s="539" t="s">
        <v>1110</v>
      </c>
      <c r="C520" s="528"/>
      <c r="D520" s="528"/>
      <c r="E520" s="528"/>
      <c r="F520" s="528"/>
      <c r="G520" s="528"/>
      <c r="H520" s="528"/>
      <c r="I520" s="528"/>
      <c r="J520" s="528"/>
      <c r="K520" s="529"/>
      <c r="L520" s="782"/>
      <c r="M520" s="783"/>
    </row>
    <row r="521" spans="1:18" s="2" customFormat="1" ht="25.5" customHeight="1" x14ac:dyDescent="0.2">
      <c r="A521" s="20">
        <v>4026</v>
      </c>
      <c r="B521" s="927" t="s">
        <v>1111</v>
      </c>
      <c r="C521" s="648"/>
      <c r="D521" s="648"/>
      <c r="E521" s="648"/>
      <c r="F521" s="648"/>
      <c r="G521" s="648"/>
      <c r="H521" s="648"/>
      <c r="I521" s="648"/>
      <c r="J521" s="648"/>
      <c r="K521" s="649"/>
      <c r="L521" s="720">
        <f>Code_4020-Code_4380-Code_4383-Code_4386-Code_4389-Code_7167</f>
        <v>0</v>
      </c>
      <c r="M521" s="721"/>
      <c r="N521" s="1080" t="str">
        <f>IF(Code_4026&lt;0,"This should be a positive integer",IF(AND(Code_4026=0,Code_4344&gt;0),"Warning: there are Other Payer Patient Admissions reported in section 38.",""))</f>
        <v/>
      </c>
      <c r="O521" s="1081"/>
      <c r="P521" s="1081"/>
      <c r="Q521" s="1081"/>
      <c r="R521" s="1081"/>
    </row>
    <row r="522" spans="1:18" s="15" customFormat="1" ht="25.5" customHeight="1" x14ac:dyDescent="0.2">
      <c r="A522" s="21">
        <v>4020</v>
      </c>
      <c r="B522" s="522" t="s">
        <v>1112</v>
      </c>
      <c r="C522" s="523"/>
      <c r="D522" s="523"/>
      <c r="E522" s="523"/>
      <c r="F522" s="523"/>
      <c r="G522" s="523"/>
      <c r="H522" s="523"/>
      <c r="I522" s="523"/>
      <c r="J522" s="523"/>
      <c r="K522" s="524"/>
      <c r="L522" s="695">
        <f>Code_4030</f>
        <v>0</v>
      </c>
      <c r="M522" s="696"/>
    </row>
    <row r="523" spans="1:18" s="15" customFormat="1" ht="25.5" customHeight="1" x14ac:dyDescent="0.2">
      <c r="A523" s="21">
        <v>4022</v>
      </c>
      <c r="B523" s="527" t="s">
        <v>1578</v>
      </c>
      <c r="C523" s="536"/>
      <c r="D523" s="536"/>
      <c r="E523" s="536"/>
      <c r="F523" s="536"/>
      <c r="G523" s="536"/>
      <c r="H523" s="536"/>
      <c r="I523" s="536"/>
      <c r="J523" s="536"/>
      <c r="K523" s="540"/>
      <c r="L523" s="720">
        <f>SUM(Code_7159,Code_7161)</f>
        <v>0</v>
      </c>
      <c r="M523" s="721"/>
    </row>
    <row r="524" spans="1:18" s="15" customFormat="1" ht="25.5" customHeight="1" x14ac:dyDescent="0.2">
      <c r="A524" s="21">
        <v>7163</v>
      </c>
      <c r="B524" s="527" t="s">
        <v>1579</v>
      </c>
      <c r="C524" s="536"/>
      <c r="D524" s="536"/>
      <c r="E524" s="536"/>
      <c r="F524" s="536"/>
      <c r="G524" s="536"/>
      <c r="H524" s="536"/>
      <c r="I524" s="536"/>
      <c r="J524" s="536"/>
      <c r="K524" s="540"/>
      <c r="L524" s="720">
        <f>SUM(Code_7164,Code_7166)</f>
        <v>0</v>
      </c>
      <c r="M524" s="721"/>
    </row>
    <row r="525" spans="1:18" s="2" customFormat="1" ht="25.5" customHeight="1" x14ac:dyDescent="0.2">
      <c r="A525" s="773" t="s">
        <v>1543</v>
      </c>
      <c r="B525" s="567"/>
      <c r="C525" s="567"/>
      <c r="D525" s="567"/>
      <c r="E525" s="567"/>
      <c r="F525" s="567"/>
      <c r="G525" s="567"/>
      <c r="H525" s="567"/>
      <c r="I525" s="567"/>
      <c r="J525" s="567"/>
      <c r="K525" s="674"/>
      <c r="L525" s="780" t="s">
        <v>2834</v>
      </c>
      <c r="M525" s="781"/>
    </row>
    <row r="526" spans="1:18" s="2" customFormat="1" ht="25.5" customHeight="1" x14ac:dyDescent="0.2">
      <c r="A526" s="20">
        <v>4060</v>
      </c>
      <c r="B526" s="539" t="s">
        <v>1113</v>
      </c>
      <c r="C526" s="528"/>
      <c r="D526" s="528"/>
      <c r="E526" s="528"/>
      <c r="F526" s="528"/>
      <c r="G526" s="528"/>
      <c r="H526" s="528"/>
      <c r="I526" s="528"/>
      <c r="J526" s="528"/>
      <c r="K526" s="529"/>
      <c r="L526" s="1042" t="e">
        <f>ROUND((Code_0860/Code_0851)*Code_4030,0)</f>
        <v>#DIV/0!</v>
      </c>
      <c r="M526" s="1043"/>
    </row>
    <row r="527" spans="1:18" s="2" customFormat="1" ht="25.5" customHeight="1" x14ac:dyDescent="0.2">
      <c r="A527" s="773" t="s">
        <v>1544</v>
      </c>
      <c r="B527" s="567"/>
      <c r="C527" s="567"/>
      <c r="D527" s="567"/>
      <c r="E527" s="567"/>
      <c r="F527" s="567"/>
      <c r="G527" s="567"/>
      <c r="H527" s="567"/>
      <c r="I527" s="567"/>
      <c r="J527" s="567"/>
      <c r="K527" s="674"/>
      <c r="L527" s="780" t="s">
        <v>2834</v>
      </c>
      <c r="M527" s="781"/>
      <c r="N527" s="1026" t="str">
        <f>IF($D$5&gt;=200,"This section is REQUIRED for Pyschiatric and Specialty hospitals.","")</f>
        <v/>
      </c>
      <c r="O527" s="1026"/>
      <c r="P527" s="1026"/>
      <c r="Q527" s="1026"/>
      <c r="R527" s="1026"/>
    </row>
    <row r="528" spans="1:18" s="2" customFormat="1" ht="25.5" customHeight="1" x14ac:dyDescent="0.2">
      <c r="A528" s="20">
        <v>7058</v>
      </c>
      <c r="B528" s="539" t="s">
        <v>1114</v>
      </c>
      <c r="C528" s="528"/>
      <c r="D528" s="528"/>
      <c r="E528" s="528"/>
      <c r="F528" s="528"/>
      <c r="G528" s="528"/>
      <c r="H528" s="528"/>
      <c r="I528" s="528"/>
      <c r="J528" s="528"/>
      <c r="K528" s="529"/>
      <c r="L528" s="782"/>
      <c r="M528" s="783"/>
      <c r="N528" s="615" t="str">
        <f>IF(ISBLANK(L528),"Required Item. Please review instructions.","")</f>
        <v>Required Item. Please review instructions.</v>
      </c>
      <c r="O528" s="616"/>
      <c r="P528" s="616"/>
      <c r="Q528" s="616"/>
      <c r="R528" s="617"/>
    </row>
    <row r="529" spans="1:18" s="2" customFormat="1" ht="25.5" customHeight="1" x14ac:dyDescent="0.2">
      <c r="A529" s="20">
        <v>7059</v>
      </c>
      <c r="B529" s="539" t="s">
        <v>1115</v>
      </c>
      <c r="C529" s="528"/>
      <c r="D529" s="528"/>
      <c r="E529" s="528"/>
      <c r="F529" s="528"/>
      <c r="G529" s="528"/>
      <c r="H529" s="528"/>
      <c r="I529" s="528"/>
      <c r="J529" s="528"/>
      <c r="K529" s="529"/>
      <c r="L529" s="782"/>
      <c r="M529" s="783"/>
      <c r="N529" s="615" t="str">
        <f>IF(ISBLANK(L529),"Required Item. Please review instructions.","")</f>
        <v>Required Item. Please review instructions.</v>
      </c>
      <c r="O529" s="616"/>
      <c r="P529" s="616"/>
      <c r="Q529" s="616"/>
      <c r="R529" s="617"/>
    </row>
    <row r="530" spans="1:18" s="2" customFormat="1" ht="25.5" customHeight="1" x14ac:dyDescent="0.2">
      <c r="A530" s="15" t="str">
        <f>$A$33</f>
        <v xml:space="preserve"> </v>
      </c>
    </row>
    <row r="531" spans="1:18" s="2" customFormat="1" ht="25.5" customHeight="1" x14ac:dyDescent="0.2">
      <c r="A531" s="1086" t="s">
        <v>3</v>
      </c>
      <c r="B531" s="1087"/>
      <c r="C531" s="1087"/>
      <c r="D531" s="1087"/>
      <c r="E531" s="1087"/>
      <c r="F531" s="1087"/>
      <c r="G531" s="1087"/>
      <c r="H531" s="1087"/>
      <c r="I531" s="1087"/>
      <c r="J531" s="1087"/>
      <c r="K531" s="1087"/>
      <c r="L531" s="1087"/>
      <c r="M531" s="1087"/>
    </row>
    <row r="532" spans="1:18" s="2" customFormat="1" ht="25.5" customHeight="1" x14ac:dyDescent="0.2">
      <c r="A532" s="773" t="s">
        <v>1545</v>
      </c>
      <c r="B532" s="567"/>
      <c r="C532" s="567"/>
      <c r="D532" s="567"/>
      <c r="E532" s="567"/>
      <c r="F532" s="567"/>
      <c r="G532" s="567"/>
      <c r="H532" s="567"/>
      <c r="I532" s="567"/>
      <c r="J532" s="567"/>
      <c r="K532" s="674"/>
      <c r="L532" s="780" t="s">
        <v>2834</v>
      </c>
      <c r="M532" s="781"/>
      <c r="N532" s="1026" t="str">
        <f>IF($D$5&gt;=200,"This section is REQUIRED for Pyschiatric and Specialty hospitals.","")</f>
        <v/>
      </c>
      <c r="O532" s="1026"/>
      <c r="P532" s="1026"/>
      <c r="Q532" s="1026"/>
      <c r="R532" s="1026"/>
    </row>
    <row r="533" spans="1:18" s="2" customFormat="1" ht="25.5" customHeight="1" x14ac:dyDescent="0.2">
      <c r="A533" s="20">
        <v>4520</v>
      </c>
      <c r="B533" s="539" t="s">
        <v>4</v>
      </c>
      <c r="C533" s="528"/>
      <c r="D533" s="528"/>
      <c r="E533" s="528"/>
      <c r="F533" s="528"/>
      <c r="G533" s="528"/>
      <c r="H533" s="528"/>
      <c r="I533" s="528"/>
      <c r="J533" s="528"/>
      <c r="K533" s="529"/>
      <c r="L533" s="1082">
        <f>ROUND(L537/365,2)</f>
        <v>0</v>
      </c>
      <c r="M533" s="1083"/>
    </row>
    <row r="534" spans="1:18" s="2" customFormat="1" ht="25.5" customHeight="1" x14ac:dyDescent="0.2">
      <c r="A534" s="773" t="s">
        <v>1546</v>
      </c>
      <c r="B534" s="567"/>
      <c r="C534" s="567"/>
      <c r="D534" s="567"/>
      <c r="E534" s="567"/>
      <c r="F534" s="567"/>
      <c r="G534" s="567"/>
      <c r="H534" s="567"/>
      <c r="I534" s="567"/>
      <c r="J534" s="567"/>
      <c r="K534" s="674"/>
      <c r="L534" s="780" t="s">
        <v>2834</v>
      </c>
      <c r="M534" s="781"/>
      <c r="N534" s="1026" t="str">
        <f>IF($D$5&gt;=200,"This section is REQUIRED for Pyschiatric and Specialty hospitals.","")</f>
        <v/>
      </c>
      <c r="O534" s="1026"/>
      <c r="P534" s="1026"/>
      <c r="Q534" s="1026"/>
      <c r="R534" s="1026"/>
    </row>
    <row r="535" spans="1:18" s="2" customFormat="1" ht="25.5" customHeight="1" x14ac:dyDescent="0.2">
      <c r="A535" s="20">
        <v>4033</v>
      </c>
      <c r="B535" s="539" t="s">
        <v>5</v>
      </c>
      <c r="C535" s="528"/>
      <c r="D535" s="528"/>
      <c r="E535" s="528"/>
      <c r="F535" s="528"/>
      <c r="G535" s="528"/>
      <c r="H535" s="528"/>
      <c r="I535" s="528"/>
      <c r="J535" s="528"/>
      <c r="K535" s="529"/>
      <c r="L535" s="782"/>
      <c r="M535" s="783"/>
      <c r="N535" s="642" t="str">
        <f>IF(AND(Code_4034&gt;0,Code_4033=""),"Please enter the number of Medicare Reimbursed Swing Bed Days. If there were none, please enter zero.","")</f>
        <v/>
      </c>
      <c r="O535" s="643"/>
      <c r="P535" s="643"/>
      <c r="Q535" s="643"/>
      <c r="R535" s="643"/>
    </row>
    <row r="536" spans="1:18" s="2" customFormat="1" ht="25.5" customHeight="1" x14ac:dyDescent="0.2">
      <c r="A536" s="20">
        <v>4035</v>
      </c>
      <c r="B536" s="539" t="s">
        <v>6</v>
      </c>
      <c r="C536" s="528"/>
      <c r="D536" s="528"/>
      <c r="E536" s="528"/>
      <c r="F536" s="528"/>
      <c r="G536" s="528"/>
      <c r="H536" s="528"/>
      <c r="I536" s="528"/>
      <c r="J536" s="528"/>
      <c r="K536" s="529"/>
      <c r="L536" s="720">
        <f>L537-L535</f>
        <v>0</v>
      </c>
      <c r="M536" s="721"/>
      <c r="N536" s="642"/>
      <c r="O536" s="643"/>
      <c r="P536" s="643"/>
      <c r="Q536" s="643"/>
      <c r="R536" s="643"/>
    </row>
    <row r="537" spans="1:18" s="2" customFormat="1" ht="25.5" customHeight="1" x14ac:dyDescent="0.2">
      <c r="A537" s="21">
        <v>4034</v>
      </c>
      <c r="B537" s="522" t="s">
        <v>7</v>
      </c>
      <c r="C537" s="523"/>
      <c r="D537" s="523"/>
      <c r="E537" s="523"/>
      <c r="F537" s="523"/>
      <c r="G537" s="523"/>
      <c r="H537" s="523"/>
      <c r="I537" s="523"/>
      <c r="J537" s="523"/>
      <c r="K537" s="524"/>
      <c r="L537" s="695">
        <f>Code_7156</f>
        <v>0</v>
      </c>
      <c r="M537" s="696"/>
    </row>
    <row r="538" spans="1:18" s="2" customFormat="1" ht="25.5" customHeight="1" x14ac:dyDescent="0.2">
      <c r="A538" s="773" t="s">
        <v>1547</v>
      </c>
      <c r="B538" s="567"/>
      <c r="C538" s="567"/>
      <c r="D538" s="567"/>
      <c r="E538" s="567"/>
      <c r="F538" s="567"/>
      <c r="G538" s="567"/>
      <c r="H538" s="567"/>
      <c r="I538" s="567"/>
      <c r="J538" s="567"/>
      <c r="K538" s="674"/>
      <c r="L538" s="780" t="s">
        <v>2834</v>
      </c>
      <c r="M538" s="781"/>
      <c r="N538" s="1026" t="str">
        <f>IF($D$5&gt;=200,"This section is REQUIRED for Pyschiatric and Specialty hospitals.","")</f>
        <v/>
      </c>
      <c r="O538" s="1026"/>
      <c r="P538" s="1026"/>
      <c r="Q538" s="1026"/>
      <c r="R538" s="1026"/>
    </row>
    <row r="539" spans="1:18" s="2" customFormat="1" ht="25.5" customHeight="1" x14ac:dyDescent="0.2">
      <c r="A539" s="20">
        <v>4322</v>
      </c>
      <c r="B539" s="539" t="s">
        <v>8</v>
      </c>
      <c r="C539" s="528"/>
      <c r="D539" s="528"/>
      <c r="E539" s="528"/>
      <c r="F539" s="528"/>
      <c r="G539" s="528"/>
      <c r="H539" s="528"/>
      <c r="I539" s="528"/>
      <c r="J539" s="528"/>
      <c r="K539" s="529"/>
      <c r="L539" s="782"/>
      <c r="M539" s="783"/>
    </row>
    <row r="540" spans="1:18" s="2" customFormat="1" ht="25.5" customHeight="1" x14ac:dyDescent="0.2">
      <c r="A540" s="20">
        <v>4323</v>
      </c>
      <c r="B540" s="539" t="s">
        <v>9</v>
      </c>
      <c r="C540" s="528"/>
      <c r="D540" s="528"/>
      <c r="E540" s="528"/>
      <c r="F540" s="528"/>
      <c r="G540" s="528"/>
      <c r="H540" s="528"/>
      <c r="I540" s="528"/>
      <c r="J540" s="528"/>
      <c r="K540" s="529"/>
      <c r="L540" s="782"/>
      <c r="M540" s="783"/>
    </row>
    <row r="541" spans="1:18" s="2" customFormat="1" ht="25.5" customHeight="1" x14ac:dyDescent="0.2">
      <c r="A541" s="20">
        <v>4326</v>
      </c>
      <c r="B541" s="539" t="s">
        <v>10</v>
      </c>
      <c r="C541" s="528"/>
      <c r="D541" s="528"/>
      <c r="E541" s="528"/>
      <c r="F541" s="528"/>
      <c r="G541" s="528"/>
      <c r="H541" s="528"/>
      <c r="I541" s="528"/>
      <c r="J541" s="528"/>
      <c r="K541" s="529"/>
      <c r="L541" s="720">
        <f>L542-L539-L540</f>
        <v>0</v>
      </c>
      <c r="M541" s="721"/>
    </row>
    <row r="542" spans="1:18" s="2" customFormat="1" ht="25.5" customHeight="1" x14ac:dyDescent="0.2">
      <c r="A542" s="21">
        <v>4324</v>
      </c>
      <c r="B542" s="522" t="s">
        <v>11</v>
      </c>
      <c r="C542" s="523"/>
      <c r="D542" s="523"/>
      <c r="E542" s="523"/>
      <c r="F542" s="523"/>
      <c r="G542" s="523"/>
      <c r="H542" s="523"/>
      <c r="I542" s="523"/>
      <c r="J542" s="523"/>
      <c r="K542" s="524"/>
      <c r="L542" s="695">
        <f>Code_7177</f>
        <v>0</v>
      </c>
      <c r="M542" s="696"/>
    </row>
    <row r="543" spans="1:18" s="2" customFormat="1" ht="25.5" customHeight="1" x14ac:dyDescent="0.2">
      <c r="A543" s="773" t="s">
        <v>1548</v>
      </c>
      <c r="B543" s="567"/>
      <c r="C543" s="567"/>
      <c r="D543" s="567"/>
      <c r="E543" s="567"/>
      <c r="F543" s="567"/>
      <c r="G543" s="567"/>
      <c r="H543" s="567"/>
      <c r="I543" s="567"/>
      <c r="J543" s="567"/>
      <c r="K543" s="674"/>
      <c r="L543" s="780" t="s">
        <v>2834</v>
      </c>
      <c r="M543" s="781"/>
      <c r="N543" s="1026" t="str">
        <f>IF($D$5&gt;=200,"This section is REQUIRED for Pyschiatric and Specialty hospitals.","")</f>
        <v/>
      </c>
      <c r="O543" s="1026"/>
      <c r="P543" s="1026"/>
      <c r="Q543" s="1026"/>
      <c r="R543" s="1026"/>
    </row>
    <row r="544" spans="1:18" s="2" customFormat="1" ht="25.5" customHeight="1" x14ac:dyDescent="0.2">
      <c r="A544" s="20">
        <v>4329</v>
      </c>
      <c r="B544" s="539" t="s">
        <v>12</v>
      </c>
      <c r="C544" s="528"/>
      <c r="D544" s="528"/>
      <c r="E544" s="528"/>
      <c r="F544" s="528"/>
      <c r="G544" s="528"/>
      <c r="H544" s="528"/>
      <c r="I544" s="528"/>
      <c r="J544" s="528"/>
      <c r="K544" s="529"/>
      <c r="L544" s="782"/>
      <c r="M544" s="783"/>
    </row>
    <row r="545" spans="1:18" s="2" customFormat="1" ht="25.5" customHeight="1" x14ac:dyDescent="0.2">
      <c r="A545" s="20">
        <v>4333</v>
      </c>
      <c r="B545" s="539" t="s">
        <v>13</v>
      </c>
      <c r="C545" s="528"/>
      <c r="D545" s="528"/>
      <c r="E545" s="528"/>
      <c r="F545" s="528"/>
      <c r="G545" s="528"/>
      <c r="H545" s="528"/>
      <c r="I545" s="528"/>
      <c r="J545" s="528"/>
      <c r="K545" s="529"/>
      <c r="L545" s="782"/>
      <c r="M545" s="783"/>
    </row>
    <row r="546" spans="1:18" s="2" customFormat="1" ht="25.5" customHeight="1" x14ac:dyDescent="0.2">
      <c r="A546" s="20">
        <v>4335</v>
      </c>
      <c r="B546" s="539" t="s">
        <v>14</v>
      </c>
      <c r="C546" s="528"/>
      <c r="D546" s="528"/>
      <c r="E546" s="528"/>
      <c r="F546" s="528"/>
      <c r="G546" s="528"/>
      <c r="H546" s="528"/>
      <c r="I546" s="528"/>
      <c r="J546" s="528"/>
      <c r="K546" s="529"/>
      <c r="L546" s="782"/>
      <c r="M546" s="783"/>
    </row>
    <row r="547" spans="1:18" s="2" customFormat="1" ht="25.5" customHeight="1" x14ac:dyDescent="0.2">
      <c r="A547" s="20">
        <v>4336</v>
      </c>
      <c r="B547" s="539" t="s">
        <v>15</v>
      </c>
      <c r="C547" s="528"/>
      <c r="D547" s="528"/>
      <c r="E547" s="528"/>
      <c r="F547" s="528"/>
      <c r="G547" s="528"/>
      <c r="H547" s="528"/>
      <c r="I547" s="528"/>
      <c r="J547" s="528"/>
      <c r="K547" s="529"/>
      <c r="L547" s="782"/>
      <c r="M547" s="783"/>
    </row>
    <row r="548" spans="1:18" s="2" customFormat="1" ht="25.5" customHeight="1" x14ac:dyDescent="0.2">
      <c r="A548" s="20">
        <v>4337</v>
      </c>
      <c r="B548" s="539" t="s">
        <v>16</v>
      </c>
      <c r="C548" s="528"/>
      <c r="D548" s="528"/>
      <c r="E548" s="528"/>
      <c r="F548" s="528"/>
      <c r="G548" s="528"/>
      <c r="H548" s="528"/>
      <c r="I548" s="528"/>
      <c r="J548" s="528"/>
      <c r="K548" s="529"/>
      <c r="L548" s="720">
        <f>L549-SUM(L544:M547)</f>
        <v>0</v>
      </c>
      <c r="M548" s="721"/>
    </row>
    <row r="549" spans="1:18" s="2" customFormat="1" ht="25.5" customHeight="1" x14ac:dyDescent="0.2">
      <c r="A549" s="21">
        <v>4339</v>
      </c>
      <c r="B549" s="522" t="s">
        <v>17</v>
      </c>
      <c r="C549" s="523"/>
      <c r="D549" s="523"/>
      <c r="E549" s="523"/>
      <c r="F549" s="523"/>
      <c r="G549" s="523"/>
      <c r="H549" s="523"/>
      <c r="I549" s="523"/>
      <c r="J549" s="523"/>
      <c r="K549" s="524"/>
      <c r="L549" s="782"/>
      <c r="M549" s="783"/>
    </row>
    <row r="550" spans="1:18" s="2" customFormat="1" ht="25.5" customHeight="1" x14ac:dyDescent="0.2">
      <c r="A550" s="15" t="str">
        <f>$A$33</f>
        <v xml:space="preserve"> </v>
      </c>
    </row>
    <row r="551" spans="1:18" s="2" customFormat="1" ht="25.5" customHeight="1" x14ac:dyDescent="0.2">
      <c r="A551" s="1088" t="s">
        <v>1549</v>
      </c>
      <c r="B551" s="1089"/>
      <c r="C551" s="1089"/>
      <c r="D551" s="1089"/>
      <c r="E551" s="1089"/>
      <c r="F551" s="1089"/>
      <c r="G551" s="1089"/>
      <c r="H551" s="1089"/>
      <c r="I551" s="1089"/>
      <c r="J551" s="1089"/>
      <c r="K551" s="899"/>
      <c r="L551" s="780" t="s">
        <v>2834</v>
      </c>
      <c r="M551" s="781"/>
      <c r="N551" s="1026" t="str">
        <f>IF($D$5&gt;=200,"This section is REQUIRED for Pyschiatric and Specialty hospitals.","")</f>
        <v/>
      </c>
      <c r="O551" s="1026"/>
      <c r="P551" s="1026"/>
      <c r="Q551" s="1026"/>
      <c r="R551" s="1026"/>
    </row>
    <row r="552" spans="1:18" s="2" customFormat="1" ht="25.5" customHeight="1" x14ac:dyDescent="0.2">
      <c r="A552" s="20">
        <v>4037</v>
      </c>
      <c r="B552" s="539" t="s">
        <v>18</v>
      </c>
      <c r="C552" s="528"/>
      <c r="D552" s="528"/>
      <c r="E552" s="528"/>
      <c r="F552" s="528"/>
      <c r="G552" s="528"/>
      <c r="H552" s="528"/>
      <c r="I552" s="528"/>
      <c r="J552" s="528"/>
      <c r="K552" s="529"/>
      <c r="L552" s="720">
        <f>Code_7157</f>
        <v>0</v>
      </c>
      <c r="M552" s="721"/>
    </row>
    <row r="553" spans="1:18" s="2" customFormat="1" ht="25.5" customHeight="1" x14ac:dyDescent="0.2">
      <c r="A553" s="773" t="s">
        <v>1550</v>
      </c>
      <c r="B553" s="567"/>
      <c r="C553" s="567"/>
      <c r="D553" s="567"/>
      <c r="E553" s="567"/>
      <c r="F553" s="567"/>
      <c r="G553" s="567"/>
      <c r="H553" s="567"/>
      <c r="I553" s="567"/>
      <c r="J553" s="567"/>
      <c r="K553" s="674"/>
      <c r="L553" s="780" t="s">
        <v>2834</v>
      </c>
      <c r="M553" s="781"/>
      <c r="N553" s="1026" t="str">
        <f>IF($D$5&gt;=200,"This section is REQUIRED for Pyschiatric and Specialty hospitals.","")</f>
        <v/>
      </c>
      <c r="O553" s="1026"/>
      <c r="P553" s="1026"/>
      <c r="Q553" s="1026"/>
      <c r="R553" s="1026"/>
    </row>
    <row r="554" spans="1:18" s="2" customFormat="1" ht="25.5" customHeight="1" x14ac:dyDescent="0.2">
      <c r="A554" s="20">
        <v>4540</v>
      </c>
      <c r="B554" s="539" t="s">
        <v>19</v>
      </c>
      <c r="C554" s="528"/>
      <c r="D554" s="528"/>
      <c r="E554" s="528"/>
      <c r="F554" s="528"/>
      <c r="G554" s="528"/>
      <c r="H554" s="528"/>
      <c r="I554" s="528"/>
      <c r="J554" s="528"/>
      <c r="K554" s="529"/>
      <c r="L554" s="720">
        <f>ROUND(Code_4037/365,0)</f>
        <v>0</v>
      </c>
      <c r="M554" s="721"/>
    </row>
    <row r="555" spans="1:18" s="2" customFormat="1" ht="25.5" customHeight="1" x14ac:dyDescent="0.2">
      <c r="A555" s="773" t="s">
        <v>1551</v>
      </c>
      <c r="B555" s="567"/>
      <c r="C555" s="567"/>
      <c r="D555" s="567"/>
      <c r="E555" s="567"/>
      <c r="F555" s="567"/>
      <c r="G555" s="567"/>
      <c r="H555" s="567"/>
      <c r="I555" s="567"/>
      <c r="J555" s="567"/>
      <c r="K555" s="674"/>
      <c r="L555" s="780" t="s">
        <v>2834</v>
      </c>
      <c r="M555" s="781"/>
      <c r="N555" s="1026" t="str">
        <f>IF($D$5&gt;=200,"This section is REQUIRED for Pyschiatric and Specialty hospitals.","")</f>
        <v/>
      </c>
      <c r="O555" s="1026"/>
      <c r="P555" s="1026"/>
      <c r="Q555" s="1026"/>
      <c r="R555" s="1026"/>
    </row>
    <row r="556" spans="1:18" s="2" customFormat="1" ht="25.5" customHeight="1" x14ac:dyDescent="0.2">
      <c r="A556" s="20">
        <v>4352</v>
      </c>
      <c r="B556" s="539" t="s">
        <v>8</v>
      </c>
      <c r="C556" s="528"/>
      <c r="D556" s="528"/>
      <c r="E556" s="528"/>
      <c r="F556" s="528"/>
      <c r="G556" s="528"/>
      <c r="H556" s="528"/>
      <c r="I556" s="528"/>
      <c r="J556" s="528"/>
      <c r="K556" s="529"/>
      <c r="L556" s="782"/>
      <c r="M556" s="783"/>
    </row>
    <row r="557" spans="1:18" s="2" customFormat="1" ht="25.5" customHeight="1" x14ac:dyDescent="0.2">
      <c r="A557" s="20">
        <v>4353</v>
      </c>
      <c r="B557" s="539" t="s">
        <v>9</v>
      </c>
      <c r="C557" s="528"/>
      <c r="D557" s="528"/>
      <c r="E557" s="528"/>
      <c r="F557" s="528"/>
      <c r="G557" s="528"/>
      <c r="H557" s="528"/>
      <c r="I557" s="528"/>
      <c r="J557" s="528"/>
      <c r="K557" s="529"/>
      <c r="L557" s="1090"/>
      <c r="M557" s="1091"/>
    </row>
    <row r="558" spans="1:18" s="2" customFormat="1" ht="25.5" customHeight="1" x14ac:dyDescent="0.2">
      <c r="A558" s="20">
        <v>4355</v>
      </c>
      <c r="B558" s="539" t="s">
        <v>20</v>
      </c>
      <c r="C558" s="528"/>
      <c r="D558" s="528"/>
      <c r="E558" s="528"/>
      <c r="F558" s="528"/>
      <c r="G558" s="528"/>
      <c r="H558" s="528"/>
      <c r="I558" s="528"/>
      <c r="J558" s="528"/>
      <c r="K558" s="529"/>
      <c r="L558" s="782"/>
      <c r="M558" s="783"/>
    </row>
    <row r="559" spans="1:18" s="2" customFormat="1" ht="25.5" customHeight="1" x14ac:dyDescent="0.2">
      <c r="A559" s="20">
        <v>4356</v>
      </c>
      <c r="B559" s="539" t="s">
        <v>21</v>
      </c>
      <c r="C559" s="528"/>
      <c r="D559" s="528"/>
      <c r="E559" s="528"/>
      <c r="F559" s="528"/>
      <c r="G559" s="528"/>
      <c r="H559" s="528"/>
      <c r="I559" s="528"/>
      <c r="J559" s="528"/>
      <c r="K559" s="529"/>
      <c r="L559" s="782"/>
      <c r="M559" s="783"/>
    </row>
    <row r="560" spans="1:18" s="2" customFormat="1" ht="25.5" customHeight="1" x14ac:dyDescent="0.2">
      <c r="A560" s="20">
        <v>4357</v>
      </c>
      <c r="B560" s="539" t="s">
        <v>22</v>
      </c>
      <c r="C560" s="528"/>
      <c r="D560" s="528"/>
      <c r="E560" s="528"/>
      <c r="F560" s="528"/>
      <c r="G560" s="528"/>
      <c r="H560" s="528"/>
      <c r="I560" s="528"/>
      <c r="J560" s="528"/>
      <c r="K560" s="529"/>
      <c r="L560" s="720">
        <f>L561-SUM(L556:M559)</f>
        <v>0</v>
      </c>
      <c r="M560" s="721"/>
    </row>
    <row r="561" spans="1:19" s="2" customFormat="1" ht="25.5" customHeight="1" x14ac:dyDescent="0.2">
      <c r="A561" s="21">
        <v>4327</v>
      </c>
      <c r="B561" s="522" t="s">
        <v>23</v>
      </c>
      <c r="C561" s="523"/>
      <c r="D561" s="523"/>
      <c r="E561" s="523"/>
      <c r="F561" s="523"/>
      <c r="G561" s="523"/>
      <c r="H561" s="523"/>
      <c r="I561" s="523"/>
      <c r="J561" s="523"/>
      <c r="K561" s="524"/>
      <c r="L561" s="695">
        <f>Code_7178</f>
        <v>0</v>
      </c>
      <c r="M561" s="696"/>
    </row>
    <row r="562" spans="1:19" s="2" customFormat="1" ht="25.5" customHeight="1" x14ac:dyDescent="0.2">
      <c r="A562" s="773" t="s">
        <v>1552</v>
      </c>
      <c r="B562" s="567"/>
      <c r="C562" s="567"/>
      <c r="D562" s="567"/>
      <c r="E562" s="567"/>
      <c r="F562" s="567"/>
      <c r="G562" s="567"/>
      <c r="H562" s="567"/>
      <c r="I562" s="567"/>
      <c r="J562" s="567"/>
      <c r="K562" s="674"/>
      <c r="L562" s="780" t="s">
        <v>2834</v>
      </c>
      <c r="M562" s="781"/>
      <c r="N562" s="1026" t="str">
        <f>IF($D$5&gt;=200,"This section is REQUIRED for Pyschiatric and Specialty hospitals.","")</f>
        <v/>
      </c>
      <c r="O562" s="1026"/>
      <c r="P562" s="1026"/>
      <c r="Q562" s="1026"/>
      <c r="R562" s="1026"/>
    </row>
    <row r="563" spans="1:19" s="2" customFormat="1" ht="25.5" customHeight="1" x14ac:dyDescent="0.2">
      <c r="A563" s="20">
        <v>4363</v>
      </c>
      <c r="B563" s="539" t="s">
        <v>12</v>
      </c>
      <c r="C563" s="528"/>
      <c r="D563" s="528"/>
      <c r="E563" s="528"/>
      <c r="F563" s="528"/>
      <c r="G563" s="528"/>
      <c r="H563" s="528"/>
      <c r="I563" s="528"/>
      <c r="J563" s="528"/>
      <c r="K563" s="529"/>
      <c r="L563" s="782"/>
      <c r="M563" s="783"/>
    </row>
    <row r="564" spans="1:19" s="2" customFormat="1" ht="25.5" customHeight="1" x14ac:dyDescent="0.2">
      <c r="A564" s="20">
        <v>4364</v>
      </c>
      <c r="B564" s="539" t="s">
        <v>24</v>
      </c>
      <c r="C564" s="528"/>
      <c r="D564" s="528"/>
      <c r="E564" s="528"/>
      <c r="F564" s="528"/>
      <c r="G564" s="528"/>
      <c r="H564" s="528"/>
      <c r="I564" s="528"/>
      <c r="J564" s="528"/>
      <c r="K564" s="529"/>
      <c r="L564" s="782"/>
      <c r="M564" s="783"/>
    </row>
    <row r="565" spans="1:19" s="2" customFormat="1" ht="25.5" customHeight="1" x14ac:dyDescent="0.2">
      <c r="A565" s="20">
        <v>4365</v>
      </c>
      <c r="B565" s="539" t="s">
        <v>14</v>
      </c>
      <c r="C565" s="528"/>
      <c r="D565" s="528"/>
      <c r="E565" s="528"/>
      <c r="F565" s="528"/>
      <c r="G565" s="528"/>
      <c r="H565" s="528"/>
      <c r="I565" s="528"/>
      <c r="J565" s="528"/>
      <c r="K565" s="529"/>
      <c r="L565" s="782"/>
      <c r="M565" s="783"/>
    </row>
    <row r="566" spans="1:19" s="2" customFormat="1" ht="25.5" customHeight="1" x14ac:dyDescent="0.2">
      <c r="A566" s="20">
        <v>4366</v>
      </c>
      <c r="B566" s="539" t="s">
        <v>15</v>
      </c>
      <c r="C566" s="528"/>
      <c r="D566" s="528"/>
      <c r="E566" s="528"/>
      <c r="F566" s="528"/>
      <c r="G566" s="528"/>
      <c r="H566" s="528"/>
      <c r="I566" s="528"/>
      <c r="J566" s="528"/>
      <c r="K566" s="529"/>
      <c r="L566" s="782"/>
      <c r="M566" s="783"/>
    </row>
    <row r="567" spans="1:19" s="2" customFormat="1" ht="25.5" customHeight="1" x14ac:dyDescent="0.2">
      <c r="A567" s="20">
        <v>4367</v>
      </c>
      <c r="B567" s="539" t="s">
        <v>16</v>
      </c>
      <c r="C567" s="528"/>
      <c r="D567" s="528"/>
      <c r="E567" s="528"/>
      <c r="F567" s="528"/>
      <c r="G567" s="528"/>
      <c r="H567" s="528"/>
      <c r="I567" s="528"/>
      <c r="J567" s="528"/>
      <c r="K567" s="529"/>
      <c r="L567" s="720">
        <f>L568-SUM(L563:M566)</f>
        <v>0</v>
      </c>
      <c r="M567" s="721"/>
    </row>
    <row r="568" spans="1:19" s="2" customFormat="1" ht="25.5" customHeight="1" x14ac:dyDescent="0.2">
      <c r="A568" s="21">
        <v>4369</v>
      </c>
      <c r="B568" s="522" t="s">
        <v>25</v>
      </c>
      <c r="C568" s="523"/>
      <c r="D568" s="523"/>
      <c r="E568" s="523"/>
      <c r="F568" s="523"/>
      <c r="G568" s="523"/>
      <c r="H568" s="523"/>
      <c r="I568" s="523"/>
      <c r="J568" s="523"/>
      <c r="K568" s="524"/>
      <c r="L568" s="782"/>
      <c r="M568" s="783"/>
    </row>
    <row r="569" spans="1:19" s="2" customFormat="1" ht="25.5" customHeight="1" x14ac:dyDescent="0.2">
      <c r="A569" s="15" t="str">
        <f>$A$33</f>
        <v xml:space="preserve"> </v>
      </c>
    </row>
    <row r="570" spans="1:19" s="2" customFormat="1" ht="25.5" customHeight="1" x14ac:dyDescent="0.2">
      <c r="A570" s="773" t="s">
        <v>1553</v>
      </c>
      <c r="B570" s="567"/>
      <c r="C570" s="567"/>
      <c r="D570" s="567"/>
      <c r="E570" s="567"/>
      <c r="F570" s="567"/>
      <c r="G570" s="567"/>
      <c r="H570" s="567"/>
      <c r="I570" s="567"/>
      <c r="J570" s="567"/>
      <c r="K570" s="674"/>
      <c r="L570" s="780" t="s">
        <v>2834</v>
      </c>
      <c r="M570" s="781"/>
      <c r="N570" s="1093" t="str">
        <f>IF($D$5&gt;=200,"This section is REQUIRED for Psychiatric and Specialty hospitals.","")</f>
        <v/>
      </c>
      <c r="O570" s="1093"/>
      <c r="P570" s="1093"/>
      <c r="Q570" s="1093"/>
      <c r="R570" s="1093"/>
    </row>
    <row r="571" spans="1:19" s="2" customFormat="1" ht="25.5" customHeight="1" x14ac:dyDescent="0.2">
      <c r="A571" s="43">
        <v>4504</v>
      </c>
      <c r="B571" s="1041" t="s">
        <v>2835</v>
      </c>
      <c r="C571" s="1012"/>
      <c r="D571" s="1012"/>
      <c r="E571" s="1012"/>
      <c r="F571" s="1012"/>
      <c r="G571" s="1012"/>
      <c r="H571" s="1012"/>
      <c r="I571" s="1012"/>
      <c r="J571" s="1012"/>
      <c r="K571" s="1094"/>
      <c r="L571" s="782"/>
      <c r="M571" s="783"/>
      <c r="N571" s="615" t="str">
        <f>IF(ISBLANK(L571),"This item can not be left blank. Please review instructions.","")</f>
        <v>This item can not be left blank. Please review instructions.</v>
      </c>
      <c r="O571" s="616"/>
      <c r="P571" s="616"/>
      <c r="Q571" s="616"/>
      <c r="R571" s="617"/>
      <c r="S571" s="2" t="str">
        <f>IF(ISERROR(VLOOKUP(D5,Audit_Tab_Data!$A$3:$AM$146,39,FALSE)),"",VLOOKUP(D5,Audit_Tab_Data!$A$3:$AM$146,39,FALSE))</f>
        <v/>
      </c>
    </row>
    <row r="572" spans="1:19" s="2" customFormat="1" ht="25.5" customHeight="1" x14ac:dyDescent="0.2">
      <c r="A572" s="43">
        <v>4531</v>
      </c>
      <c r="B572" s="1095" t="s">
        <v>2836</v>
      </c>
      <c r="C572" s="656"/>
      <c r="D572" s="656"/>
      <c r="E572" s="656"/>
      <c r="F572" s="656"/>
      <c r="G572" s="656"/>
      <c r="H572" s="656"/>
      <c r="I572" s="656"/>
      <c r="J572" s="656"/>
      <c r="K572" s="657"/>
      <c r="L572" s="782"/>
      <c r="M572" s="783"/>
      <c r="N572" s="1096" t="str">
        <f>IF(ISBLANK(L572),"If no Bassinets, enter 0.  Do not leave blank. ","")</f>
        <v xml:space="preserve">If no Bassinets, enter 0.  Do not leave blank. </v>
      </c>
      <c r="O572" s="1097"/>
      <c r="P572" s="1097"/>
      <c r="Q572" s="1098"/>
      <c r="R572" s="617"/>
    </row>
    <row r="573" spans="1:19" s="2" customFormat="1" ht="25.5" customHeight="1" x14ac:dyDescent="0.2">
      <c r="A573" s="1092" t="s">
        <v>26</v>
      </c>
      <c r="B573" s="617"/>
      <c r="C573" s="617"/>
      <c r="D573" s="617"/>
      <c r="E573" s="617"/>
      <c r="F573" s="617"/>
      <c r="G573" s="617"/>
      <c r="H573" s="617"/>
      <c r="I573" s="617"/>
      <c r="J573" s="617"/>
      <c r="K573" s="617"/>
      <c r="L573" s="617"/>
      <c r="M573" s="617"/>
    </row>
    <row r="574" spans="1:19" s="2" customFormat="1" ht="25.5" customHeight="1" x14ac:dyDescent="0.2">
      <c r="A574" s="899"/>
      <c r="B574" s="899"/>
      <c r="C574" s="899"/>
      <c r="D574" s="899"/>
      <c r="E574" s="899"/>
      <c r="F574" s="899"/>
      <c r="G574" s="899"/>
      <c r="H574" s="899"/>
      <c r="I574" s="899"/>
      <c r="J574" s="899"/>
      <c r="K574" s="899"/>
      <c r="L574" s="899"/>
      <c r="M574" s="899"/>
    </row>
    <row r="575" spans="1:19" s="2" customFormat="1" ht="25.5" customHeight="1" x14ac:dyDescent="0.2">
      <c r="A575" s="773" t="s">
        <v>1554</v>
      </c>
      <c r="B575" s="567"/>
      <c r="C575" s="567"/>
      <c r="D575" s="567"/>
      <c r="E575" s="567"/>
      <c r="F575" s="567"/>
      <c r="G575" s="567"/>
      <c r="H575" s="567"/>
      <c r="I575" s="567"/>
      <c r="J575" s="567"/>
      <c r="K575" s="674"/>
      <c r="L575" s="780" t="s">
        <v>2834</v>
      </c>
      <c r="M575" s="781"/>
      <c r="N575" s="1093" t="str">
        <f>IF($D$5&gt;=200,"This section is REQUIRED for Psychiatric and Specialty hospitals.","")</f>
        <v/>
      </c>
      <c r="O575" s="1093"/>
      <c r="P575" s="1093"/>
      <c r="Q575" s="1093"/>
      <c r="R575" s="1093"/>
    </row>
    <row r="576" spans="1:19" s="2" customFormat="1" ht="25.5" customHeight="1" x14ac:dyDescent="0.2">
      <c r="A576" s="1099" t="s">
        <v>27</v>
      </c>
      <c r="B576" s="1100"/>
      <c r="C576" s="1100"/>
      <c r="D576" s="1100"/>
      <c r="E576" s="1101"/>
      <c r="F576" s="1102" t="s">
        <v>28</v>
      </c>
      <c r="G576" s="1103"/>
      <c r="H576" s="1103"/>
      <c r="I576" s="1104"/>
      <c r="J576" s="1102" t="s">
        <v>29</v>
      </c>
      <c r="K576" s="1103"/>
      <c r="L576" s="1103"/>
      <c r="M576" s="1104"/>
    </row>
    <row r="577" spans="1:22" s="2" customFormat="1" ht="25.5" customHeight="1" x14ac:dyDescent="0.2">
      <c r="A577" s="1105" t="s">
        <v>30</v>
      </c>
      <c r="B577" s="1106"/>
      <c r="C577" s="1106"/>
      <c r="D577" s="1106"/>
      <c r="E577" s="1107"/>
      <c r="F577" s="1108" t="s">
        <v>31</v>
      </c>
      <c r="G577" s="1109"/>
      <c r="H577" s="1109"/>
      <c r="I577" s="1110"/>
      <c r="J577" s="1111">
        <v>44380</v>
      </c>
      <c r="K577" s="1112"/>
      <c r="L577" s="1112"/>
      <c r="M577" s="1113"/>
    </row>
    <row r="578" spans="1:22" s="2" customFormat="1" ht="25.5" customHeight="1" x14ac:dyDescent="0.2">
      <c r="A578" s="1105" t="s">
        <v>32</v>
      </c>
      <c r="B578" s="1106"/>
      <c r="C578" s="1106"/>
      <c r="D578" s="1106"/>
      <c r="E578" s="1107"/>
      <c r="F578" s="1108" t="s">
        <v>33</v>
      </c>
      <c r="G578" s="1109"/>
      <c r="H578" s="1109"/>
      <c r="I578" s="1110"/>
      <c r="J578" s="1111">
        <v>44510</v>
      </c>
      <c r="K578" s="1112"/>
      <c r="L578" s="1112"/>
      <c r="M578" s="1113"/>
    </row>
    <row r="579" spans="1:22" s="2" customFormat="1" ht="25.5" customHeight="1" x14ac:dyDescent="0.2">
      <c r="A579" s="1115"/>
      <c r="B579" s="1116"/>
      <c r="C579" s="1116"/>
      <c r="D579" s="1116"/>
      <c r="E579" s="1117"/>
      <c r="F579" s="1118"/>
      <c r="G579" s="1119"/>
      <c r="H579" s="1119"/>
      <c r="I579" s="1120"/>
      <c r="J579" s="1121"/>
      <c r="K579" s="1122"/>
      <c r="L579" s="1122"/>
      <c r="M579" s="1123"/>
    </row>
    <row r="580" spans="1:22" s="2" customFormat="1" ht="25.5" customHeight="1" x14ac:dyDescent="0.2">
      <c r="A580" s="1115"/>
      <c r="B580" s="1116"/>
      <c r="C580" s="1116"/>
      <c r="D580" s="1116"/>
      <c r="E580" s="1117"/>
      <c r="F580" s="1118"/>
      <c r="G580" s="1119"/>
      <c r="H580" s="1119"/>
      <c r="I580" s="1120"/>
      <c r="J580" s="1121"/>
      <c r="K580" s="1122"/>
      <c r="L580" s="1122"/>
      <c r="M580" s="1123"/>
    </row>
    <row r="581" spans="1:22" s="2" customFormat="1" ht="25.5" customHeight="1" x14ac:dyDescent="0.2">
      <c r="A581" s="59"/>
      <c r="B581" s="59"/>
      <c r="C581" s="59"/>
      <c r="D581" s="59"/>
      <c r="E581" s="59"/>
      <c r="F581" s="60"/>
      <c r="G581" s="60"/>
      <c r="H581" s="60"/>
      <c r="I581" s="60"/>
      <c r="J581" s="61"/>
      <c r="K581" s="61"/>
      <c r="L581" s="61"/>
      <c r="M581" s="61"/>
    </row>
    <row r="582" spans="1:22" s="2" customFormat="1" ht="25.5" customHeight="1" x14ac:dyDescent="0.2">
      <c r="A582" s="961" t="s">
        <v>34</v>
      </c>
      <c r="B582" s="961"/>
      <c r="C582" s="961"/>
      <c r="D582" s="961"/>
      <c r="E582" s="961"/>
      <c r="F582" s="961"/>
      <c r="G582" s="961"/>
      <c r="H582" s="961"/>
      <c r="I582" s="961"/>
      <c r="J582" s="961"/>
      <c r="K582" s="961"/>
      <c r="L582" s="961"/>
      <c r="M582" s="961"/>
      <c r="N582" s="961"/>
      <c r="O582" s="961"/>
      <c r="P582" s="961"/>
      <c r="Q582" s="961"/>
    </row>
    <row r="583" spans="1:22" s="2" customFormat="1" ht="25.5" customHeight="1" x14ac:dyDescent="0.2">
      <c r="A583" s="1114" t="s">
        <v>1555</v>
      </c>
      <c r="B583" s="1114"/>
      <c r="C583" s="1114"/>
      <c r="D583" s="1114"/>
      <c r="E583" s="1114"/>
      <c r="F583" s="1114"/>
      <c r="G583" s="1114"/>
      <c r="H583" s="1114"/>
      <c r="I583" s="1114"/>
      <c r="J583" s="1114"/>
      <c r="K583" s="1114"/>
      <c r="L583" s="1114"/>
      <c r="M583" s="1114"/>
      <c r="N583" s="1114"/>
      <c r="O583" s="1114"/>
      <c r="P583" s="780" t="s">
        <v>2834</v>
      </c>
      <c r="Q583" s="781"/>
      <c r="R583" s="1093" t="str">
        <f>IF($D$5&gt;=200,"This section is REQUIRED for Psychiatric and Specialty hospitals.","")</f>
        <v/>
      </c>
      <c r="S583" s="1093"/>
      <c r="T583" s="1093"/>
      <c r="U583" s="1093"/>
      <c r="V583" s="1093"/>
    </row>
    <row r="584" spans="1:22" s="2" customFormat="1" ht="25.5" customHeight="1" x14ac:dyDescent="0.2">
      <c r="A584" s="32"/>
      <c r="B584" s="780" t="s">
        <v>35</v>
      </c>
      <c r="C584" s="780"/>
      <c r="D584" s="780"/>
      <c r="E584" s="780"/>
      <c r="F584" s="1132" t="s">
        <v>36</v>
      </c>
      <c r="G584" s="1132"/>
      <c r="H584" s="1132"/>
      <c r="I584" s="1124" t="s">
        <v>37</v>
      </c>
      <c r="J584" s="1124"/>
      <c r="K584" s="1023"/>
      <c r="L584" s="1133" t="s">
        <v>38</v>
      </c>
      <c r="M584" s="1134"/>
      <c r="N584" s="1135"/>
      <c r="O584" s="1124" t="s">
        <v>39</v>
      </c>
      <c r="P584" s="1124"/>
      <c r="Q584" s="1023"/>
    </row>
    <row r="585" spans="1:22" s="2" customFormat="1" ht="25.5" customHeight="1" x14ac:dyDescent="0.2">
      <c r="A585" s="24"/>
      <c r="B585" s="1125" t="s">
        <v>40</v>
      </c>
      <c r="C585" s="1125"/>
      <c r="D585" s="1125"/>
      <c r="E585" s="1126"/>
      <c r="F585" s="385">
        <v>7463</v>
      </c>
      <c r="G585" s="1127">
        <f>SUM(J585+M585+P585)</f>
        <v>0</v>
      </c>
      <c r="H585" s="1128"/>
      <c r="I585" s="385">
        <v>7476</v>
      </c>
      <c r="J585" s="1129"/>
      <c r="K585" s="1130"/>
      <c r="L585" s="385">
        <v>7479</v>
      </c>
      <c r="M585" s="1129"/>
      <c r="N585" s="1131"/>
      <c r="O585" s="385">
        <v>7490</v>
      </c>
      <c r="P585" s="1129"/>
      <c r="Q585" s="1130"/>
    </row>
    <row r="586" spans="1:22" s="2" customFormat="1" ht="25.5" customHeight="1" x14ac:dyDescent="0.2">
      <c r="A586" s="24"/>
      <c r="B586" s="1125" t="s">
        <v>41</v>
      </c>
      <c r="C586" s="1125"/>
      <c r="D586" s="1125"/>
      <c r="E586" s="1126"/>
      <c r="F586" s="385">
        <v>7461</v>
      </c>
      <c r="G586" s="1127">
        <f>SUM(J586+M586+P586)</f>
        <v>0</v>
      </c>
      <c r="H586" s="1128"/>
      <c r="I586" s="385">
        <v>7475</v>
      </c>
      <c r="J586" s="1129"/>
      <c r="K586" s="1130"/>
      <c r="L586" s="385">
        <v>7480</v>
      </c>
      <c r="M586" s="1129"/>
      <c r="N586" s="1131"/>
      <c r="O586" s="385">
        <v>7488</v>
      </c>
      <c r="P586" s="1129"/>
      <c r="Q586" s="1130"/>
    </row>
    <row r="587" spans="1:22" s="2" customFormat="1" ht="25.5" customHeight="1" x14ac:dyDescent="0.2">
      <c r="A587" s="24"/>
      <c r="B587" s="1125" t="s">
        <v>42</v>
      </c>
      <c r="C587" s="1125"/>
      <c r="D587" s="1125"/>
      <c r="E587" s="1126"/>
      <c r="F587" s="385">
        <v>7462</v>
      </c>
      <c r="G587" s="1127">
        <f>SUM(J587+M587+P587)</f>
        <v>0</v>
      </c>
      <c r="H587" s="1128"/>
      <c r="I587" s="28"/>
      <c r="J587" s="26"/>
      <c r="K587" s="26"/>
      <c r="L587" s="385">
        <v>7481</v>
      </c>
      <c r="M587" s="1129"/>
      <c r="N587" s="1131"/>
      <c r="O587" s="385">
        <v>7489</v>
      </c>
      <c r="P587" s="1129"/>
      <c r="Q587" s="1130"/>
    </row>
    <row r="588" spans="1:22" s="2" customFormat="1" ht="25.5" customHeight="1" x14ac:dyDescent="0.2">
      <c r="A588" s="24"/>
      <c r="B588" s="1125" t="s">
        <v>43</v>
      </c>
      <c r="C588" s="1125"/>
      <c r="D588" s="1125"/>
      <c r="E588" s="1126"/>
      <c r="F588" s="385">
        <v>7464</v>
      </c>
      <c r="G588" s="1127">
        <f>SUM(J588+M588+P588)</f>
        <v>0</v>
      </c>
      <c r="H588" s="1128"/>
      <c r="I588" s="28"/>
      <c r="J588" s="26"/>
      <c r="K588" s="26"/>
      <c r="L588" s="385">
        <v>7482</v>
      </c>
      <c r="M588" s="1129"/>
      <c r="N588" s="1131"/>
      <c r="O588" s="385">
        <v>7491</v>
      </c>
      <c r="P588" s="1129"/>
      <c r="Q588" s="1130"/>
    </row>
    <row r="589" spans="1:22" s="2" customFormat="1" ht="25.5" customHeight="1" x14ac:dyDescent="0.2">
      <c r="A589" s="24"/>
      <c r="B589" s="1125" t="s">
        <v>44</v>
      </c>
      <c r="C589" s="1125"/>
      <c r="D589" s="1125"/>
      <c r="E589" s="1126"/>
      <c r="F589" s="385">
        <v>7465</v>
      </c>
      <c r="G589" s="1127">
        <f>SUM(J589+M589+P589)</f>
        <v>0</v>
      </c>
      <c r="H589" s="1128"/>
      <c r="I589" s="28"/>
      <c r="J589" s="26"/>
      <c r="K589" s="26"/>
      <c r="L589" s="385">
        <v>7483</v>
      </c>
      <c r="M589" s="1129"/>
      <c r="N589" s="1131"/>
      <c r="O589" s="385">
        <v>7492</v>
      </c>
      <c r="P589" s="1129"/>
      <c r="Q589" s="1130"/>
    </row>
    <row r="590" spans="1:22" s="2" customFormat="1" ht="25.5" customHeight="1" x14ac:dyDescent="0.2">
      <c r="A590" s="24"/>
      <c r="B590" s="1125" t="s">
        <v>45</v>
      </c>
      <c r="C590" s="1125"/>
      <c r="D590" s="1125"/>
      <c r="E590" s="1126"/>
      <c r="F590" s="385">
        <v>7466</v>
      </c>
      <c r="G590" s="1127"/>
      <c r="H590" s="1128"/>
      <c r="I590" s="28"/>
      <c r="J590" s="26"/>
      <c r="K590" s="26"/>
      <c r="L590" s="26"/>
      <c r="M590" s="1140">
        <f>G590</f>
        <v>0</v>
      </c>
      <c r="N590" s="1140"/>
      <c r="O590" s="26"/>
      <c r="P590" s="26"/>
      <c r="Q590" s="35"/>
    </row>
    <row r="591" spans="1:22" s="2" customFormat="1" ht="25.5" customHeight="1" x14ac:dyDescent="0.2">
      <c r="A591" s="24"/>
      <c r="B591" s="1125" t="s">
        <v>46</v>
      </c>
      <c r="C591" s="1125"/>
      <c r="D591" s="1125"/>
      <c r="E591" s="1126"/>
      <c r="F591" s="385">
        <v>7467</v>
      </c>
      <c r="G591" s="1127">
        <f>SUM(J591+M591+P591)</f>
        <v>0</v>
      </c>
      <c r="H591" s="1128"/>
      <c r="I591" s="28"/>
      <c r="J591" s="26"/>
      <c r="K591" s="26"/>
      <c r="L591" s="385">
        <v>7484</v>
      </c>
      <c r="M591" s="1129"/>
      <c r="N591" s="1131"/>
      <c r="O591" s="385">
        <v>7493</v>
      </c>
      <c r="P591" s="1129"/>
      <c r="Q591" s="1130"/>
    </row>
    <row r="592" spans="1:22" s="2" customFormat="1" ht="25.5" customHeight="1" x14ac:dyDescent="0.2">
      <c r="A592" s="24"/>
      <c r="B592" s="1125" t="s">
        <v>47</v>
      </c>
      <c r="C592" s="1125"/>
      <c r="D592" s="1125"/>
      <c r="E592" s="1126"/>
      <c r="F592" s="385">
        <v>7468</v>
      </c>
      <c r="G592" s="1127"/>
      <c r="H592" s="1128"/>
      <c r="I592" s="28"/>
      <c r="J592" s="26"/>
      <c r="K592" s="26"/>
      <c r="L592" s="385">
        <v>7485</v>
      </c>
      <c r="M592" s="1129"/>
      <c r="N592" s="1131"/>
      <c r="O592" s="385">
        <v>7494</v>
      </c>
      <c r="P592" s="1129"/>
      <c r="Q592" s="1130"/>
    </row>
    <row r="593" spans="1:22" s="2" customFormat="1" ht="25.5" customHeight="1" x14ac:dyDescent="0.2">
      <c r="A593" s="24"/>
      <c r="B593" s="1125" t="s">
        <v>48</v>
      </c>
      <c r="C593" s="1125"/>
      <c r="D593" s="1125"/>
      <c r="E593" s="1126"/>
      <c r="F593" s="385">
        <v>7469</v>
      </c>
      <c r="G593" s="1127">
        <f>SUM(J593+M593+P593)</f>
        <v>0</v>
      </c>
      <c r="H593" s="1128"/>
      <c r="I593" s="385">
        <v>7477</v>
      </c>
      <c r="J593" s="1136"/>
      <c r="K593" s="1137"/>
      <c r="L593" s="385">
        <v>7486</v>
      </c>
      <c r="M593" s="1129"/>
      <c r="N593" s="1131"/>
      <c r="O593" s="385">
        <v>7495</v>
      </c>
      <c r="P593" s="1136"/>
      <c r="Q593" s="1137"/>
    </row>
    <row r="594" spans="1:22" s="2" customFormat="1" ht="25.5" customHeight="1" x14ac:dyDescent="0.2">
      <c r="A594" s="24"/>
      <c r="B594" s="1138" t="s">
        <v>49</v>
      </c>
      <c r="C594" s="1138"/>
      <c r="D594" s="1138"/>
      <c r="E594" s="1139"/>
      <c r="F594" s="385">
        <v>7082</v>
      </c>
      <c r="G594" s="695">
        <f>SUM(G585:H593)</f>
        <v>0</v>
      </c>
      <c r="H594" s="696">
        <f>SUM(H586:H593)</f>
        <v>0</v>
      </c>
      <c r="I594" s="385">
        <v>7478</v>
      </c>
      <c r="J594" s="695">
        <f>SUM(J585:K593)</f>
        <v>0</v>
      </c>
      <c r="K594" s="696">
        <f>SUM(K586:K593)</f>
        <v>0</v>
      </c>
      <c r="L594" s="385">
        <v>7487</v>
      </c>
      <c r="M594" s="695">
        <f>SUM(M585:N593)</f>
        <v>0</v>
      </c>
      <c r="N594" s="696">
        <f>SUM(N586:N593)</f>
        <v>0</v>
      </c>
      <c r="O594" s="385">
        <v>7496</v>
      </c>
      <c r="P594" s="695">
        <f>SUM(P585:Q593)</f>
        <v>0</v>
      </c>
      <c r="Q594" s="696">
        <f>SUM(Q586:Q593)</f>
        <v>0</v>
      </c>
    </row>
    <row r="595" spans="1:22" s="2" customFormat="1" ht="25.5" customHeight="1" x14ac:dyDescent="0.2"/>
    <row r="596" spans="1:22" s="2" customFormat="1" ht="25.5" customHeight="1" x14ac:dyDescent="0.2">
      <c r="A596" s="566" t="s">
        <v>50</v>
      </c>
      <c r="B596" s="634"/>
      <c r="C596" s="634"/>
      <c r="D596" s="634"/>
      <c r="E596" s="634"/>
      <c r="F596" s="634"/>
      <c r="G596" s="634"/>
      <c r="H596" s="634"/>
      <c r="I596" s="634"/>
      <c r="J596" s="634"/>
      <c r="K596" s="634"/>
      <c r="L596" s="634"/>
      <c r="M596" s="634"/>
    </row>
    <row r="597" spans="1:22" s="2" customFormat="1" ht="25.5" customHeight="1" x14ac:dyDescent="0.2">
      <c r="A597" s="773" t="s">
        <v>1556</v>
      </c>
      <c r="B597" s="567"/>
      <c r="C597" s="567"/>
      <c r="D597" s="567"/>
      <c r="E597" s="567"/>
      <c r="F597" s="567"/>
      <c r="G597" s="567"/>
      <c r="H597" s="567"/>
      <c r="I597" s="567"/>
      <c r="J597" s="567"/>
      <c r="K597" s="674"/>
      <c r="L597" s="780" t="s">
        <v>2834</v>
      </c>
      <c r="M597" s="781"/>
      <c r="N597" s="1093" t="str">
        <f>IF($D$5&gt;=200,"This section is REQUIRED for Psychiatric and Specialty hospitals.","")</f>
        <v/>
      </c>
      <c r="O597" s="1093"/>
      <c r="P597" s="1093"/>
      <c r="Q597" s="1093"/>
      <c r="R597" s="1093"/>
    </row>
    <row r="598" spans="1:22" s="2" customFormat="1" ht="25.5" customHeight="1" x14ac:dyDescent="0.2">
      <c r="A598" s="24"/>
      <c r="B598" s="1125" t="s">
        <v>51</v>
      </c>
      <c r="C598" s="1125"/>
      <c r="D598" s="1125"/>
      <c r="E598" s="1126"/>
      <c r="F598" s="63">
        <v>7497</v>
      </c>
      <c r="G598" s="1129"/>
      <c r="H598" s="1141"/>
      <c r="I598" s="62"/>
      <c r="J598" s="57"/>
      <c r="K598" s="57"/>
      <c r="L598" s="57"/>
      <c r="M598" s="58"/>
    </row>
    <row r="599" spans="1:22" s="2" customFormat="1" ht="25.5" customHeight="1" x14ac:dyDescent="0.2">
      <c r="A599" s="24"/>
      <c r="B599" s="1125" t="s">
        <v>52</v>
      </c>
      <c r="C599" s="1125"/>
      <c r="D599" s="1125"/>
      <c r="E599" s="1126"/>
      <c r="F599" s="63">
        <v>7498</v>
      </c>
      <c r="G599" s="1129"/>
      <c r="H599" s="1141"/>
      <c r="I599" s="1203" t="str">
        <f>IF(G598&gt;0,"Routine Nursery  Bassinets can't be blank because Neonatal Bassinets are filled in . Please review!","")</f>
        <v/>
      </c>
      <c r="J599" s="769"/>
      <c r="K599" s="769"/>
      <c r="L599" s="769"/>
      <c r="M599" s="770"/>
    </row>
    <row r="600" spans="1:22" s="2" customFormat="1" ht="25.5" customHeight="1" x14ac:dyDescent="0.2">
      <c r="A600" s="24"/>
      <c r="B600" s="1145" t="s">
        <v>53</v>
      </c>
      <c r="C600" s="1145"/>
      <c r="D600" s="1145"/>
      <c r="E600" s="1146"/>
      <c r="F600" s="64">
        <v>7499</v>
      </c>
      <c r="G600" s="1147">
        <f>SUM(G598:H599)</f>
        <v>0</v>
      </c>
      <c r="H600" s="1148"/>
      <c r="I600" s="1203" t="str">
        <f>IF(G600&gt;L572,"Available Bassinets are greater than Licensed Bassinets. Please review!","")</f>
        <v/>
      </c>
      <c r="J600" s="769"/>
      <c r="K600" s="769"/>
      <c r="L600" s="769"/>
      <c r="M600" s="770"/>
    </row>
    <row r="601" spans="1:22" s="2" customFormat="1" ht="25.5" customHeight="1" x14ac:dyDescent="0.2">
      <c r="A601" s="15" t="str">
        <f>$A$33</f>
        <v xml:space="preserve"> </v>
      </c>
    </row>
    <row r="602" spans="1:22" ht="25.5" customHeight="1" x14ac:dyDescent="0.2">
      <c r="A602" s="566" t="s">
        <v>1011</v>
      </c>
      <c r="B602" s="566"/>
      <c r="C602" s="566"/>
      <c r="D602" s="566"/>
      <c r="E602" s="566"/>
      <c r="F602" s="566"/>
      <c r="G602" s="566"/>
      <c r="H602" s="566"/>
      <c r="I602" s="566"/>
      <c r="J602" s="566"/>
      <c r="K602" s="566"/>
      <c r="L602" s="566"/>
      <c r="M602" s="566"/>
      <c r="N602" s="566"/>
      <c r="O602" s="566"/>
      <c r="P602" s="566"/>
      <c r="Q602" s="566"/>
    </row>
    <row r="603" spans="1:22" ht="25.5" customHeight="1" x14ac:dyDescent="0.2">
      <c r="A603" s="773" t="s">
        <v>1557</v>
      </c>
      <c r="B603" s="567"/>
      <c r="C603" s="567"/>
      <c r="D603" s="567"/>
      <c r="E603" s="567"/>
      <c r="F603" s="567"/>
      <c r="G603" s="567"/>
      <c r="H603" s="240"/>
      <c r="I603" s="240"/>
      <c r="J603" s="240"/>
      <c r="K603" s="240"/>
      <c r="L603" s="240"/>
      <c r="M603" s="3"/>
      <c r="N603" s="3"/>
      <c r="O603" s="3"/>
      <c r="P603" s="780" t="s">
        <v>2834</v>
      </c>
      <c r="Q603" s="781"/>
      <c r="R603" s="1202" t="str">
        <f>IF($D$5&gt;=200,"This section is REQUIRED for Psychiatric and Specialty hospitals.","")</f>
        <v/>
      </c>
      <c r="S603" s="1202"/>
      <c r="T603" s="1202"/>
      <c r="U603" s="1202"/>
      <c r="V603" s="1202"/>
    </row>
    <row r="604" spans="1:22" ht="25.5" customHeight="1" x14ac:dyDescent="0.2">
      <c r="A604" s="567" t="s">
        <v>54</v>
      </c>
      <c r="B604" s="567"/>
      <c r="C604" s="567"/>
      <c r="D604" s="567"/>
      <c r="E604" s="567"/>
      <c r="F604" s="567"/>
      <c r="G604" s="567"/>
      <c r="H604" s="567"/>
      <c r="I604" s="567"/>
      <c r="J604" s="567"/>
      <c r="K604" s="567"/>
      <c r="L604" s="567"/>
      <c r="M604" s="567"/>
      <c r="N604" s="567"/>
      <c r="O604" s="567"/>
      <c r="P604" s="567"/>
      <c r="Q604" s="567"/>
    </row>
    <row r="605" spans="1:22" ht="25.5" customHeight="1" x14ac:dyDescent="0.2">
      <c r="A605" s="197"/>
      <c r="B605" s="212"/>
      <c r="C605" s="212"/>
      <c r="D605" s="212"/>
      <c r="E605" s="212"/>
      <c r="F605" s="571" t="s">
        <v>1012</v>
      </c>
      <c r="G605" s="595"/>
      <c r="H605" s="595"/>
      <c r="I605" s="571" t="s">
        <v>1013</v>
      </c>
      <c r="J605" s="571"/>
      <c r="K605" s="571"/>
      <c r="L605" s="597" t="s">
        <v>1014</v>
      </c>
      <c r="M605" s="598"/>
      <c r="N605" s="599"/>
      <c r="O605" s="600"/>
      <c r="P605" s="600"/>
      <c r="Q605" s="600"/>
    </row>
    <row r="606" spans="1:22" ht="25.5" customHeight="1" x14ac:dyDescent="0.2">
      <c r="A606" s="1064" t="s">
        <v>55</v>
      </c>
      <c r="B606" s="1065"/>
      <c r="C606" s="1065"/>
      <c r="D606" s="1065"/>
      <c r="E606" s="1066"/>
      <c r="F606" s="395">
        <v>6010</v>
      </c>
      <c r="G606" s="637"/>
      <c r="H606" s="638"/>
      <c r="I606" s="577"/>
      <c r="J606" s="578"/>
      <c r="K606" s="578"/>
      <c r="L606" s="578"/>
      <c r="M606" s="578"/>
      <c r="N606" s="578"/>
      <c r="O606" s="578"/>
      <c r="P606" s="578"/>
      <c r="Q606" s="579"/>
    </row>
    <row r="607" spans="1:22" ht="25.5" customHeight="1" x14ac:dyDescent="0.2">
      <c r="A607" s="1055" t="s">
        <v>56</v>
      </c>
      <c r="B607" s="1056"/>
      <c r="C607" s="1056"/>
      <c r="D607" s="1056"/>
      <c r="E607" s="1057"/>
      <c r="F607" s="396">
        <v>6020</v>
      </c>
      <c r="G607" s="637"/>
      <c r="H607" s="638"/>
      <c r="I607" s="581"/>
      <c r="J607" s="582"/>
      <c r="K607" s="582"/>
      <c r="L607" s="582"/>
      <c r="M607" s="582"/>
      <c r="N607" s="582"/>
      <c r="O607" s="582"/>
      <c r="P607" s="582"/>
      <c r="Q607" s="583"/>
    </row>
    <row r="608" spans="1:22" ht="25.5" customHeight="1" x14ac:dyDescent="0.2">
      <c r="A608" s="1069" t="s">
        <v>57</v>
      </c>
      <c r="B608" s="1070"/>
      <c r="C608" s="1070"/>
      <c r="D608" s="1070"/>
      <c r="E608" s="1071"/>
      <c r="F608" s="396">
        <v>6030</v>
      </c>
      <c r="G608" s="637"/>
      <c r="H608" s="638"/>
      <c r="I608" s="581"/>
      <c r="J608" s="582"/>
      <c r="K608" s="582"/>
      <c r="L608" s="582"/>
      <c r="M608" s="582"/>
      <c r="N608" s="582"/>
      <c r="O608" s="582"/>
      <c r="P608" s="582"/>
      <c r="Q608" s="583"/>
    </row>
    <row r="609" spans="1:17" ht="25.5" customHeight="1" x14ac:dyDescent="0.2">
      <c r="A609" s="215"/>
      <c r="B609" s="1067" t="s">
        <v>1015</v>
      </c>
      <c r="C609" s="1067"/>
      <c r="D609" s="1067"/>
      <c r="E609" s="1068"/>
      <c r="F609" s="582"/>
      <c r="G609" s="582"/>
      <c r="H609" s="582"/>
      <c r="I609" s="582"/>
      <c r="J609" s="582"/>
      <c r="K609" s="583"/>
      <c r="L609" s="397">
        <v>6034</v>
      </c>
      <c r="M609" s="701"/>
      <c r="N609" s="702"/>
      <c r="O609" s="581"/>
      <c r="P609" s="582"/>
      <c r="Q609" s="583"/>
    </row>
    <row r="610" spans="1:17" ht="25.5" customHeight="1" x14ac:dyDescent="0.2">
      <c r="A610" s="522" t="s">
        <v>58</v>
      </c>
      <c r="B610" s="523"/>
      <c r="C610" s="523"/>
      <c r="D610" s="523"/>
      <c r="E610" s="524"/>
      <c r="F610" s="396">
        <v>6040</v>
      </c>
      <c r="G610" s="637"/>
      <c r="H610" s="638"/>
      <c r="I610" s="581"/>
      <c r="J610" s="582"/>
      <c r="K610" s="582"/>
      <c r="L610" s="582"/>
      <c r="M610" s="582"/>
      <c r="N610" s="582"/>
      <c r="O610" s="582"/>
      <c r="P610" s="582"/>
      <c r="Q610" s="583"/>
    </row>
    <row r="611" spans="1:17" ht="25.5" customHeight="1" x14ac:dyDescent="0.2">
      <c r="A611" s="1055" t="s">
        <v>59</v>
      </c>
      <c r="B611" s="1056"/>
      <c r="C611" s="1056"/>
      <c r="D611" s="1056"/>
      <c r="E611" s="1057"/>
      <c r="F611" s="396">
        <v>6070</v>
      </c>
      <c r="G611" s="637"/>
      <c r="H611" s="638"/>
      <c r="I611" s="581"/>
      <c r="J611" s="582"/>
      <c r="K611" s="582"/>
      <c r="L611" s="582"/>
      <c r="M611" s="582"/>
      <c r="N611" s="582"/>
      <c r="O611" s="582"/>
      <c r="P611" s="582"/>
      <c r="Q611" s="583"/>
    </row>
    <row r="612" spans="1:17" ht="25.5" customHeight="1" x14ac:dyDescent="0.2">
      <c r="A612" s="1055" t="s">
        <v>60</v>
      </c>
      <c r="B612" s="1056"/>
      <c r="C612" s="1056"/>
      <c r="D612" s="1056"/>
      <c r="E612" s="1057"/>
      <c r="F612" s="396">
        <v>6080</v>
      </c>
      <c r="G612" s="637"/>
      <c r="H612" s="638"/>
      <c r="I612" s="581"/>
      <c r="J612" s="582"/>
      <c r="K612" s="582"/>
      <c r="L612" s="582"/>
      <c r="M612" s="582"/>
      <c r="N612" s="582"/>
      <c r="O612" s="582"/>
      <c r="P612" s="582"/>
      <c r="Q612" s="583"/>
    </row>
    <row r="613" spans="1:17" ht="25.5" customHeight="1" x14ac:dyDescent="0.2">
      <c r="A613" s="522" t="s">
        <v>61</v>
      </c>
      <c r="B613" s="523"/>
      <c r="C613" s="523"/>
      <c r="D613" s="523"/>
      <c r="E613" s="524"/>
      <c r="F613" s="396">
        <v>6090</v>
      </c>
      <c r="G613" s="637"/>
      <c r="H613" s="638"/>
      <c r="I613" s="581"/>
      <c r="J613" s="582"/>
      <c r="K613" s="582"/>
      <c r="L613" s="582"/>
      <c r="M613" s="582"/>
      <c r="N613" s="582"/>
      <c r="O613" s="582"/>
      <c r="P613" s="582"/>
      <c r="Q613" s="583"/>
    </row>
    <row r="614" spans="1:17" ht="25.5" customHeight="1" x14ac:dyDescent="0.2">
      <c r="A614" s="215"/>
      <c r="B614" s="1067" t="s">
        <v>62</v>
      </c>
      <c r="C614" s="1067"/>
      <c r="D614" s="1067"/>
      <c r="E614" s="1068"/>
      <c r="F614" s="577"/>
      <c r="G614" s="578"/>
      <c r="H614" s="579"/>
      <c r="I614" s="398">
        <v>7193</v>
      </c>
      <c r="J614" s="701"/>
      <c r="K614" s="702"/>
      <c r="L614" s="1149"/>
      <c r="M614" s="1150"/>
      <c r="N614" s="1150"/>
      <c r="O614" s="1150"/>
      <c r="P614" s="1150"/>
      <c r="Q614" s="1151"/>
    </row>
    <row r="615" spans="1:17" ht="25.5" customHeight="1" x14ac:dyDescent="0.2">
      <c r="A615" s="215"/>
      <c r="B615" s="216" t="s">
        <v>63</v>
      </c>
      <c r="C615" s="213"/>
      <c r="D615" s="213"/>
      <c r="E615" s="214"/>
      <c r="F615" s="581"/>
      <c r="G615" s="582"/>
      <c r="H615" s="583"/>
      <c r="I615" s="398">
        <v>7194</v>
      </c>
      <c r="J615" s="701"/>
      <c r="K615" s="702"/>
      <c r="L615" s="1149"/>
      <c r="M615" s="1150"/>
      <c r="N615" s="1150"/>
      <c r="O615" s="1150"/>
      <c r="P615" s="1150"/>
      <c r="Q615" s="1151"/>
    </row>
    <row r="616" spans="1:17" ht="25.5" customHeight="1" x14ac:dyDescent="0.2">
      <c r="A616" s="217"/>
      <c r="B616" s="1056" t="s">
        <v>64</v>
      </c>
      <c r="C616" s="1056"/>
      <c r="D616" s="1056"/>
      <c r="E616" s="1057"/>
      <c r="F616" s="581"/>
      <c r="G616" s="582"/>
      <c r="H616" s="583"/>
      <c r="I616" s="399">
        <v>7192</v>
      </c>
      <c r="J616" s="695">
        <f>(J614+J615)</f>
        <v>0</v>
      </c>
      <c r="K616" s="696"/>
      <c r="L616" s="1149"/>
      <c r="M616" s="1150"/>
      <c r="N616" s="1150"/>
      <c r="O616" s="1150"/>
      <c r="P616" s="1150"/>
      <c r="Q616" s="1151"/>
    </row>
    <row r="617" spans="1:17" ht="25.5" customHeight="1" x14ac:dyDescent="0.2">
      <c r="A617" s="218"/>
      <c r="B617" s="1067" t="s">
        <v>65</v>
      </c>
      <c r="C617" s="1067"/>
      <c r="D617" s="1067"/>
      <c r="E617" s="1068"/>
      <c r="F617" s="581"/>
      <c r="G617" s="582"/>
      <c r="H617" s="582"/>
      <c r="I617" s="582"/>
      <c r="J617" s="582"/>
      <c r="K617" s="583"/>
      <c r="L617" s="398">
        <v>6092</v>
      </c>
      <c r="M617" s="701"/>
      <c r="N617" s="702"/>
      <c r="O617" s="581"/>
      <c r="P617" s="582"/>
      <c r="Q617" s="583"/>
    </row>
    <row r="618" spans="1:17" ht="25.5" customHeight="1" x14ac:dyDescent="0.2">
      <c r="A618" s="215"/>
      <c r="B618" s="1067" t="s">
        <v>493</v>
      </c>
      <c r="C618" s="1067"/>
      <c r="D618" s="1067"/>
      <c r="E618" s="1068"/>
      <c r="F618" s="581"/>
      <c r="G618" s="582"/>
      <c r="H618" s="582"/>
      <c r="I618" s="582"/>
      <c r="J618" s="582"/>
      <c r="K618" s="583"/>
      <c r="L618" s="398">
        <v>6093</v>
      </c>
      <c r="M618" s="701"/>
      <c r="N618" s="702"/>
      <c r="O618" s="581"/>
      <c r="P618" s="582"/>
      <c r="Q618" s="583"/>
    </row>
    <row r="619" spans="1:17" ht="25.5" customHeight="1" x14ac:dyDescent="0.2">
      <c r="A619" s="215"/>
      <c r="B619" s="1056" t="s">
        <v>494</v>
      </c>
      <c r="C619" s="1056"/>
      <c r="D619" s="1056"/>
      <c r="E619" s="1057"/>
      <c r="F619" s="581"/>
      <c r="G619" s="582"/>
      <c r="H619" s="582"/>
      <c r="I619" s="582"/>
      <c r="J619" s="582"/>
      <c r="K619" s="583"/>
      <c r="L619" s="399">
        <v>6094</v>
      </c>
      <c r="M619" s="695">
        <f>(M617+M618)</f>
        <v>0</v>
      </c>
      <c r="N619" s="696"/>
      <c r="O619" s="581"/>
      <c r="P619" s="582"/>
      <c r="Q619" s="583"/>
    </row>
    <row r="620" spans="1:17" ht="25.5" customHeight="1" x14ac:dyDescent="0.2">
      <c r="A620" s="1055" t="s">
        <v>495</v>
      </c>
      <c r="B620" s="1056"/>
      <c r="C620" s="1056"/>
      <c r="D620" s="1056"/>
      <c r="E620" s="1057"/>
      <c r="F620" s="396">
        <v>6100</v>
      </c>
      <c r="G620" s="637"/>
      <c r="H620" s="638"/>
      <c r="I620" s="1076"/>
      <c r="J620" s="1077"/>
      <c r="K620" s="1077"/>
      <c r="L620" s="1077"/>
      <c r="M620" s="1077"/>
      <c r="N620" s="1077"/>
      <c r="O620" s="1077"/>
      <c r="P620" s="1077"/>
      <c r="Q620" s="1078"/>
    </row>
    <row r="621" spans="1:17" ht="25.5" customHeight="1" x14ac:dyDescent="0.2">
      <c r="A621" s="1069" t="s">
        <v>496</v>
      </c>
      <c r="B621" s="1070"/>
      <c r="C621" s="1070"/>
      <c r="D621" s="1070"/>
      <c r="E621" s="1071"/>
      <c r="F621" s="396">
        <v>6101</v>
      </c>
      <c r="G621" s="637"/>
      <c r="H621" s="638"/>
      <c r="I621" s="1076"/>
      <c r="J621" s="1077"/>
      <c r="K621" s="1077"/>
      <c r="L621" s="1077"/>
      <c r="M621" s="1077"/>
      <c r="N621" s="1077"/>
      <c r="O621" s="1077"/>
      <c r="P621" s="1077"/>
      <c r="Q621" s="1078"/>
    </row>
    <row r="622" spans="1:17" ht="25.5" customHeight="1" x14ac:dyDescent="0.2">
      <c r="A622" s="215"/>
      <c r="B622" s="1075" t="s">
        <v>497</v>
      </c>
      <c r="C622" s="1075"/>
      <c r="D622" s="1075"/>
      <c r="E622" s="1075"/>
      <c r="F622" s="581"/>
      <c r="G622" s="582"/>
      <c r="H622" s="582"/>
      <c r="I622" s="582"/>
      <c r="J622" s="582"/>
      <c r="K622" s="583"/>
      <c r="L622" s="398">
        <v>4508</v>
      </c>
      <c r="M622" s="701"/>
      <c r="N622" s="702"/>
      <c r="O622" s="705"/>
      <c r="P622" s="706"/>
      <c r="Q622" s="707"/>
    </row>
    <row r="623" spans="1:17" ht="25.5" customHeight="1" x14ac:dyDescent="0.2">
      <c r="A623" s="1055" t="s">
        <v>498</v>
      </c>
      <c r="B623" s="1056"/>
      <c r="C623" s="1056"/>
      <c r="D623" s="1056"/>
      <c r="E623" s="1057"/>
      <c r="F623" s="396">
        <v>6360</v>
      </c>
      <c r="G623" s="637"/>
      <c r="H623" s="638"/>
      <c r="I623" s="1059"/>
      <c r="J623" s="1060"/>
      <c r="K623" s="1060"/>
      <c r="L623" s="1060"/>
      <c r="M623" s="1060"/>
      <c r="N623" s="1060"/>
      <c r="O623" s="1060"/>
      <c r="P623" s="1060"/>
      <c r="Q623" s="1061"/>
    </row>
    <row r="624" spans="1:17" ht="25.5" customHeight="1" x14ac:dyDescent="0.2">
      <c r="A624" s="1055" t="s">
        <v>720</v>
      </c>
      <c r="B624" s="1056"/>
      <c r="C624" s="1056"/>
      <c r="D624" s="1056"/>
      <c r="E624" s="1057"/>
      <c r="F624" s="396">
        <v>6130</v>
      </c>
      <c r="G624" s="637"/>
      <c r="H624" s="638"/>
      <c r="I624" s="1059"/>
      <c r="J624" s="1060"/>
      <c r="K624" s="1060"/>
      <c r="L624" s="1060"/>
      <c r="M624" s="1060"/>
      <c r="N624" s="1060"/>
      <c r="O624" s="1060"/>
      <c r="P624" s="1060"/>
      <c r="Q624" s="1061"/>
    </row>
    <row r="625" spans="1:19" ht="25.5" customHeight="1" x14ac:dyDescent="0.2">
      <c r="A625" s="1069" t="s">
        <v>721</v>
      </c>
      <c r="B625" s="1070"/>
      <c r="C625" s="1070"/>
      <c r="D625" s="1070"/>
      <c r="E625" s="1071"/>
      <c r="F625" s="396">
        <v>6131</v>
      </c>
      <c r="G625" s="637"/>
      <c r="H625" s="638"/>
      <c r="I625" s="1059"/>
      <c r="J625" s="1060"/>
      <c r="K625" s="1060"/>
      <c r="L625" s="1060"/>
      <c r="M625" s="1060"/>
      <c r="N625" s="1060"/>
      <c r="O625" s="1060"/>
      <c r="P625" s="1060"/>
      <c r="Q625" s="1061"/>
    </row>
    <row r="626" spans="1:19" ht="25.5" customHeight="1" x14ac:dyDescent="0.2">
      <c r="A626" s="215"/>
      <c r="B626" s="1067" t="s">
        <v>497</v>
      </c>
      <c r="C626" s="1067"/>
      <c r="D626" s="1067"/>
      <c r="E626" s="1067"/>
      <c r="F626" s="581"/>
      <c r="G626" s="582"/>
      <c r="H626" s="582"/>
      <c r="I626" s="582"/>
      <c r="J626" s="582"/>
      <c r="K626" s="583"/>
      <c r="L626" s="398">
        <v>4506</v>
      </c>
      <c r="M626" s="701"/>
      <c r="N626" s="702"/>
      <c r="O626" s="705"/>
      <c r="P626" s="706"/>
      <c r="Q626" s="707"/>
    </row>
    <row r="627" spans="1:19" ht="25.5" customHeight="1" x14ac:dyDescent="0.2">
      <c r="A627" s="1055" t="s">
        <v>722</v>
      </c>
      <c r="B627" s="1056"/>
      <c r="C627" s="1056"/>
      <c r="D627" s="1056"/>
      <c r="E627" s="1057"/>
      <c r="F627" s="396">
        <v>6210</v>
      </c>
      <c r="G627" s="1053"/>
      <c r="H627" s="1058"/>
      <c r="I627" s="1059"/>
      <c r="J627" s="1060"/>
      <c r="K627" s="1060"/>
      <c r="L627" s="1060"/>
      <c r="M627" s="1060"/>
      <c r="N627" s="1060"/>
      <c r="O627" s="1060"/>
      <c r="P627" s="1060"/>
      <c r="Q627" s="1061"/>
    </row>
    <row r="628" spans="1:19" ht="25.5" customHeight="1" x14ac:dyDescent="0.2">
      <c r="A628" s="1069" t="s">
        <v>723</v>
      </c>
      <c r="B628" s="1070"/>
      <c r="C628" s="1070"/>
      <c r="D628" s="1070"/>
      <c r="E628" s="1071"/>
      <c r="F628" s="396">
        <v>7205</v>
      </c>
      <c r="G628" s="1053"/>
      <c r="H628" s="1058"/>
      <c r="I628" s="1059"/>
      <c r="J628" s="1060"/>
      <c r="K628" s="1060"/>
      <c r="L628" s="1060"/>
      <c r="M628" s="1060"/>
      <c r="N628" s="1060"/>
      <c r="O628" s="1060"/>
      <c r="P628" s="1060"/>
      <c r="Q628" s="1061"/>
      <c r="R628" s="235"/>
      <c r="S628" s="248"/>
    </row>
    <row r="629" spans="1:19" ht="25.5" customHeight="1" x14ac:dyDescent="0.2">
      <c r="A629" s="215"/>
      <c r="B629" s="1067" t="s">
        <v>497</v>
      </c>
      <c r="C629" s="1067"/>
      <c r="D629" s="1067"/>
      <c r="E629" s="1067"/>
      <c r="F629" s="581"/>
      <c r="G629" s="582"/>
      <c r="H629" s="582"/>
      <c r="I629" s="582"/>
      <c r="J629" s="582"/>
      <c r="K629" s="583"/>
      <c r="L629" s="398">
        <v>7411</v>
      </c>
      <c r="M629" s="701"/>
      <c r="N629" s="702"/>
      <c r="O629" s="705"/>
      <c r="P629" s="706"/>
      <c r="Q629" s="707"/>
      <c r="R629" s="235"/>
      <c r="S629" s="248"/>
    </row>
    <row r="630" spans="1:19" ht="25.5" customHeight="1" x14ac:dyDescent="0.2">
      <c r="A630" s="1142" t="s">
        <v>724</v>
      </c>
      <c r="B630" s="1143"/>
      <c r="C630" s="1143"/>
      <c r="D630" s="1143"/>
      <c r="E630" s="1144"/>
      <c r="F630" s="396">
        <v>6330</v>
      </c>
      <c r="G630" s="1053"/>
      <c r="H630" s="1054"/>
      <c r="I630" s="1059"/>
      <c r="J630" s="1060"/>
      <c r="K630" s="1060"/>
      <c r="L630" s="1060"/>
      <c r="M630" s="1060"/>
      <c r="N630" s="1060"/>
      <c r="O630" s="1060"/>
      <c r="P630" s="1060"/>
      <c r="Q630" s="1061"/>
      <c r="R630" s="235"/>
      <c r="S630" s="248"/>
    </row>
    <row r="631" spans="1:19" ht="25.5" customHeight="1" x14ac:dyDescent="0.2">
      <c r="A631" s="215"/>
      <c r="B631" s="1067" t="s">
        <v>725</v>
      </c>
      <c r="C631" s="1067"/>
      <c r="D631" s="1067"/>
      <c r="E631" s="1067"/>
      <c r="F631" s="1072"/>
      <c r="G631" s="1073"/>
      <c r="H631" s="1073"/>
      <c r="I631" s="1073"/>
      <c r="J631" s="1073"/>
      <c r="K631" s="1074"/>
      <c r="L631" s="398">
        <v>6334</v>
      </c>
      <c r="M631" s="701"/>
      <c r="N631" s="702"/>
      <c r="O631" s="708"/>
      <c r="P631" s="709"/>
      <c r="Q631" s="710"/>
      <c r="R631" s="235"/>
      <c r="S631" s="248"/>
    </row>
    <row r="632" spans="1:19" ht="25.5" customHeight="1" x14ac:dyDescent="0.2">
      <c r="A632" s="219" t="str">
        <f>$A$33</f>
        <v xml:space="preserve"> </v>
      </c>
      <c r="B632" s="220"/>
      <c r="C632" s="220"/>
      <c r="D632" s="220"/>
      <c r="E632" s="220"/>
      <c r="F632" s="220"/>
      <c r="G632" s="220"/>
      <c r="H632" s="220"/>
      <c r="I632" s="220"/>
      <c r="J632" s="220"/>
      <c r="K632" s="220"/>
      <c r="L632" s="220"/>
      <c r="M632" s="220"/>
      <c r="N632" s="220"/>
      <c r="O632" s="220"/>
      <c r="P632" s="220"/>
      <c r="Q632" s="220"/>
      <c r="R632" s="220"/>
    </row>
    <row r="633" spans="1:19" ht="25.5" customHeight="1" x14ac:dyDescent="0.2">
      <c r="A633" s="566" t="s">
        <v>1016</v>
      </c>
      <c r="B633" s="566"/>
      <c r="C633" s="566"/>
      <c r="D633" s="566"/>
      <c r="E633" s="566"/>
      <c r="F633" s="566"/>
      <c r="G633" s="566"/>
      <c r="H633" s="566"/>
      <c r="I633" s="566"/>
      <c r="J633" s="566"/>
      <c r="K633" s="566"/>
      <c r="L633" s="566"/>
      <c r="M633" s="566"/>
      <c r="N633" s="566"/>
      <c r="O633" s="566"/>
      <c r="P633" s="566"/>
      <c r="Q633" s="566"/>
    </row>
    <row r="634" spans="1:19" ht="25.5" customHeight="1" x14ac:dyDescent="0.2">
      <c r="A634" s="567" t="s">
        <v>1017</v>
      </c>
      <c r="B634" s="567"/>
      <c r="C634" s="567"/>
      <c r="D634" s="567"/>
      <c r="E634" s="567"/>
      <c r="F634" s="568"/>
      <c r="G634" s="568"/>
      <c r="H634" s="568"/>
      <c r="I634" s="568"/>
      <c r="J634" s="568"/>
      <c r="K634" s="568"/>
      <c r="L634" s="569"/>
      <c r="M634" s="569"/>
      <c r="N634" s="569"/>
      <c r="O634" s="570"/>
      <c r="P634" s="570"/>
      <c r="Q634" s="570"/>
    </row>
    <row r="635" spans="1:19" ht="25.5" customHeight="1" x14ac:dyDescent="0.2">
      <c r="A635" s="221"/>
      <c r="B635" s="222"/>
      <c r="C635" s="222"/>
      <c r="D635" s="222"/>
      <c r="E635" s="222"/>
      <c r="F635" s="571" t="s">
        <v>1012</v>
      </c>
      <c r="G635" s="571"/>
      <c r="H635" s="571"/>
      <c r="I635" s="571" t="s">
        <v>1013</v>
      </c>
      <c r="J635" s="571"/>
      <c r="K635" s="571"/>
      <c r="L635" s="597" t="s">
        <v>1014</v>
      </c>
      <c r="M635" s="598"/>
      <c r="N635" s="599"/>
      <c r="O635" s="766" t="s">
        <v>1018</v>
      </c>
      <c r="P635" s="766"/>
      <c r="Q635" s="766"/>
    </row>
    <row r="636" spans="1:19" ht="25.5" customHeight="1" x14ac:dyDescent="0.2">
      <c r="A636" s="546" t="s">
        <v>726</v>
      </c>
      <c r="B636" s="547"/>
      <c r="C636" s="547"/>
      <c r="D636" s="547"/>
      <c r="E636" s="547"/>
      <c r="F636" s="547"/>
      <c r="G636" s="547"/>
      <c r="H636" s="547"/>
      <c r="I636" s="547"/>
      <c r="J636" s="547"/>
      <c r="K636" s="547"/>
      <c r="L636" s="547"/>
      <c r="M636" s="547"/>
      <c r="N636" s="547"/>
      <c r="O636" s="547"/>
      <c r="P636" s="547"/>
      <c r="Q636" s="548"/>
    </row>
    <row r="637" spans="1:19" ht="25.5" customHeight="1" x14ac:dyDescent="0.2">
      <c r="A637" s="223"/>
      <c r="B637" s="759" t="s">
        <v>1019</v>
      </c>
      <c r="C637" s="759"/>
      <c r="D637" s="759"/>
      <c r="E637" s="564"/>
      <c r="F637" s="400">
        <v>8073</v>
      </c>
      <c r="G637" s="1053"/>
      <c r="H637" s="1054"/>
      <c r="I637" s="402">
        <v>7190</v>
      </c>
      <c r="J637" s="553"/>
      <c r="K637" s="554"/>
      <c r="L637" s="555"/>
      <c r="M637" s="556"/>
      <c r="N637" s="557"/>
      <c r="O637" s="561"/>
      <c r="P637" s="562"/>
      <c r="Q637" s="563"/>
    </row>
    <row r="638" spans="1:19" ht="25.5" customHeight="1" x14ac:dyDescent="0.2">
      <c r="A638" s="218"/>
      <c r="B638" s="759" t="s">
        <v>1020</v>
      </c>
      <c r="C638" s="759"/>
      <c r="D638" s="759"/>
      <c r="E638" s="564"/>
      <c r="F638" s="401">
        <v>8074</v>
      </c>
      <c r="G638" s="1053"/>
      <c r="H638" s="1054"/>
      <c r="I638" s="403">
        <v>7191</v>
      </c>
      <c r="J638" s="553"/>
      <c r="K638" s="554"/>
      <c r="L638" s="558"/>
      <c r="M638" s="559"/>
      <c r="N638" s="560"/>
      <c r="O638" s="561"/>
      <c r="P638" s="562"/>
      <c r="Q638" s="563"/>
    </row>
    <row r="639" spans="1:19" ht="25.5" customHeight="1" x14ac:dyDescent="0.2">
      <c r="A639" s="224"/>
      <c r="B639" s="763" t="s">
        <v>727</v>
      </c>
      <c r="C639" s="763"/>
      <c r="D639" s="763"/>
      <c r="E639" s="575"/>
      <c r="F639" s="577"/>
      <c r="G639" s="578"/>
      <c r="H639" s="579"/>
      <c r="I639" s="404">
        <v>6051</v>
      </c>
      <c r="J639" s="695">
        <f>J637+J638</f>
        <v>0</v>
      </c>
      <c r="K639" s="696"/>
      <c r="L639" s="581"/>
      <c r="M639" s="582"/>
      <c r="N639" s="582"/>
      <c r="O639" s="582"/>
      <c r="P639" s="582"/>
      <c r="Q639" s="583"/>
    </row>
    <row r="640" spans="1:19" ht="25.5" customHeight="1" x14ac:dyDescent="0.2">
      <c r="A640" s="218"/>
      <c r="B640" s="564" t="s">
        <v>728</v>
      </c>
      <c r="C640" s="565"/>
      <c r="D640" s="565"/>
      <c r="E640" s="565"/>
      <c r="F640" s="602" t="str">
        <f>IF(M642&gt;=1,"Reported procedures must be billed by the hospital or on behalf of the hospital using the hospital's Medicare provider number.","")</f>
        <v/>
      </c>
      <c r="G640" s="603"/>
      <c r="H640" s="603"/>
      <c r="I640" s="603"/>
      <c r="J640" s="603"/>
      <c r="K640" s="603"/>
      <c r="L640" s="398">
        <v>6052</v>
      </c>
      <c r="M640" s="590"/>
      <c r="N640" s="591"/>
      <c r="O640" s="544" t="str">
        <f>IF(O637=R$660,"Enter Other owner of FIXED equipment HERE","")</f>
        <v/>
      </c>
      <c r="P640" s="544"/>
      <c r="Q640" s="545"/>
    </row>
    <row r="641" spans="1:21" ht="25.5" customHeight="1" x14ac:dyDescent="0.2">
      <c r="A641" s="218"/>
      <c r="B641" s="564" t="s">
        <v>729</v>
      </c>
      <c r="C641" s="565"/>
      <c r="D641" s="565"/>
      <c r="E641" s="565"/>
      <c r="F641" s="604"/>
      <c r="G641" s="603"/>
      <c r="H641" s="603"/>
      <c r="I641" s="603"/>
      <c r="J641" s="603"/>
      <c r="K641" s="603"/>
      <c r="L641" s="398">
        <v>6053</v>
      </c>
      <c r="M641" s="590"/>
      <c r="N641" s="591"/>
      <c r="O641" s="543" t="str">
        <f>IF(O638=R$660,"Enter Other owner of MOBILE equipment HERE","")</f>
        <v/>
      </c>
      <c r="P641" s="544"/>
      <c r="Q641" s="545"/>
    </row>
    <row r="642" spans="1:21" ht="25.5" customHeight="1" x14ac:dyDescent="0.2">
      <c r="A642" s="225"/>
      <c r="B642" s="584" t="s">
        <v>730</v>
      </c>
      <c r="C642" s="584"/>
      <c r="D642" s="584"/>
      <c r="E642" s="584"/>
      <c r="F642" s="604"/>
      <c r="G642" s="603"/>
      <c r="H642" s="603"/>
      <c r="I642" s="603"/>
      <c r="J642" s="603"/>
      <c r="K642" s="603"/>
      <c r="L642" s="405">
        <v>6054</v>
      </c>
      <c r="M642" s="585">
        <f>M640+M641</f>
        <v>0</v>
      </c>
      <c r="N642" s="586"/>
      <c r="O642" s="587"/>
      <c r="P642" s="588"/>
      <c r="Q642" s="589"/>
    </row>
    <row r="643" spans="1:21" ht="25.5" customHeight="1" x14ac:dyDescent="0.2">
      <c r="A643" s="546" t="s">
        <v>1021</v>
      </c>
      <c r="B643" s="547"/>
      <c r="C643" s="547"/>
      <c r="D643" s="547"/>
      <c r="E643" s="547"/>
      <c r="F643" s="547"/>
      <c r="G643" s="547"/>
      <c r="H643" s="547"/>
      <c r="I643" s="547"/>
      <c r="J643" s="547"/>
      <c r="K643" s="547"/>
      <c r="L643" s="547"/>
      <c r="M643" s="547"/>
      <c r="N643" s="547"/>
      <c r="O643" s="547"/>
      <c r="P643" s="547"/>
      <c r="Q643" s="548"/>
    </row>
    <row r="644" spans="1:21" ht="25.5" customHeight="1" x14ac:dyDescent="0.2">
      <c r="A644" s="223"/>
      <c r="B644" s="549" t="s">
        <v>1022</v>
      </c>
      <c r="C644" s="550"/>
      <c r="D644" s="550"/>
      <c r="E644" s="550"/>
      <c r="F644" s="400">
        <v>8075</v>
      </c>
      <c r="G644" s="551"/>
      <c r="H644" s="552"/>
      <c r="I644" s="402">
        <v>7196</v>
      </c>
      <c r="J644" s="553"/>
      <c r="K644" s="554"/>
      <c r="L644" s="555"/>
      <c r="M644" s="556"/>
      <c r="N644" s="557"/>
      <c r="O644" s="561"/>
      <c r="P644" s="562"/>
      <c r="Q644" s="563"/>
    </row>
    <row r="645" spans="1:21" ht="25.5" customHeight="1" x14ac:dyDescent="0.2">
      <c r="A645" s="218"/>
      <c r="B645" s="564" t="s">
        <v>1023</v>
      </c>
      <c r="C645" s="565"/>
      <c r="D645" s="565"/>
      <c r="E645" s="565"/>
      <c r="F645" s="401">
        <v>8076</v>
      </c>
      <c r="G645" s="551"/>
      <c r="H645" s="552"/>
      <c r="I645" s="403">
        <v>7197</v>
      </c>
      <c r="J645" s="553"/>
      <c r="K645" s="554"/>
      <c r="L645" s="558"/>
      <c r="M645" s="559"/>
      <c r="N645" s="560"/>
      <c r="O645" s="561"/>
      <c r="P645" s="562"/>
      <c r="Q645" s="563"/>
      <c r="R645" s="237" t="s">
        <v>1024</v>
      </c>
      <c r="S645" s="237"/>
      <c r="T645" s="237"/>
    </row>
    <row r="646" spans="1:21" ht="25.5" customHeight="1" x14ac:dyDescent="0.2">
      <c r="A646" s="224"/>
      <c r="B646" s="575" t="s">
        <v>738</v>
      </c>
      <c r="C646" s="576"/>
      <c r="D646" s="576"/>
      <c r="E646" s="576"/>
      <c r="F646" s="577"/>
      <c r="G646" s="578"/>
      <c r="H646" s="579"/>
      <c r="I646" s="404">
        <v>7195</v>
      </c>
      <c r="J646" s="580">
        <f>J644+J645</f>
        <v>0</v>
      </c>
      <c r="K646" s="580"/>
      <c r="L646" s="581"/>
      <c r="M646" s="582"/>
      <c r="N646" s="582"/>
      <c r="O646" s="582"/>
      <c r="P646" s="582"/>
      <c r="Q646" s="583"/>
      <c r="R646" s="200"/>
      <c r="S646" s="249" t="s">
        <v>1025</v>
      </c>
      <c r="T646" s="249"/>
      <c r="U646" s="248"/>
    </row>
    <row r="647" spans="1:21" ht="25.5" customHeight="1" x14ac:dyDescent="0.2">
      <c r="A647" s="218"/>
      <c r="B647" s="564" t="s">
        <v>739</v>
      </c>
      <c r="C647" s="565"/>
      <c r="D647" s="565"/>
      <c r="E647" s="565"/>
      <c r="F647" s="602" t="str">
        <f>IF(M649&gt;=1,"Reported procedures must be billed by the hospital or on behalf of the hospital using the hospital's Medicare provider number.","")</f>
        <v/>
      </c>
      <c r="G647" s="603"/>
      <c r="H647" s="603"/>
      <c r="I647" s="603"/>
      <c r="J647" s="603"/>
      <c r="K647" s="603"/>
      <c r="L647" s="398">
        <v>6122</v>
      </c>
      <c r="M647" s="590"/>
      <c r="N647" s="591"/>
      <c r="O647" s="544" t="str">
        <f>IF(O644=R$660,"Enter Other owner of FIXED equipment HERE","")</f>
        <v/>
      </c>
      <c r="P647" s="544"/>
      <c r="Q647" s="545"/>
      <c r="R647" s="237" t="str">
        <f>D7</f>
        <v/>
      </c>
      <c r="S647" s="237" t="s">
        <v>1026</v>
      </c>
      <c r="T647" s="237"/>
    </row>
    <row r="648" spans="1:21" ht="25.5" customHeight="1" x14ac:dyDescent="0.2">
      <c r="A648" s="218"/>
      <c r="B648" s="564" t="s">
        <v>740</v>
      </c>
      <c r="C648" s="565"/>
      <c r="D648" s="565"/>
      <c r="E648" s="565"/>
      <c r="F648" s="604"/>
      <c r="G648" s="603"/>
      <c r="H648" s="603"/>
      <c r="I648" s="603"/>
      <c r="J648" s="603"/>
      <c r="K648" s="603"/>
      <c r="L648" s="398">
        <v>6123</v>
      </c>
      <c r="M648" s="590"/>
      <c r="N648" s="591"/>
      <c r="O648" s="543" t="str">
        <f>IF(O645=R$660,"Enter Other owner of MOBILE equipment HERE","")</f>
        <v/>
      </c>
      <c r="P648" s="544"/>
      <c r="Q648" s="545"/>
      <c r="R648" s="238" t="s">
        <v>1180</v>
      </c>
      <c r="S648" s="237" t="s">
        <v>1027</v>
      </c>
      <c r="T648" s="237"/>
    </row>
    <row r="649" spans="1:21" ht="25.5" customHeight="1" x14ac:dyDescent="0.2">
      <c r="A649" s="225"/>
      <c r="B649" s="584" t="s">
        <v>741</v>
      </c>
      <c r="C649" s="584"/>
      <c r="D649" s="584"/>
      <c r="E649" s="584"/>
      <c r="F649" s="604"/>
      <c r="G649" s="603"/>
      <c r="H649" s="603"/>
      <c r="I649" s="603"/>
      <c r="J649" s="603"/>
      <c r="K649" s="603"/>
      <c r="L649" s="405">
        <v>6124</v>
      </c>
      <c r="M649" s="585">
        <f>M647+M648</f>
        <v>0</v>
      </c>
      <c r="N649" s="586"/>
      <c r="O649" s="587"/>
      <c r="P649" s="588"/>
      <c r="Q649" s="589"/>
      <c r="R649" s="239" t="s">
        <v>1181</v>
      </c>
      <c r="S649" s="237" t="s">
        <v>1028</v>
      </c>
      <c r="T649" s="237"/>
    </row>
    <row r="650" spans="1:21" ht="25.5" customHeight="1" x14ac:dyDescent="0.2">
      <c r="A650" s="546" t="s">
        <v>742</v>
      </c>
      <c r="B650" s="547"/>
      <c r="C650" s="547"/>
      <c r="D650" s="547"/>
      <c r="E650" s="547"/>
      <c r="F650" s="547"/>
      <c r="G650" s="547"/>
      <c r="H650" s="547"/>
      <c r="I650" s="547"/>
      <c r="J650" s="547"/>
      <c r="K650" s="547"/>
      <c r="L650" s="547"/>
      <c r="M650" s="547"/>
      <c r="N650" s="547"/>
      <c r="O650" s="547"/>
      <c r="P650" s="547"/>
      <c r="Q650" s="548"/>
      <c r="R650" s="239" t="s">
        <v>1182</v>
      </c>
      <c r="S650" s="237"/>
      <c r="T650" s="237"/>
    </row>
    <row r="651" spans="1:21" ht="25.5" customHeight="1" x14ac:dyDescent="0.2">
      <c r="A651" s="223"/>
      <c r="B651" s="549" t="s">
        <v>1029</v>
      </c>
      <c r="C651" s="550"/>
      <c r="D651" s="550"/>
      <c r="E651" s="550"/>
      <c r="F651" s="400">
        <v>8077</v>
      </c>
      <c r="G651" s="551"/>
      <c r="H651" s="552"/>
      <c r="I651" s="402">
        <v>7200</v>
      </c>
      <c r="J651" s="553"/>
      <c r="K651" s="554"/>
      <c r="L651" s="555"/>
      <c r="M651" s="556"/>
      <c r="N651" s="557"/>
      <c r="O651" s="561"/>
      <c r="P651" s="562"/>
      <c r="Q651" s="563"/>
      <c r="R651" s="239" t="s">
        <v>1183</v>
      </c>
      <c r="S651" s="237"/>
      <c r="T651" s="237"/>
    </row>
    <row r="652" spans="1:21" ht="25.5" customHeight="1" x14ac:dyDescent="0.2">
      <c r="A652" s="218"/>
      <c r="B652" s="564" t="s">
        <v>1030</v>
      </c>
      <c r="C652" s="565"/>
      <c r="D652" s="565"/>
      <c r="E652" s="565"/>
      <c r="F652" s="401">
        <v>8078</v>
      </c>
      <c r="G652" s="551"/>
      <c r="H652" s="552"/>
      <c r="I652" s="403">
        <v>7201</v>
      </c>
      <c r="J652" s="553"/>
      <c r="K652" s="554"/>
      <c r="L652" s="558"/>
      <c r="M652" s="559"/>
      <c r="N652" s="560"/>
      <c r="O652" s="561"/>
      <c r="P652" s="562"/>
      <c r="Q652" s="563"/>
      <c r="R652" s="239" t="s">
        <v>1184</v>
      </c>
      <c r="S652" s="237"/>
      <c r="T652" s="237"/>
    </row>
    <row r="653" spans="1:21" ht="25.5" customHeight="1" x14ac:dyDescent="0.2">
      <c r="A653" s="224"/>
      <c r="B653" s="575" t="s">
        <v>1031</v>
      </c>
      <c r="C653" s="576"/>
      <c r="D653" s="576"/>
      <c r="E653" s="576"/>
      <c r="F653" s="577"/>
      <c r="G653" s="578"/>
      <c r="H653" s="579"/>
      <c r="I653" s="404">
        <v>7199</v>
      </c>
      <c r="J653" s="580">
        <f>J651+J652</f>
        <v>0</v>
      </c>
      <c r="K653" s="580"/>
      <c r="L653" s="581"/>
      <c r="M653" s="582"/>
      <c r="N653" s="582"/>
      <c r="O653" s="582"/>
      <c r="P653" s="582"/>
      <c r="Q653" s="583"/>
      <c r="R653" s="239" t="s">
        <v>1185</v>
      </c>
      <c r="S653" s="237"/>
      <c r="T653" s="237"/>
    </row>
    <row r="654" spans="1:21" ht="25.5" customHeight="1" x14ac:dyDescent="0.2">
      <c r="A654" s="218"/>
      <c r="B654" s="564" t="s">
        <v>743</v>
      </c>
      <c r="C654" s="565"/>
      <c r="D654" s="565"/>
      <c r="E654" s="565"/>
      <c r="F654" s="602" t="str">
        <f>IF(M656&gt;=1,"Reported procedures must be billed by the hospital or on behalf of the hospital using the hospital's Medicare provider number.","")</f>
        <v/>
      </c>
      <c r="G654" s="603"/>
      <c r="H654" s="603"/>
      <c r="I654" s="603"/>
      <c r="J654" s="603"/>
      <c r="K654" s="603"/>
      <c r="L654" s="398">
        <v>7202</v>
      </c>
      <c r="M654" s="590"/>
      <c r="N654" s="591"/>
      <c r="O654" s="544" t="str">
        <f>IF(O651=R$660,"Enter Other owner of FIXED equipment HERE","")</f>
        <v/>
      </c>
      <c r="P654" s="544"/>
      <c r="Q654" s="545"/>
      <c r="R654" s="239" t="s">
        <v>1186</v>
      </c>
      <c r="S654" s="237"/>
      <c r="T654" s="237"/>
    </row>
    <row r="655" spans="1:21" ht="25.5" customHeight="1" x14ac:dyDescent="0.2">
      <c r="A655" s="218"/>
      <c r="B655" s="564" t="s">
        <v>744</v>
      </c>
      <c r="C655" s="565"/>
      <c r="D655" s="565"/>
      <c r="E655" s="565"/>
      <c r="F655" s="604"/>
      <c r="G655" s="603"/>
      <c r="H655" s="603"/>
      <c r="I655" s="603"/>
      <c r="J655" s="603"/>
      <c r="K655" s="603"/>
      <c r="L655" s="398">
        <v>7203</v>
      </c>
      <c r="M655" s="590"/>
      <c r="N655" s="591"/>
      <c r="O655" s="543" t="str">
        <f>IF(O652=R$660,"Enter Other owner of MOBILE equipment HERE","")</f>
        <v/>
      </c>
      <c r="P655" s="544"/>
      <c r="Q655" s="545"/>
      <c r="R655" s="239" t="s">
        <v>1187</v>
      </c>
      <c r="S655" s="237"/>
      <c r="T655" s="237"/>
    </row>
    <row r="656" spans="1:21" ht="25.5" customHeight="1" x14ac:dyDescent="0.2">
      <c r="A656" s="225"/>
      <c r="B656" s="584" t="s">
        <v>745</v>
      </c>
      <c r="C656" s="584"/>
      <c r="D656" s="584"/>
      <c r="E656" s="584"/>
      <c r="F656" s="604"/>
      <c r="G656" s="603"/>
      <c r="H656" s="603"/>
      <c r="I656" s="603"/>
      <c r="J656" s="603"/>
      <c r="K656" s="603"/>
      <c r="L656" s="405">
        <v>7204</v>
      </c>
      <c r="M656" s="695">
        <f>M654+M655</f>
        <v>0</v>
      </c>
      <c r="N656" s="696"/>
      <c r="O656" s="587"/>
      <c r="P656" s="588"/>
      <c r="Q656" s="589"/>
      <c r="R656" s="239" t="s">
        <v>1188</v>
      </c>
    </row>
    <row r="657" spans="1:18" ht="25.5" customHeight="1" x14ac:dyDescent="0.2">
      <c r="A657" s="546" t="s">
        <v>746</v>
      </c>
      <c r="B657" s="547"/>
      <c r="C657" s="547"/>
      <c r="D657" s="547"/>
      <c r="E657" s="547"/>
      <c r="F657" s="547"/>
      <c r="G657" s="547"/>
      <c r="H657" s="547"/>
      <c r="I657" s="547"/>
      <c r="J657" s="547"/>
      <c r="K657" s="547"/>
      <c r="L657" s="547"/>
      <c r="M657" s="547"/>
      <c r="N657" s="547"/>
      <c r="O657" s="547"/>
      <c r="P657" s="547"/>
      <c r="Q657" s="548"/>
      <c r="R657" s="265" t="s">
        <v>1189</v>
      </c>
    </row>
    <row r="658" spans="1:18" ht="25.5" customHeight="1" x14ac:dyDescent="0.2">
      <c r="A658" s="223"/>
      <c r="B658" s="549" t="s">
        <v>1033</v>
      </c>
      <c r="C658" s="550"/>
      <c r="D658" s="550"/>
      <c r="E658" s="550"/>
      <c r="F658" s="400">
        <v>8079</v>
      </c>
      <c r="G658" s="551"/>
      <c r="H658" s="552"/>
      <c r="I658" s="402">
        <v>7313</v>
      </c>
      <c r="J658" s="553"/>
      <c r="K658" s="554"/>
      <c r="L658" s="555"/>
      <c r="M658" s="556"/>
      <c r="N658" s="557"/>
      <c r="O658" s="561"/>
      <c r="P658" s="562"/>
      <c r="Q658" s="563"/>
      <c r="R658" s="237" t="s">
        <v>1190</v>
      </c>
    </row>
    <row r="659" spans="1:18" ht="25.5" customHeight="1" x14ac:dyDescent="0.2">
      <c r="A659" s="218"/>
      <c r="B659" s="564" t="s">
        <v>1034</v>
      </c>
      <c r="C659" s="565"/>
      <c r="D659" s="565"/>
      <c r="E659" s="565"/>
      <c r="F659" s="401">
        <v>8080</v>
      </c>
      <c r="G659" s="771"/>
      <c r="H659" s="772"/>
      <c r="I659" s="403">
        <v>7314</v>
      </c>
      <c r="J659" s="553"/>
      <c r="K659" s="554"/>
      <c r="L659" s="558"/>
      <c r="M659" s="559"/>
      <c r="N659" s="560"/>
      <c r="O659" s="561"/>
      <c r="P659" s="562"/>
      <c r="Q659" s="563"/>
      <c r="R659" s="237" t="s">
        <v>1191</v>
      </c>
    </row>
    <row r="660" spans="1:18" ht="25.5" customHeight="1" x14ac:dyDescent="0.2">
      <c r="A660" s="224"/>
      <c r="B660" s="575" t="s">
        <v>1193</v>
      </c>
      <c r="C660" s="576"/>
      <c r="D660" s="576"/>
      <c r="E660" s="576"/>
      <c r="F660" s="577"/>
      <c r="G660" s="578"/>
      <c r="H660" s="579"/>
      <c r="I660" s="404">
        <v>7315</v>
      </c>
      <c r="J660" s="580">
        <f>J658+J659</f>
        <v>0</v>
      </c>
      <c r="K660" s="580"/>
      <c r="L660" s="581"/>
      <c r="M660" s="582"/>
      <c r="N660" s="582"/>
      <c r="O660" s="582"/>
      <c r="P660" s="582"/>
      <c r="Q660" s="583"/>
      <c r="R660" s="237" t="s">
        <v>1032</v>
      </c>
    </row>
    <row r="661" spans="1:18" ht="25.5" customHeight="1" x14ac:dyDescent="0.2">
      <c r="A661" s="218"/>
      <c r="B661" s="564" t="s">
        <v>1194</v>
      </c>
      <c r="C661" s="565"/>
      <c r="D661" s="565"/>
      <c r="E661" s="565"/>
      <c r="F661" s="602" t="str">
        <f>IF(M663&gt;=1,"Reported procedures must be billed by the hospital or on behalf of the hospital using the hospital's Medicare provider number.","")</f>
        <v/>
      </c>
      <c r="G661" s="603"/>
      <c r="H661" s="603"/>
      <c r="I661" s="603"/>
      <c r="J661" s="603"/>
      <c r="K661" s="767"/>
      <c r="L661" s="398">
        <v>7316</v>
      </c>
      <c r="M661" s="590"/>
      <c r="N661" s="591"/>
      <c r="O661" s="544" t="str">
        <f>IF(O658=R$660,"Enter Other owner of FIXED equipment HERE","")</f>
        <v/>
      </c>
      <c r="P661" s="544"/>
      <c r="Q661" s="545"/>
      <c r="R661" s="237"/>
    </row>
    <row r="662" spans="1:18" ht="25.5" customHeight="1" x14ac:dyDescent="0.2">
      <c r="A662" s="218"/>
      <c r="B662" s="564" t="s">
        <v>1195</v>
      </c>
      <c r="C662" s="565"/>
      <c r="D662" s="565"/>
      <c r="E662" s="565"/>
      <c r="F662" s="604"/>
      <c r="G662" s="603"/>
      <c r="H662" s="603"/>
      <c r="I662" s="603"/>
      <c r="J662" s="603"/>
      <c r="K662" s="767"/>
      <c r="L662" s="398">
        <v>7317</v>
      </c>
      <c r="M662" s="590"/>
      <c r="N662" s="591"/>
      <c r="O662" s="543" t="str">
        <f>IF(O659=R$660,"Enter Other owner of MOBILE equipment HERE","")</f>
        <v/>
      </c>
      <c r="P662" s="544"/>
      <c r="Q662" s="545"/>
    </row>
    <row r="663" spans="1:18" ht="25.5" customHeight="1" x14ac:dyDescent="0.2">
      <c r="A663" s="224"/>
      <c r="B663" s="763" t="s">
        <v>1196</v>
      </c>
      <c r="C663" s="763"/>
      <c r="D663" s="763"/>
      <c r="E663" s="575"/>
      <c r="F663" s="768"/>
      <c r="G663" s="769"/>
      <c r="H663" s="769"/>
      <c r="I663" s="769"/>
      <c r="J663" s="769"/>
      <c r="K663" s="770"/>
      <c r="L663" s="399">
        <v>7318</v>
      </c>
      <c r="M663" s="695">
        <f>M661+M662</f>
        <v>0</v>
      </c>
      <c r="N663" s="696"/>
      <c r="O663" s="587"/>
      <c r="P663" s="588"/>
      <c r="Q663" s="589"/>
    </row>
    <row r="664" spans="1:18" ht="25.5" customHeight="1" x14ac:dyDescent="0.2">
      <c r="A664" s="219" t="str">
        <f>$A$33</f>
        <v xml:space="preserve"> </v>
      </c>
      <c r="B664" s="226"/>
      <c r="C664" s="226"/>
      <c r="D664" s="226"/>
      <c r="E664" s="226"/>
      <c r="F664" s="227"/>
      <c r="G664" s="227"/>
      <c r="H664" s="227"/>
      <c r="I664" s="227"/>
      <c r="J664" s="227"/>
      <c r="K664" s="36"/>
      <c r="L664" s="228"/>
      <c r="M664" s="229"/>
      <c r="N664" s="230"/>
      <c r="O664" s="230"/>
      <c r="P664" s="230"/>
    </row>
    <row r="665" spans="1:18" ht="25.5" customHeight="1" x14ac:dyDescent="0.2">
      <c r="A665" s="566" t="s">
        <v>1016</v>
      </c>
      <c r="B665" s="566"/>
      <c r="C665" s="566"/>
      <c r="D665" s="566"/>
      <c r="E665" s="566"/>
      <c r="F665" s="566"/>
      <c r="G665" s="566"/>
      <c r="H665" s="566"/>
      <c r="I665" s="566"/>
      <c r="J665" s="566"/>
      <c r="K665" s="566"/>
      <c r="L665" s="566"/>
      <c r="M665" s="566"/>
      <c r="N665" s="566"/>
      <c r="O665" s="566"/>
      <c r="P665" s="566"/>
      <c r="Q665" s="566"/>
    </row>
    <row r="666" spans="1:18" ht="25.5" customHeight="1" x14ac:dyDescent="0.2">
      <c r="A666" s="567" t="s">
        <v>1017</v>
      </c>
      <c r="B666" s="567"/>
      <c r="C666" s="567"/>
      <c r="D666" s="567"/>
      <c r="E666" s="567"/>
      <c r="F666" s="568"/>
      <c r="G666" s="568"/>
      <c r="H666" s="568"/>
      <c r="I666" s="568"/>
      <c r="J666" s="568"/>
      <c r="K666" s="568"/>
      <c r="L666" s="569"/>
      <c r="M666" s="569"/>
      <c r="N666" s="569"/>
      <c r="O666" s="570"/>
      <c r="P666" s="570"/>
      <c r="Q666" s="570"/>
    </row>
    <row r="667" spans="1:18" ht="25.5" customHeight="1" x14ac:dyDescent="0.2">
      <c r="A667" s="221"/>
      <c r="B667" s="222"/>
      <c r="C667" s="222"/>
      <c r="D667" s="222"/>
      <c r="E667" s="222"/>
      <c r="F667" s="571" t="s">
        <v>1012</v>
      </c>
      <c r="G667" s="571"/>
      <c r="H667" s="571"/>
      <c r="I667" s="571" t="s">
        <v>1013</v>
      </c>
      <c r="J667" s="571"/>
      <c r="K667" s="571"/>
      <c r="L667" s="597" t="s">
        <v>1014</v>
      </c>
      <c r="M667" s="598"/>
      <c r="N667" s="599"/>
      <c r="O667" s="766" t="s">
        <v>1018</v>
      </c>
      <c r="P667" s="766"/>
      <c r="Q667" s="766"/>
    </row>
    <row r="668" spans="1:18" ht="25.5" customHeight="1" x14ac:dyDescent="0.2">
      <c r="A668" s="546" t="s">
        <v>747</v>
      </c>
      <c r="B668" s="547"/>
      <c r="C668" s="547"/>
      <c r="D668" s="547"/>
      <c r="E668" s="547"/>
      <c r="F668" s="547"/>
      <c r="G668" s="547"/>
      <c r="H668" s="547"/>
      <c r="I668" s="547"/>
      <c r="J668" s="547"/>
      <c r="K668" s="547"/>
      <c r="L668" s="547"/>
      <c r="M668" s="547"/>
      <c r="N668" s="547"/>
      <c r="O668" s="547"/>
      <c r="P668" s="547"/>
      <c r="Q668" s="548"/>
    </row>
    <row r="669" spans="1:18" ht="25.5" customHeight="1" x14ac:dyDescent="0.2">
      <c r="A669" s="223"/>
      <c r="B669" s="549" t="s">
        <v>1197</v>
      </c>
      <c r="C669" s="550"/>
      <c r="D669" s="550"/>
      <c r="E669" s="550"/>
      <c r="F669" s="400">
        <v>8081</v>
      </c>
      <c r="G669" s="551"/>
      <c r="H669" s="552"/>
      <c r="I669" s="402">
        <v>7219</v>
      </c>
      <c r="J669" s="553"/>
      <c r="K669" s="554"/>
      <c r="L669" s="555"/>
      <c r="M669" s="556"/>
      <c r="N669" s="557"/>
      <c r="O669" s="561"/>
      <c r="P669" s="562"/>
      <c r="Q669" s="563"/>
    </row>
    <row r="670" spans="1:18" ht="25.5" customHeight="1" x14ac:dyDescent="0.2">
      <c r="A670" s="218"/>
      <c r="B670" s="564" t="s">
        <v>1198</v>
      </c>
      <c r="C670" s="565"/>
      <c r="D670" s="565"/>
      <c r="E670" s="565"/>
      <c r="F670" s="401">
        <v>8082</v>
      </c>
      <c r="G670" s="551"/>
      <c r="H670" s="552"/>
      <c r="I670" s="403">
        <v>7220</v>
      </c>
      <c r="J670" s="553"/>
      <c r="K670" s="554"/>
      <c r="L670" s="558"/>
      <c r="M670" s="559"/>
      <c r="N670" s="560"/>
      <c r="O670" s="561"/>
      <c r="P670" s="562"/>
      <c r="Q670" s="563"/>
    </row>
    <row r="671" spans="1:18" ht="25.5" customHeight="1" x14ac:dyDescent="0.2">
      <c r="A671" s="224"/>
      <c r="B671" s="575" t="s">
        <v>748</v>
      </c>
      <c r="C671" s="576"/>
      <c r="D671" s="576"/>
      <c r="E671" s="576"/>
      <c r="F671" s="577"/>
      <c r="G671" s="578"/>
      <c r="H671" s="579"/>
      <c r="I671" s="404">
        <v>7218</v>
      </c>
      <c r="J671" s="580">
        <f>J669+J670</f>
        <v>0</v>
      </c>
      <c r="K671" s="580"/>
      <c r="L671" s="581"/>
      <c r="M671" s="582"/>
      <c r="N671" s="582"/>
      <c r="O671" s="582"/>
      <c r="P671" s="582"/>
      <c r="Q671" s="583"/>
    </row>
    <row r="672" spans="1:18" ht="25.5" customHeight="1" x14ac:dyDescent="0.2">
      <c r="A672" s="218"/>
      <c r="B672" s="564" t="s">
        <v>749</v>
      </c>
      <c r="C672" s="565"/>
      <c r="D672" s="565"/>
      <c r="E672" s="565"/>
      <c r="F672" s="602" t="str">
        <f>IF(M674&gt;=1,"Reported procedures must be billed by the hospital or on behalf of the hospital using the hospital's Medicare provider number.","")</f>
        <v/>
      </c>
      <c r="G672" s="603"/>
      <c r="H672" s="603"/>
      <c r="I672" s="603"/>
      <c r="J672" s="603"/>
      <c r="K672" s="603"/>
      <c r="L672" s="398">
        <v>7221</v>
      </c>
      <c r="M672" s="590"/>
      <c r="N672" s="591"/>
      <c r="O672" s="544" t="str">
        <f>IF(O669=R$660,"Enter Other owner of FIXED equipment HERE","")</f>
        <v/>
      </c>
      <c r="P672" s="544"/>
      <c r="Q672" s="545"/>
    </row>
    <row r="673" spans="1:17" ht="25.5" customHeight="1" x14ac:dyDescent="0.2">
      <c r="A673" s="218"/>
      <c r="B673" s="564" t="s">
        <v>750</v>
      </c>
      <c r="C673" s="565"/>
      <c r="D673" s="565"/>
      <c r="E673" s="565"/>
      <c r="F673" s="604"/>
      <c r="G673" s="603"/>
      <c r="H673" s="603"/>
      <c r="I673" s="603"/>
      <c r="J673" s="603"/>
      <c r="K673" s="603"/>
      <c r="L673" s="398">
        <v>7222</v>
      </c>
      <c r="M673" s="590"/>
      <c r="N673" s="591"/>
      <c r="O673" s="543" t="str">
        <f>IF(O670=R$660,"Enter Other owner of MOBILE equipment HERE","")</f>
        <v/>
      </c>
      <c r="P673" s="544"/>
      <c r="Q673" s="545"/>
    </row>
    <row r="674" spans="1:17" ht="25.5" customHeight="1" x14ac:dyDescent="0.2">
      <c r="A674" s="225"/>
      <c r="B674" s="584" t="s">
        <v>751</v>
      </c>
      <c r="C674" s="584"/>
      <c r="D674" s="584"/>
      <c r="E674" s="584"/>
      <c r="F674" s="604"/>
      <c r="G674" s="603"/>
      <c r="H674" s="603"/>
      <c r="I674" s="603"/>
      <c r="J674" s="603"/>
      <c r="K674" s="603"/>
      <c r="L674" s="405">
        <v>7223</v>
      </c>
      <c r="M674" s="585">
        <f>M672+M673</f>
        <v>0</v>
      </c>
      <c r="N674" s="586"/>
      <c r="O674" s="587"/>
      <c r="P674" s="588"/>
      <c r="Q674" s="589"/>
    </row>
    <row r="675" spans="1:17" ht="25.5" customHeight="1" x14ac:dyDescent="0.2">
      <c r="A675" s="546" t="s">
        <v>752</v>
      </c>
      <c r="B675" s="547"/>
      <c r="C675" s="547"/>
      <c r="D675" s="547"/>
      <c r="E675" s="547"/>
      <c r="F675" s="547"/>
      <c r="G675" s="547"/>
      <c r="H675" s="547"/>
      <c r="I675" s="547"/>
      <c r="J675" s="547"/>
      <c r="K675" s="547"/>
      <c r="L675" s="547"/>
      <c r="M675" s="547"/>
      <c r="N675" s="547"/>
      <c r="O675" s="547"/>
      <c r="P675" s="547"/>
      <c r="Q675" s="548"/>
    </row>
    <row r="676" spans="1:17" ht="25.5" customHeight="1" x14ac:dyDescent="0.2">
      <c r="A676" s="223"/>
      <c r="B676" s="549" t="s">
        <v>1199</v>
      </c>
      <c r="C676" s="550"/>
      <c r="D676" s="550"/>
      <c r="E676" s="550"/>
      <c r="F676" s="400">
        <v>8083</v>
      </c>
      <c r="G676" s="551"/>
      <c r="H676" s="552"/>
      <c r="I676" s="402">
        <v>7320</v>
      </c>
      <c r="J676" s="553"/>
      <c r="K676" s="554"/>
      <c r="L676" s="555"/>
      <c r="M676" s="556"/>
      <c r="N676" s="557"/>
      <c r="O676" s="561"/>
      <c r="P676" s="562"/>
      <c r="Q676" s="563"/>
    </row>
    <row r="677" spans="1:17" ht="25.5" customHeight="1" x14ac:dyDescent="0.2">
      <c r="A677" s="218"/>
      <c r="B677" s="564" t="s">
        <v>1200</v>
      </c>
      <c r="C677" s="565"/>
      <c r="D677" s="565"/>
      <c r="E677" s="565"/>
      <c r="F677" s="401">
        <v>8084</v>
      </c>
      <c r="G677" s="551"/>
      <c r="H677" s="552"/>
      <c r="I677" s="403">
        <v>7321</v>
      </c>
      <c r="J677" s="553"/>
      <c r="K677" s="554"/>
      <c r="L677" s="558"/>
      <c r="M677" s="559"/>
      <c r="N677" s="560"/>
      <c r="O677" s="561"/>
      <c r="P677" s="562"/>
      <c r="Q677" s="563"/>
    </row>
    <row r="678" spans="1:17" ht="25.5" customHeight="1" x14ac:dyDescent="0.2">
      <c r="A678" s="224"/>
      <c r="B678" s="575" t="s">
        <v>1201</v>
      </c>
      <c r="C678" s="576"/>
      <c r="D678" s="576"/>
      <c r="E678" s="576"/>
      <c r="F678" s="577"/>
      <c r="G678" s="578"/>
      <c r="H678" s="579"/>
      <c r="I678" s="404">
        <v>7322</v>
      </c>
      <c r="J678" s="580">
        <f>J676+J677</f>
        <v>0</v>
      </c>
      <c r="K678" s="580"/>
      <c r="L678" s="581"/>
      <c r="M678" s="582"/>
      <c r="N678" s="582"/>
      <c r="O678" s="582"/>
      <c r="P678" s="582"/>
      <c r="Q678" s="583"/>
    </row>
    <row r="679" spans="1:17" ht="25.5" customHeight="1" x14ac:dyDescent="0.2">
      <c r="A679" s="218"/>
      <c r="B679" s="564" t="s">
        <v>1202</v>
      </c>
      <c r="C679" s="565"/>
      <c r="D679" s="565"/>
      <c r="E679" s="565"/>
      <c r="F679" s="602" t="str">
        <f>IF(M681&gt;=1,"Reported procedures must be billed by the hospital or on behalf of the hospital using the hospital's Medicare provider number.","")</f>
        <v/>
      </c>
      <c r="G679" s="603"/>
      <c r="H679" s="603"/>
      <c r="I679" s="603"/>
      <c r="J679" s="603"/>
      <c r="K679" s="603"/>
      <c r="L679" s="398">
        <v>7323</v>
      </c>
      <c r="M679" s="590"/>
      <c r="N679" s="591"/>
      <c r="O679" s="544" t="str">
        <f>IF(O676=R$660,"Enter Other owner of FIXED equipment HERE","")</f>
        <v/>
      </c>
      <c r="P679" s="544"/>
      <c r="Q679" s="545"/>
    </row>
    <row r="680" spans="1:17" ht="25.5" customHeight="1" x14ac:dyDescent="0.2">
      <c r="A680" s="218"/>
      <c r="B680" s="564" t="s">
        <v>1203</v>
      </c>
      <c r="C680" s="565"/>
      <c r="D680" s="565"/>
      <c r="E680" s="565"/>
      <c r="F680" s="604"/>
      <c r="G680" s="603"/>
      <c r="H680" s="603"/>
      <c r="I680" s="603"/>
      <c r="J680" s="603"/>
      <c r="K680" s="603"/>
      <c r="L680" s="398">
        <v>7324</v>
      </c>
      <c r="M680" s="590"/>
      <c r="N680" s="591"/>
      <c r="O680" s="543" t="str">
        <f>IF(O677=R$660,"Enter Other owner of MOBILE equipment HERE","")</f>
        <v/>
      </c>
      <c r="P680" s="544"/>
      <c r="Q680" s="545"/>
    </row>
    <row r="681" spans="1:17" ht="25.5" customHeight="1" x14ac:dyDescent="0.2">
      <c r="A681" s="225"/>
      <c r="B681" s="584" t="s">
        <v>1204</v>
      </c>
      <c r="C681" s="584"/>
      <c r="D681" s="584"/>
      <c r="E681" s="584"/>
      <c r="F681" s="604"/>
      <c r="G681" s="603"/>
      <c r="H681" s="603"/>
      <c r="I681" s="603"/>
      <c r="J681" s="603"/>
      <c r="K681" s="603"/>
      <c r="L681" s="405">
        <v>7325</v>
      </c>
      <c r="M681" s="585">
        <f>M679+M680</f>
        <v>0</v>
      </c>
      <c r="N681" s="586"/>
      <c r="O681" s="587"/>
      <c r="P681" s="588"/>
      <c r="Q681" s="589"/>
    </row>
    <row r="682" spans="1:17" ht="25.5" customHeight="1" x14ac:dyDescent="0.2">
      <c r="A682" s="572" t="s">
        <v>1017</v>
      </c>
      <c r="B682" s="573"/>
      <c r="C682" s="573"/>
      <c r="D682" s="573"/>
      <c r="E682" s="573"/>
      <c r="F682" s="573"/>
      <c r="G682" s="573"/>
      <c r="H682" s="573"/>
      <c r="I682" s="573"/>
      <c r="J682" s="573"/>
      <c r="K682" s="573"/>
      <c r="L682" s="573"/>
      <c r="M682" s="573"/>
      <c r="N682" s="573"/>
      <c r="O682" s="573"/>
      <c r="P682" s="573"/>
      <c r="Q682" s="574"/>
    </row>
    <row r="683" spans="1:17" ht="25.5" customHeight="1" x14ac:dyDescent="0.2">
      <c r="A683" s="592"/>
      <c r="B683" s="593"/>
      <c r="C683" s="593"/>
      <c r="D683" s="593"/>
      <c r="E683" s="594"/>
      <c r="F683" s="571" t="s">
        <v>1012</v>
      </c>
      <c r="G683" s="595"/>
      <c r="H683" s="595"/>
      <c r="I683" s="569"/>
      <c r="J683" s="596"/>
      <c r="K683" s="596"/>
      <c r="L683" s="597" t="s">
        <v>1014</v>
      </c>
      <c r="M683" s="598"/>
      <c r="N683" s="599"/>
      <c r="O683" s="600"/>
      <c r="P683" s="600"/>
      <c r="Q683" s="601"/>
    </row>
    <row r="684" spans="1:17" ht="25.5" customHeight="1" x14ac:dyDescent="0.2">
      <c r="A684" s="605" t="s">
        <v>731</v>
      </c>
      <c r="B684" s="606"/>
      <c r="C684" s="606"/>
      <c r="D684" s="606"/>
      <c r="E684" s="606"/>
      <c r="F684" s="396">
        <v>6350</v>
      </c>
      <c r="G684" s="637"/>
      <c r="H684" s="638"/>
      <c r="I684" s="639"/>
      <c r="J684" s="640"/>
      <c r="K684" s="640"/>
      <c r="L684" s="640"/>
      <c r="M684" s="640"/>
      <c r="N684" s="640"/>
      <c r="O684" s="640"/>
      <c r="P684" s="640"/>
      <c r="Q684" s="641"/>
    </row>
    <row r="685" spans="1:17" ht="25.5" customHeight="1" x14ac:dyDescent="0.2">
      <c r="A685" s="231"/>
      <c r="B685" s="759" t="s">
        <v>732</v>
      </c>
      <c r="C685" s="759"/>
      <c r="D685" s="759"/>
      <c r="E685" s="564"/>
      <c r="F685" s="714"/>
      <c r="G685" s="715"/>
      <c r="H685" s="715"/>
      <c r="I685" s="715"/>
      <c r="J685" s="715"/>
      <c r="K685" s="716"/>
      <c r="L685" s="398">
        <v>6351</v>
      </c>
      <c r="M685" s="701"/>
      <c r="N685" s="702"/>
      <c r="O685" s="717"/>
      <c r="P685" s="718"/>
      <c r="Q685" s="719"/>
    </row>
    <row r="686" spans="1:17" ht="25.5" customHeight="1" x14ac:dyDescent="0.2">
      <c r="A686" s="757" t="s">
        <v>733</v>
      </c>
      <c r="B686" s="758"/>
      <c r="C686" s="758"/>
      <c r="D686" s="758"/>
      <c r="E686" s="758"/>
      <c r="F686" s="396">
        <v>6340</v>
      </c>
      <c r="G686" s="637"/>
      <c r="H686" s="638"/>
      <c r="I686" s="742"/>
      <c r="J686" s="743"/>
      <c r="K686" s="743"/>
      <c r="L686" s="743"/>
      <c r="M686" s="743"/>
      <c r="N686" s="743"/>
      <c r="O686" s="743"/>
      <c r="P686" s="743"/>
      <c r="Q686" s="744"/>
    </row>
    <row r="687" spans="1:17" ht="25.5" customHeight="1" x14ac:dyDescent="0.2">
      <c r="A687" s="605" t="s">
        <v>734</v>
      </c>
      <c r="B687" s="606"/>
      <c r="C687" s="606"/>
      <c r="D687" s="606"/>
      <c r="E687" s="606"/>
      <c r="F687" s="396">
        <v>6110</v>
      </c>
      <c r="G687" s="637"/>
      <c r="H687" s="638"/>
      <c r="I687" s="742"/>
      <c r="J687" s="743"/>
      <c r="K687" s="743"/>
      <c r="L687" s="743"/>
      <c r="M687" s="743"/>
      <c r="N687" s="743"/>
      <c r="O687" s="743"/>
      <c r="P687" s="743"/>
      <c r="Q687" s="744"/>
    </row>
    <row r="688" spans="1:17" ht="25.5" customHeight="1" x14ac:dyDescent="0.2">
      <c r="A688" s="231"/>
      <c r="B688" s="759" t="s">
        <v>735</v>
      </c>
      <c r="C688" s="759"/>
      <c r="D688" s="759"/>
      <c r="E688" s="564"/>
      <c r="F688" s="742"/>
      <c r="G688" s="743"/>
      <c r="H688" s="743"/>
      <c r="I688" s="743"/>
      <c r="J688" s="743"/>
      <c r="K688" s="744"/>
      <c r="L688" s="398">
        <v>6112</v>
      </c>
      <c r="M688" s="701"/>
      <c r="N688" s="702"/>
      <c r="O688" s="743"/>
      <c r="P688" s="743"/>
      <c r="Q688" s="744"/>
    </row>
    <row r="689" spans="1:17" ht="25.5" customHeight="1" x14ac:dyDescent="0.2">
      <c r="A689" s="231"/>
      <c r="B689" s="759" t="s">
        <v>736</v>
      </c>
      <c r="C689" s="759"/>
      <c r="D689" s="759"/>
      <c r="E689" s="564"/>
      <c r="F689" s="742"/>
      <c r="G689" s="743"/>
      <c r="H689" s="743"/>
      <c r="I689" s="743"/>
      <c r="J689" s="743"/>
      <c r="K689" s="744"/>
      <c r="L689" s="398">
        <v>6113</v>
      </c>
      <c r="M689" s="701"/>
      <c r="N689" s="702"/>
      <c r="O689" s="743"/>
      <c r="P689" s="743"/>
      <c r="Q689" s="744"/>
    </row>
    <row r="690" spans="1:17" ht="25.5" customHeight="1" x14ac:dyDescent="0.2">
      <c r="A690" s="231"/>
      <c r="B690" s="763" t="s">
        <v>737</v>
      </c>
      <c r="C690" s="763"/>
      <c r="D690" s="763"/>
      <c r="E690" s="575"/>
      <c r="F690" s="760"/>
      <c r="G690" s="761"/>
      <c r="H690" s="761"/>
      <c r="I690" s="761"/>
      <c r="J690" s="761"/>
      <c r="K690" s="762"/>
      <c r="L690" s="399">
        <v>6114</v>
      </c>
      <c r="M690" s="585">
        <f>M688+M689</f>
        <v>0</v>
      </c>
      <c r="N690" s="586"/>
      <c r="O690" s="761"/>
      <c r="P690" s="761"/>
      <c r="Q690" s="762"/>
    </row>
    <row r="691" spans="1:17" ht="25.5" customHeight="1" x14ac:dyDescent="0.2">
      <c r="A691" s="572" t="s">
        <v>753</v>
      </c>
      <c r="B691" s="573"/>
      <c r="C691" s="573"/>
      <c r="D691" s="573"/>
      <c r="E691" s="573"/>
      <c r="F691" s="573"/>
      <c r="G691" s="573"/>
      <c r="H691" s="573"/>
      <c r="I691" s="573"/>
      <c r="J691" s="573"/>
      <c r="K691" s="573"/>
      <c r="L691" s="573"/>
      <c r="M691" s="573"/>
      <c r="N691" s="573"/>
      <c r="O691" s="573"/>
      <c r="P691" s="573"/>
      <c r="Q691" s="574"/>
    </row>
    <row r="692" spans="1:17" ht="25.5" customHeight="1" x14ac:dyDescent="0.2">
      <c r="A692" s="592"/>
      <c r="B692" s="593"/>
      <c r="C692" s="593"/>
      <c r="D692" s="593"/>
      <c r="E692" s="594"/>
      <c r="F692" s="571" t="s">
        <v>1012</v>
      </c>
      <c r="G692" s="595"/>
      <c r="H692" s="595"/>
      <c r="I692" s="764" t="s">
        <v>755</v>
      </c>
      <c r="J692" s="765"/>
      <c r="K692" s="765"/>
      <c r="L692" s="597" t="s">
        <v>1014</v>
      </c>
      <c r="M692" s="598"/>
      <c r="N692" s="599"/>
      <c r="O692" s="600"/>
      <c r="P692" s="600"/>
      <c r="Q692" s="601"/>
    </row>
    <row r="693" spans="1:17" ht="25.5" customHeight="1" x14ac:dyDescent="0.2">
      <c r="A693" s="754" t="s">
        <v>754</v>
      </c>
      <c r="B693" s="755"/>
      <c r="C693" s="755"/>
      <c r="D693" s="755"/>
      <c r="E693" s="756"/>
      <c r="F693" s="396">
        <v>6140</v>
      </c>
      <c r="G693" s="637"/>
      <c r="H693" s="638"/>
      <c r="I693" s="722"/>
      <c r="J693" s="723"/>
      <c r="K693" s="723"/>
      <c r="L693" s="723"/>
      <c r="M693" s="723"/>
      <c r="N693" s="723"/>
      <c r="O693" s="723"/>
      <c r="P693" s="723"/>
      <c r="Q693" s="724"/>
    </row>
    <row r="694" spans="1:17" ht="25.5" customHeight="1" x14ac:dyDescent="0.2">
      <c r="A694" s="232"/>
      <c r="B694" s="528" t="s">
        <v>755</v>
      </c>
      <c r="C694" s="528"/>
      <c r="D694" s="528"/>
      <c r="E694" s="529"/>
      <c r="F694" s="723"/>
      <c r="G694" s="723"/>
      <c r="H694" s="724"/>
      <c r="I694" s="398">
        <v>6141</v>
      </c>
      <c r="J694" s="752"/>
      <c r="K694" s="752"/>
      <c r="L694" s="711"/>
      <c r="M694" s="712"/>
      <c r="N694" s="712"/>
      <c r="O694" s="712"/>
      <c r="P694" s="712"/>
      <c r="Q694" s="713"/>
    </row>
    <row r="695" spans="1:17" ht="25.5" customHeight="1" x14ac:dyDescent="0.2">
      <c r="A695" s="215"/>
      <c r="B695" s="528" t="s">
        <v>756</v>
      </c>
      <c r="C695" s="528"/>
      <c r="D695" s="528"/>
      <c r="E695" s="529"/>
      <c r="F695" s="753"/>
      <c r="G695" s="734"/>
      <c r="H695" s="734"/>
      <c r="I695" s="734"/>
      <c r="J695" s="734"/>
      <c r="K695" s="735"/>
      <c r="L695" s="406">
        <v>6144</v>
      </c>
      <c r="M695" s="747"/>
      <c r="N695" s="748"/>
      <c r="O695" s="705"/>
      <c r="P695" s="706"/>
      <c r="Q695" s="707"/>
    </row>
    <row r="696" spans="1:17" ht="25.5" customHeight="1" x14ac:dyDescent="0.2">
      <c r="A696" s="223"/>
      <c r="B696" s="693" t="s">
        <v>757</v>
      </c>
      <c r="C696" s="693"/>
      <c r="D696" s="693"/>
      <c r="E696" s="694"/>
      <c r="F696" s="753"/>
      <c r="G696" s="734"/>
      <c r="H696" s="734"/>
      <c r="I696" s="734"/>
      <c r="J696" s="734"/>
      <c r="K696" s="735"/>
      <c r="L696" s="406">
        <v>6145</v>
      </c>
      <c r="M696" s="747"/>
      <c r="N696" s="748"/>
      <c r="O696" s="705"/>
      <c r="P696" s="706"/>
      <c r="Q696" s="707"/>
    </row>
    <row r="697" spans="1:17" ht="25.5" customHeight="1" x14ac:dyDescent="0.2">
      <c r="A697" s="522" t="s">
        <v>758</v>
      </c>
      <c r="B697" s="523"/>
      <c r="C697" s="523"/>
      <c r="D697" s="523"/>
      <c r="E697" s="524"/>
      <c r="F697" s="396">
        <v>6150</v>
      </c>
      <c r="G697" s="637"/>
      <c r="H697" s="638"/>
      <c r="I697" s="711"/>
      <c r="J697" s="712"/>
      <c r="K697" s="712"/>
      <c r="L697" s="712"/>
      <c r="M697" s="712"/>
      <c r="N697" s="712"/>
      <c r="O697" s="712"/>
      <c r="P697" s="712"/>
      <c r="Q697" s="713"/>
    </row>
    <row r="698" spans="1:17" ht="25.5" customHeight="1" x14ac:dyDescent="0.2">
      <c r="A698" s="215"/>
      <c r="B698" s="528" t="s">
        <v>755</v>
      </c>
      <c r="C698" s="528"/>
      <c r="D698" s="528"/>
      <c r="E698" s="529"/>
      <c r="F698" s="722"/>
      <c r="G698" s="723"/>
      <c r="H698" s="724"/>
      <c r="I698" s="398">
        <v>6151</v>
      </c>
      <c r="J698" s="752"/>
      <c r="K698" s="752"/>
      <c r="L698" s="581"/>
      <c r="M698" s="582"/>
      <c r="N698" s="582"/>
      <c r="O698" s="582"/>
      <c r="P698" s="582"/>
      <c r="Q698" s="583"/>
    </row>
    <row r="699" spans="1:17" ht="25.5" customHeight="1" x14ac:dyDescent="0.2">
      <c r="A699" s="217"/>
      <c r="B699" s="528" t="s">
        <v>756</v>
      </c>
      <c r="C699" s="528"/>
      <c r="D699" s="528"/>
      <c r="E699" s="529"/>
      <c r="F699" s="753"/>
      <c r="G699" s="734"/>
      <c r="H699" s="734"/>
      <c r="I699" s="745"/>
      <c r="J699" s="745"/>
      <c r="K699" s="746"/>
      <c r="L699" s="398">
        <v>6154</v>
      </c>
      <c r="M699" s="747"/>
      <c r="N699" s="748"/>
      <c r="O699" s="705"/>
      <c r="P699" s="706"/>
      <c r="Q699" s="707"/>
    </row>
    <row r="700" spans="1:17" ht="25.5" customHeight="1" x14ac:dyDescent="0.2">
      <c r="A700" s="217"/>
      <c r="B700" s="528" t="s">
        <v>757</v>
      </c>
      <c r="C700" s="528"/>
      <c r="D700" s="528"/>
      <c r="E700" s="529"/>
      <c r="F700" s="753"/>
      <c r="G700" s="734"/>
      <c r="H700" s="734"/>
      <c r="I700" s="734"/>
      <c r="J700" s="734"/>
      <c r="K700" s="735"/>
      <c r="L700" s="398">
        <v>6155</v>
      </c>
      <c r="M700" s="747"/>
      <c r="N700" s="748"/>
      <c r="O700" s="705"/>
      <c r="P700" s="706"/>
      <c r="Q700" s="707"/>
    </row>
    <row r="701" spans="1:17" ht="25.5" customHeight="1" x14ac:dyDescent="0.2">
      <c r="A701" s="749" t="s">
        <v>759</v>
      </c>
      <c r="B701" s="750"/>
      <c r="C701" s="750"/>
      <c r="D701" s="750"/>
      <c r="E701" s="751"/>
      <c r="F701" s="396">
        <v>6160</v>
      </c>
      <c r="G701" s="637"/>
      <c r="H701" s="638"/>
      <c r="I701" s="711"/>
      <c r="J701" s="712"/>
      <c r="K701" s="712"/>
      <c r="L701" s="712"/>
      <c r="M701" s="712"/>
      <c r="N701" s="712"/>
      <c r="O701" s="712"/>
      <c r="P701" s="712"/>
      <c r="Q701" s="713"/>
    </row>
    <row r="702" spans="1:17" ht="25.5" customHeight="1" x14ac:dyDescent="0.2">
      <c r="A702" s="215"/>
      <c r="B702" s="528" t="s">
        <v>755</v>
      </c>
      <c r="C702" s="528"/>
      <c r="D702" s="528"/>
      <c r="E702" s="529"/>
      <c r="F702" s="722"/>
      <c r="G702" s="723"/>
      <c r="H702" s="724"/>
      <c r="I702" s="398">
        <v>6161</v>
      </c>
      <c r="J702" s="752"/>
      <c r="K702" s="752"/>
      <c r="L702" s="581"/>
      <c r="M702" s="582"/>
      <c r="N702" s="582"/>
      <c r="O702" s="582"/>
      <c r="P702" s="582"/>
      <c r="Q702" s="583"/>
    </row>
    <row r="703" spans="1:17" ht="25.5" customHeight="1" x14ac:dyDescent="0.2">
      <c r="A703" s="215"/>
      <c r="B703" s="528" t="s">
        <v>756</v>
      </c>
      <c r="C703" s="528"/>
      <c r="D703" s="528"/>
      <c r="E703" s="529"/>
      <c r="F703" s="734"/>
      <c r="G703" s="734"/>
      <c r="H703" s="734"/>
      <c r="I703" s="745"/>
      <c r="J703" s="745"/>
      <c r="K703" s="746"/>
      <c r="L703" s="398">
        <v>6164</v>
      </c>
      <c r="M703" s="747"/>
      <c r="N703" s="748"/>
      <c r="O703" s="705"/>
      <c r="P703" s="706"/>
      <c r="Q703" s="707"/>
    </row>
    <row r="704" spans="1:17" ht="25.5" customHeight="1" x14ac:dyDescent="0.2">
      <c r="A704" s="217"/>
      <c r="B704" s="528" t="s">
        <v>757</v>
      </c>
      <c r="C704" s="528"/>
      <c r="D704" s="528"/>
      <c r="E704" s="529"/>
      <c r="F704" s="736"/>
      <c r="G704" s="736"/>
      <c r="H704" s="736"/>
      <c r="I704" s="736"/>
      <c r="J704" s="736"/>
      <c r="K704" s="737"/>
      <c r="L704" s="398">
        <v>6165</v>
      </c>
      <c r="M704" s="747"/>
      <c r="N704" s="748"/>
      <c r="O704" s="708"/>
      <c r="P704" s="709"/>
      <c r="Q704" s="710"/>
    </row>
    <row r="705" spans="1:20" ht="25.5" customHeight="1" x14ac:dyDescent="0.2">
      <c r="A705" s="219" t="str">
        <f>$A$33</f>
        <v xml:space="preserve"> </v>
      </c>
      <c r="B705" s="2"/>
      <c r="C705" s="2"/>
      <c r="D705" s="2"/>
      <c r="E705" s="2"/>
      <c r="F705" s="2"/>
      <c r="G705" s="2"/>
      <c r="H705" s="2"/>
      <c r="I705" s="2"/>
      <c r="J705" s="2"/>
      <c r="K705" s="2"/>
      <c r="L705" s="2"/>
      <c r="M705" s="2"/>
      <c r="N705" s="2"/>
      <c r="O705" s="2"/>
      <c r="P705" s="2"/>
      <c r="Q705" s="2"/>
    </row>
    <row r="706" spans="1:20" ht="25.5" customHeight="1" x14ac:dyDescent="0.2">
      <c r="A706" s="566" t="s">
        <v>1011</v>
      </c>
      <c r="B706" s="566"/>
      <c r="C706" s="566"/>
      <c r="D706" s="566"/>
      <c r="E706" s="566"/>
      <c r="F706" s="566"/>
      <c r="G706" s="566"/>
      <c r="H706" s="566"/>
      <c r="I706" s="566"/>
      <c r="J706" s="566"/>
      <c r="K706" s="566"/>
      <c r="L706" s="566"/>
      <c r="M706" s="566"/>
      <c r="N706" s="566"/>
      <c r="O706" s="566"/>
      <c r="P706" s="566"/>
      <c r="Q706" s="566"/>
    </row>
    <row r="707" spans="1:20" ht="25.5" customHeight="1" x14ac:dyDescent="0.2">
      <c r="A707" s="567" t="s">
        <v>760</v>
      </c>
      <c r="B707" s="567"/>
      <c r="C707" s="567"/>
      <c r="D707" s="567"/>
      <c r="E707" s="567"/>
      <c r="F707" s="567"/>
      <c r="G707" s="567"/>
      <c r="H707" s="567"/>
      <c r="I707" s="567"/>
      <c r="J707" s="567"/>
      <c r="K707" s="567"/>
      <c r="L707" s="567"/>
      <c r="M707" s="567"/>
      <c r="N707" s="567"/>
      <c r="O707" s="567"/>
      <c r="P707" s="567"/>
      <c r="Q707" s="567"/>
    </row>
    <row r="708" spans="1:20" ht="25.5" customHeight="1" x14ac:dyDescent="0.2">
      <c r="A708" s="592"/>
      <c r="B708" s="593"/>
      <c r="C708" s="593"/>
      <c r="D708" s="593"/>
      <c r="E708" s="594"/>
      <c r="F708" s="571" t="s">
        <v>1012</v>
      </c>
      <c r="G708" s="595"/>
      <c r="H708" s="595"/>
      <c r="I708" s="738"/>
      <c r="J708" s="681"/>
      <c r="K708" s="681"/>
      <c r="L708" s="597" t="s">
        <v>1014</v>
      </c>
      <c r="M708" s="598"/>
      <c r="N708" s="599"/>
      <c r="O708" s="725"/>
      <c r="P708" s="600"/>
      <c r="Q708" s="600"/>
      <c r="R708" s="80"/>
    </row>
    <row r="709" spans="1:20" ht="25.5" customHeight="1" x14ac:dyDescent="0.2">
      <c r="A709" s="522" t="s">
        <v>761</v>
      </c>
      <c r="B709" s="523"/>
      <c r="C709" s="523"/>
      <c r="D709" s="523"/>
      <c r="E709" s="524"/>
      <c r="F709" s="396">
        <v>6170</v>
      </c>
      <c r="G709" s="637"/>
      <c r="H709" s="638"/>
      <c r="I709" s="739"/>
      <c r="J709" s="740"/>
      <c r="K709" s="740"/>
      <c r="L709" s="740"/>
      <c r="M709" s="740"/>
      <c r="N709" s="740"/>
      <c r="O709" s="740"/>
      <c r="P709" s="740"/>
      <c r="Q709" s="741"/>
    </row>
    <row r="710" spans="1:20" ht="25.5" customHeight="1" x14ac:dyDescent="0.2">
      <c r="A710" s="731" t="s">
        <v>762</v>
      </c>
      <c r="B710" s="732"/>
      <c r="C710" s="732"/>
      <c r="D710" s="732"/>
      <c r="E710" s="733"/>
      <c r="F710" s="396">
        <v>6180</v>
      </c>
      <c r="G710" s="637"/>
      <c r="H710" s="638"/>
      <c r="I710" s="742"/>
      <c r="J710" s="743"/>
      <c r="K710" s="743"/>
      <c r="L710" s="743"/>
      <c r="M710" s="743"/>
      <c r="N710" s="743"/>
      <c r="O710" s="743"/>
      <c r="P710" s="743"/>
      <c r="Q710" s="744"/>
    </row>
    <row r="711" spans="1:20" ht="25.5" customHeight="1" x14ac:dyDescent="0.2">
      <c r="A711" s="731" t="s">
        <v>763</v>
      </c>
      <c r="B711" s="732"/>
      <c r="C711" s="732"/>
      <c r="D711" s="732"/>
      <c r="E711" s="733"/>
      <c r="F711" s="396">
        <v>6190</v>
      </c>
      <c r="G711" s="637"/>
      <c r="H711" s="638"/>
      <c r="I711" s="742"/>
      <c r="J711" s="743"/>
      <c r="K711" s="743"/>
      <c r="L711" s="743"/>
      <c r="M711" s="743"/>
      <c r="N711" s="743"/>
      <c r="O711" s="743"/>
      <c r="P711" s="743"/>
      <c r="Q711" s="744"/>
    </row>
    <row r="712" spans="1:20" ht="25.5" customHeight="1" x14ac:dyDescent="0.2">
      <c r="A712" s="731" t="s">
        <v>764</v>
      </c>
      <c r="B712" s="732"/>
      <c r="C712" s="732"/>
      <c r="D712" s="732"/>
      <c r="E712" s="733"/>
      <c r="F712" s="396">
        <v>6200</v>
      </c>
      <c r="G712" s="637"/>
      <c r="H712" s="638"/>
      <c r="I712" s="742"/>
      <c r="J712" s="743"/>
      <c r="K712" s="743"/>
      <c r="L712" s="743"/>
      <c r="M712" s="743"/>
      <c r="N712" s="743"/>
      <c r="O712" s="743"/>
      <c r="P712" s="743"/>
      <c r="Q712" s="744"/>
    </row>
    <row r="713" spans="1:20" ht="25.5" customHeight="1" x14ac:dyDescent="0.2">
      <c r="A713" s="215"/>
      <c r="B713" s="528" t="s">
        <v>65</v>
      </c>
      <c r="C713" s="528"/>
      <c r="D713" s="528"/>
      <c r="E713" s="529"/>
      <c r="F713" s="734"/>
      <c r="G713" s="734"/>
      <c r="H713" s="734"/>
      <c r="I713" s="734"/>
      <c r="J713" s="734"/>
      <c r="K713" s="735"/>
      <c r="L713" s="398">
        <v>6202</v>
      </c>
      <c r="M713" s="701"/>
      <c r="N713" s="702"/>
      <c r="O713" s="705"/>
      <c r="P713" s="706"/>
      <c r="Q713" s="707"/>
    </row>
    <row r="714" spans="1:20" ht="25.5" customHeight="1" x14ac:dyDescent="0.2">
      <c r="A714" s="217"/>
      <c r="B714" s="693" t="s">
        <v>493</v>
      </c>
      <c r="C714" s="693"/>
      <c r="D714" s="693"/>
      <c r="E714" s="694"/>
      <c r="F714" s="736"/>
      <c r="G714" s="736"/>
      <c r="H714" s="736"/>
      <c r="I714" s="736"/>
      <c r="J714" s="736"/>
      <c r="K714" s="737"/>
      <c r="L714" s="398">
        <v>6203</v>
      </c>
      <c r="M714" s="701"/>
      <c r="N714" s="702"/>
      <c r="O714" s="708"/>
      <c r="P714" s="709"/>
      <c r="Q714" s="710"/>
    </row>
    <row r="715" spans="1:20" ht="25.5" customHeight="1" x14ac:dyDescent="0.2">
      <c r="A715" s="572" t="s">
        <v>765</v>
      </c>
      <c r="B715" s="573"/>
      <c r="C715" s="573"/>
      <c r="D715" s="573"/>
      <c r="E715" s="573"/>
      <c r="F715" s="573"/>
      <c r="G715" s="573"/>
      <c r="H715" s="573"/>
      <c r="I715" s="573"/>
      <c r="J715" s="573"/>
      <c r="K715" s="573"/>
      <c r="L715" s="573"/>
      <c r="M715" s="573"/>
      <c r="N715" s="573"/>
      <c r="O715" s="573"/>
      <c r="P715" s="573"/>
      <c r="Q715" s="574"/>
    </row>
    <row r="716" spans="1:20" ht="25.5" customHeight="1" x14ac:dyDescent="0.2">
      <c r="A716" s="592"/>
      <c r="B716" s="593"/>
      <c r="C716" s="593"/>
      <c r="D716" s="593"/>
      <c r="E716" s="594"/>
      <c r="F716" s="571" t="s">
        <v>1012</v>
      </c>
      <c r="G716" s="595"/>
      <c r="H716" s="595"/>
      <c r="I716" s="680"/>
      <c r="J716" s="681"/>
      <c r="K716" s="682"/>
      <c r="L716" s="569"/>
      <c r="M716" s="569"/>
      <c r="N716" s="569"/>
      <c r="O716" s="600"/>
      <c r="P716" s="600"/>
      <c r="Q716" s="601"/>
    </row>
    <row r="717" spans="1:20" s="236" customFormat="1" ht="25.5" customHeight="1" x14ac:dyDescent="0.2">
      <c r="A717" s="683" t="s">
        <v>766</v>
      </c>
      <c r="B717" s="683"/>
      <c r="C717" s="683"/>
      <c r="D717" s="683"/>
      <c r="E717" s="683"/>
      <c r="F717" s="396">
        <v>6240</v>
      </c>
      <c r="G717" s="637"/>
      <c r="H717" s="638"/>
      <c r="I717" s="722"/>
      <c r="J717" s="723"/>
      <c r="K717" s="723"/>
      <c r="L717" s="723"/>
      <c r="M717" s="723"/>
      <c r="N717" s="723"/>
      <c r="O717" s="723"/>
      <c r="P717" s="723"/>
      <c r="Q717" s="724"/>
    </row>
    <row r="718" spans="1:20" ht="25.5" customHeight="1" x14ac:dyDescent="0.2">
      <c r="A718" s="522" t="s">
        <v>767</v>
      </c>
      <c r="B718" s="523"/>
      <c r="C718" s="523"/>
      <c r="D718" s="523"/>
      <c r="E718" s="524"/>
      <c r="F718" s="395">
        <v>7206</v>
      </c>
      <c r="G718" s="726"/>
      <c r="H718" s="727"/>
      <c r="I718" s="711"/>
      <c r="J718" s="712"/>
      <c r="K718" s="712"/>
      <c r="L718" s="712"/>
      <c r="M718" s="712"/>
      <c r="N718" s="712"/>
      <c r="O718" s="712"/>
      <c r="P718" s="712"/>
      <c r="Q718" s="713"/>
    </row>
    <row r="719" spans="1:20" ht="25.5" customHeight="1" x14ac:dyDescent="0.2">
      <c r="A719" s="731" t="s">
        <v>905</v>
      </c>
      <c r="B719" s="732"/>
      <c r="C719" s="732"/>
      <c r="D719" s="732"/>
      <c r="E719" s="733"/>
      <c r="F719" s="396">
        <v>7207</v>
      </c>
      <c r="G719" s="637"/>
      <c r="H719" s="638"/>
      <c r="I719" s="728"/>
      <c r="J719" s="729"/>
      <c r="K719" s="729"/>
      <c r="L719" s="729"/>
      <c r="M719" s="729"/>
      <c r="N719" s="729"/>
      <c r="O719" s="729"/>
      <c r="P719" s="729"/>
      <c r="Q719" s="730"/>
    </row>
    <row r="720" spans="1:20" ht="25.5" customHeight="1" x14ac:dyDescent="0.2">
      <c r="A720" s="573" t="s">
        <v>906</v>
      </c>
      <c r="B720" s="573"/>
      <c r="C720" s="573"/>
      <c r="D720" s="573"/>
      <c r="E720" s="573"/>
      <c r="F720" s="573"/>
      <c r="G720" s="573"/>
      <c r="H720" s="573"/>
      <c r="I720" s="573"/>
      <c r="J720" s="573"/>
      <c r="K720" s="573"/>
      <c r="L720" s="573"/>
      <c r="M720" s="573"/>
      <c r="N720" s="573"/>
      <c r="O720" s="573"/>
      <c r="P720" s="573"/>
      <c r="Q720" s="574"/>
      <c r="S720" s="80"/>
      <c r="T720" s="80"/>
    </row>
    <row r="721" spans="1:19" ht="25.5" customHeight="1" x14ac:dyDescent="0.2">
      <c r="A721" s="592"/>
      <c r="B721" s="593"/>
      <c r="C721" s="593"/>
      <c r="D721" s="593"/>
      <c r="E721" s="594"/>
      <c r="F721" s="571" t="s">
        <v>1012</v>
      </c>
      <c r="G721" s="595"/>
      <c r="H721" s="595"/>
      <c r="I721" s="680"/>
      <c r="J721" s="681"/>
      <c r="K721" s="681"/>
      <c r="L721" s="597" t="s">
        <v>1014</v>
      </c>
      <c r="M721" s="598"/>
      <c r="N721" s="599"/>
      <c r="O721" s="725"/>
      <c r="P721" s="600"/>
      <c r="Q721" s="601"/>
      <c r="R721" s="80"/>
      <c r="S721" s="80"/>
    </row>
    <row r="722" spans="1:19" ht="25.5" customHeight="1" x14ac:dyDescent="0.2">
      <c r="A722" s="522" t="s">
        <v>907</v>
      </c>
      <c r="B722" s="523"/>
      <c r="C722" s="523"/>
      <c r="D722" s="523"/>
      <c r="E722" s="524"/>
      <c r="F722" s="396">
        <v>6250</v>
      </c>
      <c r="G722" s="637"/>
      <c r="H722" s="638"/>
      <c r="I722" s="722"/>
      <c r="J722" s="723"/>
      <c r="K722" s="723"/>
      <c r="L722" s="723"/>
      <c r="M722" s="723"/>
      <c r="N722" s="723"/>
      <c r="O722" s="723"/>
      <c r="P722" s="723"/>
      <c r="Q722" s="724"/>
      <c r="R722" s="80"/>
      <c r="S722" s="80"/>
    </row>
    <row r="723" spans="1:19" ht="25.5" customHeight="1" x14ac:dyDescent="0.2">
      <c r="A723" s="233"/>
      <c r="B723" s="528" t="s">
        <v>908</v>
      </c>
      <c r="C723" s="528"/>
      <c r="D723" s="528"/>
      <c r="E723" s="528"/>
      <c r="F723" s="714"/>
      <c r="G723" s="715"/>
      <c r="H723" s="715"/>
      <c r="I723" s="715"/>
      <c r="J723" s="715"/>
      <c r="K723" s="716"/>
      <c r="L723" s="398">
        <v>6254</v>
      </c>
      <c r="M723" s="701"/>
      <c r="N723" s="702"/>
      <c r="O723" s="717"/>
      <c r="P723" s="718"/>
      <c r="Q723" s="719"/>
      <c r="R723" s="80"/>
    </row>
    <row r="724" spans="1:19" ht="25.5" customHeight="1" x14ac:dyDescent="0.2">
      <c r="A724" s="522" t="s">
        <v>909</v>
      </c>
      <c r="B724" s="523"/>
      <c r="C724" s="523"/>
      <c r="D724" s="523"/>
      <c r="E724" s="524"/>
      <c r="F724" s="396">
        <v>6256</v>
      </c>
      <c r="G724" s="637"/>
      <c r="H724" s="638"/>
      <c r="I724" s="711"/>
      <c r="J724" s="712"/>
      <c r="K724" s="712"/>
      <c r="L724" s="712"/>
      <c r="M724" s="712"/>
      <c r="N724" s="712"/>
      <c r="O724" s="712"/>
      <c r="P724" s="712"/>
      <c r="Q724" s="713"/>
      <c r="R724" s="80"/>
    </row>
    <row r="725" spans="1:19" ht="25.5" customHeight="1" x14ac:dyDescent="0.2">
      <c r="A725" s="233"/>
      <c r="B725" s="528" t="s">
        <v>910</v>
      </c>
      <c r="C725" s="528"/>
      <c r="D725" s="528"/>
      <c r="E725" s="528"/>
      <c r="F725" s="714"/>
      <c r="G725" s="715"/>
      <c r="H725" s="715"/>
      <c r="I725" s="715"/>
      <c r="J725" s="715"/>
      <c r="K725" s="716"/>
      <c r="L725" s="398">
        <v>6258</v>
      </c>
      <c r="M725" s="720">
        <f>Code_4505</f>
        <v>0</v>
      </c>
      <c r="N725" s="721"/>
      <c r="O725" s="717"/>
      <c r="P725" s="718"/>
      <c r="Q725" s="719"/>
      <c r="R725" s="80"/>
    </row>
    <row r="726" spans="1:19" ht="25.5" customHeight="1" x14ac:dyDescent="0.2">
      <c r="A726" s="522" t="s">
        <v>911</v>
      </c>
      <c r="B726" s="523"/>
      <c r="C726" s="523"/>
      <c r="D726" s="523"/>
      <c r="E726" s="524"/>
      <c r="F726" s="396">
        <v>6260</v>
      </c>
      <c r="G726" s="637"/>
      <c r="H726" s="638"/>
      <c r="I726" s="711"/>
      <c r="J726" s="712"/>
      <c r="K726" s="712"/>
      <c r="L726" s="712"/>
      <c r="M726" s="712"/>
      <c r="N726" s="712"/>
      <c r="O726" s="712"/>
      <c r="P726" s="712"/>
      <c r="Q726" s="713"/>
      <c r="R726" s="80"/>
    </row>
    <row r="727" spans="1:19" ht="25.5" customHeight="1" x14ac:dyDescent="0.2">
      <c r="A727" s="233"/>
      <c r="B727" s="528" t="s">
        <v>912</v>
      </c>
      <c r="C727" s="528"/>
      <c r="D727" s="528"/>
      <c r="E727" s="528"/>
      <c r="F727" s="714"/>
      <c r="G727" s="715"/>
      <c r="H727" s="715"/>
      <c r="I727" s="715"/>
      <c r="J727" s="715"/>
      <c r="K727" s="716"/>
      <c r="L727" s="398">
        <v>6264</v>
      </c>
      <c r="M727" s="701"/>
      <c r="N727" s="702"/>
      <c r="O727" s="717"/>
      <c r="P727" s="718"/>
      <c r="Q727" s="719"/>
      <c r="R727" s="80"/>
    </row>
    <row r="728" spans="1:19" ht="25.5" customHeight="1" x14ac:dyDescent="0.2">
      <c r="A728" s="522" t="s">
        <v>913</v>
      </c>
      <c r="B728" s="523"/>
      <c r="C728" s="523"/>
      <c r="D728" s="523"/>
      <c r="E728" s="524"/>
      <c r="F728" s="396">
        <v>6270</v>
      </c>
      <c r="G728" s="637"/>
      <c r="H728" s="638"/>
      <c r="I728" s="711"/>
      <c r="J728" s="712"/>
      <c r="K728" s="712"/>
      <c r="L728" s="712"/>
      <c r="M728" s="712"/>
      <c r="N728" s="712"/>
      <c r="O728" s="712"/>
      <c r="P728" s="712"/>
      <c r="Q728" s="713"/>
      <c r="R728" s="80"/>
    </row>
    <row r="729" spans="1:19" ht="25.5" customHeight="1" x14ac:dyDescent="0.2">
      <c r="A729" s="233"/>
      <c r="B729" s="528" t="s">
        <v>914</v>
      </c>
      <c r="C729" s="528"/>
      <c r="D729" s="528"/>
      <c r="E729" s="529"/>
      <c r="F729" s="697"/>
      <c r="G729" s="697"/>
      <c r="H729" s="697"/>
      <c r="I729" s="697"/>
      <c r="J729" s="697"/>
      <c r="K729" s="698"/>
      <c r="L729" s="398">
        <v>6271</v>
      </c>
      <c r="M729" s="701"/>
      <c r="N729" s="702"/>
      <c r="O729" s="705"/>
      <c r="P729" s="706"/>
      <c r="Q729" s="707"/>
    </row>
    <row r="730" spans="1:19" ht="25.5" customHeight="1" x14ac:dyDescent="0.2">
      <c r="A730" s="233"/>
      <c r="B730" s="528" t="s">
        <v>915</v>
      </c>
      <c r="C730" s="528"/>
      <c r="D730" s="528"/>
      <c r="E730" s="529"/>
      <c r="F730" s="697"/>
      <c r="G730" s="697"/>
      <c r="H730" s="697"/>
      <c r="I730" s="697"/>
      <c r="J730" s="697"/>
      <c r="K730" s="698"/>
      <c r="L730" s="398">
        <v>6272</v>
      </c>
      <c r="M730" s="703"/>
      <c r="N730" s="704"/>
      <c r="O730" s="705"/>
      <c r="P730" s="706"/>
      <c r="Q730" s="707"/>
    </row>
    <row r="731" spans="1:19" ht="25.5" customHeight="1" x14ac:dyDescent="0.2">
      <c r="A731" s="233"/>
      <c r="B731" s="528" t="s">
        <v>916</v>
      </c>
      <c r="C731" s="528"/>
      <c r="D731" s="528"/>
      <c r="E731" s="529"/>
      <c r="F731" s="697"/>
      <c r="G731" s="697"/>
      <c r="H731" s="697"/>
      <c r="I731" s="697"/>
      <c r="J731" s="697"/>
      <c r="K731" s="698"/>
      <c r="L731" s="398">
        <v>6273</v>
      </c>
      <c r="M731" s="703"/>
      <c r="N731" s="704"/>
      <c r="O731" s="705"/>
      <c r="P731" s="706"/>
      <c r="Q731" s="707"/>
    </row>
    <row r="732" spans="1:19" ht="25.5" customHeight="1" x14ac:dyDescent="0.2">
      <c r="A732" s="233"/>
      <c r="B732" s="528" t="s">
        <v>778</v>
      </c>
      <c r="C732" s="528"/>
      <c r="D732" s="528"/>
      <c r="E732" s="529"/>
      <c r="F732" s="697"/>
      <c r="G732" s="697"/>
      <c r="H732" s="697"/>
      <c r="I732" s="697"/>
      <c r="J732" s="697"/>
      <c r="K732" s="698"/>
      <c r="L732" s="398">
        <v>7208</v>
      </c>
      <c r="M732" s="703"/>
      <c r="N732" s="704"/>
      <c r="O732" s="705"/>
      <c r="P732" s="706"/>
      <c r="Q732" s="707"/>
    </row>
    <row r="733" spans="1:19" ht="25.5" customHeight="1" x14ac:dyDescent="0.2">
      <c r="A733" s="233"/>
      <c r="B733" s="528" t="s">
        <v>779</v>
      </c>
      <c r="C733" s="528"/>
      <c r="D733" s="528"/>
      <c r="E733" s="529"/>
      <c r="F733" s="697"/>
      <c r="G733" s="697"/>
      <c r="H733" s="697"/>
      <c r="I733" s="697"/>
      <c r="J733" s="697"/>
      <c r="K733" s="698"/>
      <c r="L733" s="398">
        <v>7209</v>
      </c>
      <c r="M733" s="703"/>
      <c r="N733" s="704"/>
      <c r="O733" s="705"/>
      <c r="P733" s="706"/>
      <c r="Q733" s="707"/>
    </row>
    <row r="734" spans="1:19" ht="25.5" customHeight="1" x14ac:dyDescent="0.2">
      <c r="A734" s="233"/>
      <c r="B734" s="693" t="s">
        <v>780</v>
      </c>
      <c r="C734" s="693"/>
      <c r="D734" s="693"/>
      <c r="E734" s="694"/>
      <c r="F734" s="697"/>
      <c r="G734" s="697"/>
      <c r="H734" s="697"/>
      <c r="I734" s="697"/>
      <c r="J734" s="697"/>
      <c r="K734" s="698"/>
      <c r="L734" s="398">
        <v>6275</v>
      </c>
      <c r="M734" s="703"/>
      <c r="N734" s="704"/>
      <c r="O734" s="705"/>
      <c r="P734" s="706"/>
      <c r="Q734" s="707"/>
    </row>
    <row r="735" spans="1:19" ht="25.5" customHeight="1" x14ac:dyDescent="0.2">
      <c r="A735" s="234"/>
      <c r="B735" s="523" t="s">
        <v>781</v>
      </c>
      <c r="C735" s="523"/>
      <c r="D735" s="523"/>
      <c r="E735" s="524"/>
      <c r="F735" s="699"/>
      <c r="G735" s="699"/>
      <c r="H735" s="699"/>
      <c r="I735" s="699"/>
      <c r="J735" s="699"/>
      <c r="K735" s="700"/>
      <c r="L735" s="399">
        <v>6274</v>
      </c>
      <c r="M735" s="695">
        <f>SUM(M729:N734)</f>
        <v>0</v>
      </c>
      <c r="N735" s="696"/>
      <c r="O735" s="708"/>
      <c r="P735" s="709"/>
      <c r="Q735" s="710"/>
    </row>
    <row r="736" spans="1:19" ht="25.5" customHeight="1" x14ac:dyDescent="0.2">
      <c r="A736" s="572" t="s">
        <v>782</v>
      </c>
      <c r="B736" s="573"/>
      <c r="C736" s="573"/>
      <c r="D736" s="573"/>
      <c r="E736" s="573"/>
      <c r="F736" s="573"/>
      <c r="G736" s="573"/>
      <c r="H736" s="573"/>
      <c r="I736" s="573"/>
      <c r="J736" s="573"/>
      <c r="K736" s="573"/>
      <c r="L736" s="573"/>
      <c r="M736" s="573"/>
      <c r="N736" s="573"/>
      <c r="O736" s="573"/>
      <c r="P736" s="573"/>
      <c r="Q736" s="574"/>
      <c r="R736" s="80"/>
    </row>
    <row r="737" spans="1:18" ht="25.5" customHeight="1" x14ac:dyDescent="0.2">
      <c r="A737" s="592"/>
      <c r="B737" s="593"/>
      <c r="C737" s="593"/>
      <c r="D737" s="593"/>
      <c r="E737" s="594"/>
      <c r="F737" s="571" t="s">
        <v>1012</v>
      </c>
      <c r="G737" s="595"/>
      <c r="H737" s="595"/>
      <c r="I737" s="680"/>
      <c r="J737" s="681"/>
      <c r="K737" s="682"/>
      <c r="L737" s="569"/>
      <c r="M737" s="569"/>
      <c r="N737" s="569"/>
      <c r="O737" s="600"/>
      <c r="P737" s="600"/>
      <c r="Q737" s="601"/>
      <c r="R737" s="80"/>
    </row>
    <row r="738" spans="1:18" ht="25.5" customHeight="1" x14ac:dyDescent="0.2">
      <c r="A738" s="683" t="s">
        <v>783</v>
      </c>
      <c r="B738" s="683"/>
      <c r="C738" s="683"/>
      <c r="D738" s="683"/>
      <c r="E738" s="683"/>
      <c r="F738" s="396">
        <v>6280</v>
      </c>
      <c r="G738" s="637"/>
      <c r="H738" s="638"/>
      <c r="I738" s="684"/>
      <c r="J738" s="685"/>
      <c r="K738" s="685"/>
      <c r="L738" s="685"/>
      <c r="M738" s="685"/>
      <c r="N738" s="685"/>
      <c r="O738" s="685"/>
      <c r="P738" s="685"/>
      <c r="Q738" s="686"/>
      <c r="R738" s="80"/>
    </row>
    <row r="739" spans="1:18" ht="25.5" customHeight="1" x14ac:dyDescent="0.2">
      <c r="A739" s="683" t="s">
        <v>784</v>
      </c>
      <c r="B739" s="683"/>
      <c r="C739" s="683"/>
      <c r="D739" s="683"/>
      <c r="E739" s="683"/>
      <c r="F739" s="396">
        <v>6290</v>
      </c>
      <c r="G739" s="637"/>
      <c r="H739" s="638"/>
      <c r="I739" s="687"/>
      <c r="J739" s="688"/>
      <c r="K739" s="688"/>
      <c r="L739" s="688"/>
      <c r="M739" s="688"/>
      <c r="N739" s="688"/>
      <c r="O739" s="688"/>
      <c r="P739" s="688"/>
      <c r="Q739" s="689"/>
      <c r="R739" s="80"/>
    </row>
    <row r="740" spans="1:18" ht="25.5" customHeight="1" x14ac:dyDescent="0.2">
      <c r="A740" s="683" t="s">
        <v>785</v>
      </c>
      <c r="B740" s="683"/>
      <c r="C740" s="683"/>
      <c r="D740" s="683"/>
      <c r="E740" s="683"/>
      <c r="F740" s="396">
        <v>6300</v>
      </c>
      <c r="G740" s="637"/>
      <c r="H740" s="638"/>
      <c r="I740" s="687"/>
      <c r="J740" s="688"/>
      <c r="K740" s="688"/>
      <c r="L740" s="688"/>
      <c r="M740" s="688"/>
      <c r="N740" s="688"/>
      <c r="O740" s="688"/>
      <c r="P740" s="688"/>
      <c r="Q740" s="689"/>
      <c r="R740" s="80"/>
    </row>
    <row r="741" spans="1:18" ht="25.5" customHeight="1" x14ac:dyDescent="0.2">
      <c r="A741" s="683" t="s">
        <v>786</v>
      </c>
      <c r="B741" s="683"/>
      <c r="C741" s="683"/>
      <c r="D741" s="683"/>
      <c r="E741" s="683"/>
      <c r="F741" s="396">
        <v>6310</v>
      </c>
      <c r="G741" s="637"/>
      <c r="H741" s="638"/>
      <c r="I741" s="687"/>
      <c r="J741" s="688"/>
      <c r="K741" s="688"/>
      <c r="L741" s="688"/>
      <c r="M741" s="688"/>
      <c r="N741" s="688"/>
      <c r="O741" s="688"/>
      <c r="P741" s="688"/>
      <c r="Q741" s="689"/>
      <c r="R741" s="80"/>
    </row>
    <row r="742" spans="1:18" ht="25.5" customHeight="1" x14ac:dyDescent="0.2">
      <c r="A742" s="683" t="s">
        <v>787</v>
      </c>
      <c r="B742" s="683"/>
      <c r="C742" s="683"/>
      <c r="D742" s="683"/>
      <c r="E742" s="683"/>
      <c r="F742" s="396">
        <v>6320</v>
      </c>
      <c r="G742" s="637"/>
      <c r="H742" s="638"/>
      <c r="I742" s="690"/>
      <c r="J742" s="691"/>
      <c r="K742" s="691"/>
      <c r="L742" s="691"/>
      <c r="M742" s="691"/>
      <c r="N742" s="691"/>
      <c r="O742" s="691"/>
      <c r="P742" s="691"/>
      <c r="Q742" s="692"/>
      <c r="R742" s="80"/>
    </row>
    <row r="743" spans="1:18" ht="25.5" customHeight="1" x14ac:dyDescent="0.2">
      <c r="A743" s="572" t="s">
        <v>788</v>
      </c>
      <c r="B743" s="573"/>
      <c r="C743" s="573"/>
      <c r="D743" s="573"/>
      <c r="E743" s="573"/>
      <c r="F743" s="573"/>
      <c r="G743" s="573"/>
      <c r="H743" s="573"/>
      <c r="I743" s="573"/>
      <c r="J743" s="573"/>
      <c r="K743" s="573"/>
      <c r="L743" s="573"/>
      <c r="M743" s="573"/>
      <c r="N743" s="573"/>
      <c r="O743" s="573"/>
      <c r="P743" s="573"/>
      <c r="Q743" s="573"/>
      <c r="R743" s="80"/>
    </row>
    <row r="744" spans="1:18" ht="25.5" customHeight="1" x14ac:dyDescent="0.2">
      <c r="A744" s="592"/>
      <c r="B744" s="593"/>
      <c r="C744" s="593"/>
      <c r="D744" s="593"/>
      <c r="E744" s="594"/>
      <c r="F744" s="571" t="s">
        <v>1012</v>
      </c>
      <c r="G744" s="595"/>
      <c r="H744" s="595"/>
      <c r="I744" s="680"/>
      <c r="J744" s="681"/>
      <c r="K744" s="682"/>
      <c r="L744" s="569"/>
      <c r="M744" s="569"/>
      <c r="N744" s="569"/>
      <c r="O744" s="600"/>
      <c r="P744" s="600"/>
      <c r="Q744" s="600"/>
      <c r="R744" s="80"/>
    </row>
    <row r="745" spans="1:18" ht="25.5" customHeight="1" x14ac:dyDescent="0.2">
      <c r="A745" s="522" t="s">
        <v>789</v>
      </c>
      <c r="B745" s="523"/>
      <c r="C745" s="523"/>
      <c r="D745" s="523"/>
      <c r="E745" s="524"/>
      <c r="F745" s="399">
        <v>7210</v>
      </c>
      <c r="G745" s="637"/>
      <c r="H745" s="638"/>
      <c r="I745" s="677"/>
      <c r="J745" s="678"/>
      <c r="K745" s="678"/>
      <c r="L745" s="678"/>
      <c r="M745" s="678"/>
      <c r="N745" s="678"/>
      <c r="O745" s="678"/>
      <c r="P745" s="678"/>
      <c r="Q745" s="679"/>
      <c r="R745" s="80"/>
    </row>
    <row r="746" spans="1:18" s="2" customFormat="1" ht="25.5" customHeight="1" x14ac:dyDescent="0.25">
      <c r="A746" s="15" t="str">
        <f>$A$33</f>
        <v xml:space="preserve"> </v>
      </c>
      <c r="L746" s="287"/>
      <c r="P746" s="418"/>
    </row>
    <row r="747" spans="1:18" s="2" customFormat="1" ht="25.5" customHeight="1" x14ac:dyDescent="0.2">
      <c r="A747" s="1154" t="s">
        <v>790</v>
      </c>
      <c r="B747" s="1154"/>
      <c r="C747" s="1154"/>
      <c r="D747" s="1154"/>
      <c r="E747" s="1154"/>
      <c r="F747" s="1154"/>
      <c r="G747" s="1154"/>
      <c r="H747" s="1154"/>
      <c r="I747" s="1154"/>
      <c r="J747" s="1154"/>
      <c r="K747" s="1154"/>
      <c r="L747" s="1154"/>
      <c r="M747" s="1154"/>
    </row>
    <row r="748" spans="1:18" s="2" customFormat="1" ht="25.5" customHeight="1" x14ac:dyDescent="0.2">
      <c r="A748" s="1155" t="s">
        <v>1558</v>
      </c>
      <c r="B748" s="1155"/>
      <c r="C748" s="1155"/>
      <c r="D748" s="1155"/>
      <c r="E748" s="1155"/>
      <c r="F748" s="1155"/>
      <c r="G748" s="1155"/>
      <c r="H748" s="1155"/>
      <c r="I748" s="1155"/>
      <c r="J748" s="1155"/>
      <c r="K748" s="1155"/>
      <c r="L748" s="780" t="s">
        <v>2834</v>
      </c>
      <c r="M748" s="781"/>
      <c r="N748" s="1166" t="str">
        <f>IF($D$5&gt;=200,"This section is REQUIRED for Pyschiatric and Specialty hospitals.","")</f>
        <v/>
      </c>
      <c r="O748" s="1166"/>
      <c r="P748" s="1166"/>
      <c r="Q748" s="1166"/>
      <c r="R748" s="1166"/>
    </row>
    <row r="749" spans="1:18" s="2" customFormat="1" ht="25.5" customHeight="1" x14ac:dyDescent="0.2">
      <c r="A749" s="1156">
        <v>7594</v>
      </c>
      <c r="B749" s="1157" t="s">
        <v>2837</v>
      </c>
      <c r="C749" s="1158"/>
      <c r="D749" s="1158"/>
      <c r="E749" s="1158"/>
      <c r="F749" s="1158"/>
      <c r="G749" s="1158"/>
      <c r="H749" s="1158"/>
      <c r="I749" s="1158"/>
      <c r="J749" s="1158"/>
      <c r="K749" s="1158"/>
      <c r="L749" s="33" t="s">
        <v>91</v>
      </c>
      <c r="M749" s="33" t="s">
        <v>92</v>
      </c>
      <c r="N749" s="1167"/>
      <c r="O749" s="1167"/>
      <c r="P749" s="1167"/>
      <c r="Q749" s="1167"/>
      <c r="R749" s="1167"/>
    </row>
    <row r="750" spans="1:18" s="2" customFormat="1" ht="25.5" customHeight="1" x14ac:dyDescent="0.2">
      <c r="A750" s="1023"/>
      <c r="B750" s="1158"/>
      <c r="C750" s="1158"/>
      <c r="D750" s="1158"/>
      <c r="E750" s="1158"/>
      <c r="F750" s="1158"/>
      <c r="G750" s="1158"/>
      <c r="H750" s="1158"/>
      <c r="I750" s="1158"/>
      <c r="J750" s="1158"/>
      <c r="K750" s="1158"/>
      <c r="L750" s="458"/>
      <c r="M750" s="458"/>
      <c r="N750" s="615" t="str">
        <f>IF(COUNTBLANK(L750:M750)=2,"Please enter response",IF(COUNTBLANK(L750:M750)&lt;&gt;1,"Please VERIFY response",""))</f>
        <v>Please enter response</v>
      </c>
      <c r="O750" s="616"/>
      <c r="P750" s="616"/>
      <c r="Q750" s="616"/>
      <c r="R750" s="617"/>
    </row>
    <row r="751" spans="1:18" s="2" customFormat="1" ht="25.5" customHeight="1" x14ac:dyDescent="0.2">
      <c r="A751" s="43">
        <v>7595</v>
      </c>
      <c r="B751" s="1024" t="s">
        <v>791</v>
      </c>
      <c r="C751" s="1024"/>
      <c r="D751" s="1024"/>
      <c r="E751" s="1024"/>
      <c r="F751" s="1024"/>
      <c r="G751" s="1024"/>
      <c r="H751" s="1024"/>
      <c r="I751" s="1024"/>
      <c r="J751" s="1024"/>
      <c r="K751" s="1024"/>
      <c r="L751" s="1152"/>
      <c r="M751" s="1152"/>
      <c r="N751" s="653" t="str">
        <f>IF(NOT(ISBLANK(L750)), "Please click here to go to the Capital Expenditure Project Specific Tab to supply information on each project.","")</f>
        <v/>
      </c>
      <c r="O751" s="654"/>
      <c r="P751" s="654"/>
      <c r="Q751" s="654"/>
      <c r="R751" s="654"/>
    </row>
    <row r="752" spans="1:18" s="2" customFormat="1" ht="25.5" customHeight="1" x14ac:dyDescent="0.2">
      <c r="A752" s="43">
        <v>7596</v>
      </c>
      <c r="B752" s="1153" t="s">
        <v>792</v>
      </c>
      <c r="C752" s="1153"/>
      <c r="D752" s="1153"/>
      <c r="E752" s="1153"/>
      <c r="F752" s="1153"/>
      <c r="G752" s="1153"/>
      <c r="H752" s="1153"/>
      <c r="I752" s="1153"/>
      <c r="J752" s="1153"/>
      <c r="K752" s="1153"/>
      <c r="L752" s="1159"/>
      <c r="M752" s="1159"/>
      <c r="N752" s="653"/>
      <c r="O752" s="654"/>
      <c r="P752" s="654"/>
      <c r="Q752" s="654"/>
      <c r="R752" s="654"/>
    </row>
    <row r="753" spans="1:26" s="2" customFormat="1" ht="25.5" customHeight="1" x14ac:dyDescent="0.2">
      <c r="A753" s="1160" t="str">
        <f>IF('Capital Expend Project Specific'!P1&lt;&gt;'2021 HAR'!L752,CONCATENATE("The total project amounts listed on the 'Capital Expend Project Specific' tab do not equal account 7596."," The amount reported in 7596 is: $ ",L752,", the total amount reported in the Project Specific Tab is: $ ",Z753),"")</f>
        <v/>
      </c>
      <c r="B753" s="1161"/>
      <c r="C753" s="1161"/>
      <c r="D753" s="1161"/>
      <c r="E753" s="1161"/>
      <c r="F753" s="1161"/>
      <c r="G753" s="1161"/>
      <c r="H753" s="1161"/>
      <c r="I753" s="1161"/>
      <c r="J753" s="1161"/>
      <c r="K753" s="1161"/>
      <c r="L753" s="1161"/>
      <c r="M753" s="1161"/>
      <c r="N753" s="654" t="str">
        <f>IF(AND(ISBLANK(Cap_Expend_Name),NOT(ISBLANK(Code_7594))),"The Capital Expenditure Contact information has NOT been provided.  Click here to go to Capital Expenditure Contact Section to fill in this information now.","")</f>
        <v/>
      </c>
      <c r="O753" s="662"/>
      <c r="P753" s="662"/>
      <c r="Q753" s="662"/>
      <c r="R753" s="662"/>
      <c r="S753" s="662"/>
      <c r="T753" s="662"/>
      <c r="U753" s="662"/>
      <c r="V753" s="662"/>
      <c r="Z753" s="251">
        <f>SUM('Capital Expend Project Specific'!E11,'Capital Expend Project Specific'!E54,'Capital Expend Project Specific'!E97,'Capital Expend Project Specific'!E140,'Capital Expend Project Specific'!E183,'Capital Expend Project Specific'!E226,'Capital Expend Project Specific'!E269,'Capital Expend Project Specific'!E312,'Capital Expend Project Specific'!E355,'Capital Expend Project Specific'!E398)</f>
        <v>0</v>
      </c>
    </row>
    <row r="754" spans="1:26" s="2" customFormat="1" ht="25.5" customHeight="1" x14ac:dyDescent="0.2">
      <c r="A754" s="1154" t="s">
        <v>793</v>
      </c>
      <c r="B754" s="1154"/>
      <c r="C754" s="1154"/>
      <c r="D754" s="1154"/>
      <c r="E754" s="1154"/>
      <c r="F754" s="1154"/>
      <c r="G754" s="1154"/>
      <c r="H754" s="1154"/>
      <c r="I754" s="1154"/>
      <c r="J754" s="1154"/>
      <c r="K754" s="1154"/>
      <c r="L754" s="1154"/>
      <c r="M754" s="1154"/>
      <c r="N754" s="1154"/>
      <c r="O754" s="1154"/>
      <c r="P754" s="1154"/>
      <c r="Q754" s="1154"/>
    </row>
    <row r="755" spans="1:26" s="2" customFormat="1" ht="25.5" customHeight="1" x14ac:dyDescent="0.2">
      <c r="A755" s="1154"/>
      <c r="B755" s="1154"/>
      <c r="C755" s="1154"/>
      <c r="D755" s="1154"/>
      <c r="E755" s="1154"/>
      <c r="F755" s="1154"/>
      <c r="G755" s="1154"/>
      <c r="H755" s="1154"/>
      <c r="I755" s="1154"/>
      <c r="J755" s="1154"/>
      <c r="K755" s="1154"/>
      <c r="L755" s="1154"/>
      <c r="M755" s="1154"/>
      <c r="N755" s="1154"/>
      <c r="O755" s="1154"/>
      <c r="P755" s="1154"/>
      <c r="Q755" s="1154"/>
    </row>
    <row r="756" spans="1:26" s="2" customFormat="1" ht="25.5" customHeight="1" x14ac:dyDescent="0.2">
      <c r="A756" s="1155" t="s">
        <v>1559</v>
      </c>
      <c r="B756" s="1155"/>
      <c r="C756" s="1155"/>
      <c r="D756" s="1155"/>
      <c r="E756" s="1155"/>
      <c r="F756" s="1155"/>
      <c r="G756" s="1155"/>
      <c r="H756" s="1155"/>
      <c r="I756" s="1155"/>
      <c r="J756" s="1155"/>
      <c r="K756" s="1155"/>
      <c r="L756" s="1155"/>
      <c r="M756" s="1155"/>
      <c r="N756" s="1155"/>
      <c r="O756" s="1155"/>
      <c r="P756" s="780" t="s">
        <v>2834</v>
      </c>
      <c r="Q756" s="781"/>
      <c r="R756" s="1026" t="str">
        <f>IF($D$5&gt;=200,"This section is REQUIRED for Pyschiatric and Specialty hospitals.","")</f>
        <v/>
      </c>
      <c r="S756" s="1026"/>
      <c r="T756" s="1026"/>
      <c r="U756" s="1026"/>
      <c r="V756" s="1026"/>
    </row>
    <row r="757" spans="1:26" s="2" customFormat="1" ht="25.5" customHeight="1" x14ac:dyDescent="0.2">
      <c r="A757" s="67"/>
      <c r="B757" s="67"/>
      <c r="C757" s="67"/>
      <c r="D757" s="67"/>
      <c r="E757" s="67"/>
      <c r="F757" s="67"/>
      <c r="G757" s="1164" t="s">
        <v>794</v>
      </c>
      <c r="H757" s="1165"/>
      <c r="I757" s="67"/>
      <c r="J757" s="1162" t="s">
        <v>795</v>
      </c>
      <c r="K757" s="1163"/>
      <c r="L757" s="67"/>
      <c r="M757" s="1162" t="s">
        <v>796</v>
      </c>
      <c r="N757" s="1162"/>
      <c r="O757" s="67"/>
      <c r="P757" s="1162" t="s">
        <v>797</v>
      </c>
      <c r="Q757" s="1163"/>
    </row>
    <row r="758" spans="1:26" s="2" customFormat="1" ht="25.5" customHeight="1" x14ac:dyDescent="0.2">
      <c r="A758" s="1172" t="s">
        <v>798</v>
      </c>
      <c r="B758" s="957"/>
      <c r="C758" s="957"/>
      <c r="D758" s="957"/>
      <c r="E758" s="1173"/>
      <c r="F758" s="386">
        <v>7597</v>
      </c>
      <c r="G758" s="1174">
        <f>SUM(G759:H771)</f>
        <v>0</v>
      </c>
      <c r="H758" s="1175"/>
      <c r="I758" s="386">
        <v>7620</v>
      </c>
      <c r="J758" s="1174">
        <f>SUM(J759:K771)</f>
        <v>0</v>
      </c>
      <c r="K758" s="1176"/>
      <c r="L758" s="386">
        <v>7643</v>
      </c>
      <c r="M758" s="1174">
        <f>SUM(M759:N771)</f>
        <v>0</v>
      </c>
      <c r="N758" s="1175"/>
      <c r="O758" s="386">
        <v>7666</v>
      </c>
      <c r="P758" s="1174">
        <f>SUM(P759:Q771)</f>
        <v>0</v>
      </c>
      <c r="Q758" s="1176"/>
      <c r="R758" s="66"/>
      <c r="S758" s="66"/>
      <c r="T758" s="66"/>
      <c r="U758" s="66"/>
    </row>
    <row r="759" spans="1:26" s="2" customFormat="1" ht="25.5" customHeight="1" x14ac:dyDescent="0.2">
      <c r="A759" s="203"/>
      <c r="B759" s="1177" t="s">
        <v>799</v>
      </c>
      <c r="C759" s="1177"/>
      <c r="D759" s="1177"/>
      <c r="E759" s="900"/>
      <c r="F759" s="386">
        <v>7598</v>
      </c>
      <c r="G759" s="1168"/>
      <c r="H759" s="1169"/>
      <c r="I759" s="386">
        <v>7621</v>
      </c>
      <c r="J759" s="1168"/>
      <c r="K759" s="1178"/>
      <c r="L759" s="386">
        <v>7644</v>
      </c>
      <c r="M759" s="1168"/>
      <c r="N759" s="1169"/>
      <c r="O759" s="386">
        <v>7667</v>
      </c>
      <c r="P759" s="1170">
        <f t="shared" ref="P759:P770" si="3">G759+J759+M759</f>
        <v>0</v>
      </c>
      <c r="Q759" s="1171"/>
      <c r="R759" s="66"/>
      <c r="S759" s="66"/>
      <c r="T759" s="66"/>
      <c r="U759" s="66"/>
    </row>
    <row r="760" spans="1:26" s="2" customFormat="1" ht="25.5" customHeight="1" x14ac:dyDescent="0.2">
      <c r="A760" s="204"/>
      <c r="B760" s="656" t="s">
        <v>800</v>
      </c>
      <c r="C760" s="656"/>
      <c r="D760" s="656"/>
      <c r="E760" s="795"/>
      <c r="F760" s="386">
        <v>7599</v>
      </c>
      <c r="G760" s="1168"/>
      <c r="H760" s="1169"/>
      <c r="I760" s="386">
        <v>7622</v>
      </c>
      <c r="J760" s="1168"/>
      <c r="K760" s="1178"/>
      <c r="L760" s="386">
        <v>7645</v>
      </c>
      <c r="M760" s="1168"/>
      <c r="N760" s="1169"/>
      <c r="O760" s="386">
        <v>7668</v>
      </c>
      <c r="P760" s="1170">
        <f t="shared" si="3"/>
        <v>0</v>
      </c>
      <c r="Q760" s="1171"/>
      <c r="R760" s="66"/>
      <c r="S760" s="66"/>
      <c r="T760" s="66"/>
      <c r="U760" s="66"/>
    </row>
    <row r="761" spans="1:26" s="2" customFormat="1" ht="25.5" customHeight="1" x14ac:dyDescent="0.2">
      <c r="A761" s="204"/>
      <c r="B761" s="656" t="s">
        <v>801</v>
      </c>
      <c r="C761" s="656"/>
      <c r="D761" s="656"/>
      <c r="E761" s="795"/>
      <c r="F761" s="386">
        <v>7600</v>
      </c>
      <c r="G761" s="1168"/>
      <c r="H761" s="1169"/>
      <c r="I761" s="386">
        <v>7623</v>
      </c>
      <c r="J761" s="1168"/>
      <c r="K761" s="1178"/>
      <c r="L761" s="386">
        <v>7646</v>
      </c>
      <c r="M761" s="1168"/>
      <c r="N761" s="1169"/>
      <c r="O761" s="386">
        <v>7669</v>
      </c>
      <c r="P761" s="1170">
        <f t="shared" si="3"/>
        <v>0</v>
      </c>
      <c r="Q761" s="1171"/>
      <c r="R761" s="66"/>
      <c r="S761" s="66"/>
      <c r="T761" s="66"/>
      <c r="U761" s="66"/>
    </row>
    <row r="762" spans="1:26" s="2" customFormat="1" ht="25.5" customHeight="1" x14ac:dyDescent="0.2">
      <c r="A762" s="204"/>
      <c r="B762" s="656" t="s">
        <v>802</v>
      </c>
      <c r="C762" s="656"/>
      <c r="D762" s="656"/>
      <c r="E762" s="795"/>
      <c r="F762" s="386">
        <v>7601</v>
      </c>
      <c r="G762" s="1168"/>
      <c r="H762" s="1169"/>
      <c r="I762" s="386">
        <v>7624</v>
      </c>
      <c r="J762" s="1168"/>
      <c r="K762" s="1178"/>
      <c r="L762" s="386">
        <v>7647</v>
      </c>
      <c r="M762" s="1168"/>
      <c r="N762" s="1169"/>
      <c r="O762" s="386">
        <v>7670</v>
      </c>
      <c r="P762" s="1170">
        <f t="shared" si="3"/>
        <v>0</v>
      </c>
      <c r="Q762" s="1171"/>
      <c r="R762" s="66"/>
      <c r="S762" s="66"/>
      <c r="T762" s="66"/>
      <c r="U762" s="66"/>
    </row>
    <row r="763" spans="1:26" s="2" customFormat="1" ht="25.5" customHeight="1" x14ac:dyDescent="0.2">
      <c r="A763" s="204"/>
      <c r="B763" s="656" t="s">
        <v>803</v>
      </c>
      <c r="C763" s="656"/>
      <c r="D763" s="656"/>
      <c r="E763" s="795"/>
      <c r="F763" s="386">
        <v>7602</v>
      </c>
      <c r="G763" s="1168"/>
      <c r="H763" s="1169"/>
      <c r="I763" s="386">
        <v>7625</v>
      </c>
      <c r="J763" s="1168"/>
      <c r="K763" s="1178"/>
      <c r="L763" s="386">
        <v>7648</v>
      </c>
      <c r="M763" s="1168"/>
      <c r="N763" s="1169"/>
      <c r="O763" s="386">
        <v>7671</v>
      </c>
      <c r="P763" s="1170">
        <f t="shared" si="3"/>
        <v>0</v>
      </c>
      <c r="Q763" s="1171"/>
      <c r="R763" s="66"/>
      <c r="S763" s="66"/>
      <c r="T763" s="66"/>
      <c r="U763" s="66"/>
    </row>
    <row r="764" spans="1:26" s="2" customFormat="1" ht="25.5" customHeight="1" x14ac:dyDescent="0.2">
      <c r="A764" s="204"/>
      <c r="B764" s="656" t="s">
        <v>804</v>
      </c>
      <c r="C764" s="656"/>
      <c r="D764" s="656"/>
      <c r="E764" s="795"/>
      <c r="F764" s="386">
        <v>7603</v>
      </c>
      <c r="G764" s="1168"/>
      <c r="H764" s="1169"/>
      <c r="I764" s="386">
        <v>7626</v>
      </c>
      <c r="J764" s="1168"/>
      <c r="K764" s="1178"/>
      <c r="L764" s="386">
        <v>7649</v>
      </c>
      <c r="M764" s="1168"/>
      <c r="N764" s="1169"/>
      <c r="O764" s="386">
        <v>7672</v>
      </c>
      <c r="P764" s="1170">
        <f t="shared" si="3"/>
        <v>0</v>
      </c>
      <c r="Q764" s="1171"/>
      <c r="R764" s="66"/>
      <c r="S764" s="66"/>
      <c r="T764" s="66"/>
      <c r="U764" s="66"/>
    </row>
    <row r="765" spans="1:26" s="2" customFormat="1" ht="25.5" customHeight="1" x14ac:dyDescent="0.2">
      <c r="A765" s="204"/>
      <c r="B765" s="656" t="s">
        <v>805</v>
      </c>
      <c r="C765" s="656"/>
      <c r="D765" s="656"/>
      <c r="E765" s="795"/>
      <c r="F765" s="386">
        <v>7604</v>
      </c>
      <c r="G765" s="1168"/>
      <c r="H765" s="1169"/>
      <c r="I765" s="386">
        <v>7627</v>
      </c>
      <c r="J765" s="1168"/>
      <c r="K765" s="1178"/>
      <c r="L765" s="386">
        <v>7650</v>
      </c>
      <c r="M765" s="1168"/>
      <c r="N765" s="1169"/>
      <c r="O765" s="386">
        <v>7673</v>
      </c>
      <c r="P765" s="1170">
        <f t="shared" si="3"/>
        <v>0</v>
      </c>
      <c r="Q765" s="1171"/>
      <c r="R765" s="66"/>
      <c r="S765" s="66"/>
      <c r="T765" s="66"/>
      <c r="U765" s="66"/>
    </row>
    <row r="766" spans="1:26" s="2" customFormat="1" ht="25.5" customHeight="1" x14ac:dyDescent="0.2">
      <c r="A766" s="204"/>
      <c r="B766" s="656" t="s">
        <v>806</v>
      </c>
      <c r="C766" s="656"/>
      <c r="D766" s="656"/>
      <c r="E766" s="795"/>
      <c r="F766" s="386">
        <v>7605</v>
      </c>
      <c r="G766" s="1168"/>
      <c r="H766" s="1169"/>
      <c r="I766" s="386">
        <v>7628</v>
      </c>
      <c r="J766" s="1168"/>
      <c r="K766" s="1178"/>
      <c r="L766" s="386">
        <v>7651</v>
      </c>
      <c r="M766" s="1168"/>
      <c r="N766" s="1169"/>
      <c r="O766" s="386">
        <v>7674</v>
      </c>
      <c r="P766" s="1170">
        <f t="shared" si="3"/>
        <v>0</v>
      </c>
      <c r="Q766" s="1171"/>
      <c r="R766" s="66"/>
      <c r="S766" s="66"/>
      <c r="T766" s="66"/>
      <c r="U766" s="66"/>
    </row>
    <row r="767" spans="1:26" s="2" customFormat="1" ht="25.5" customHeight="1" x14ac:dyDescent="0.2">
      <c r="A767" s="204"/>
      <c r="B767" s="656" t="s">
        <v>807</v>
      </c>
      <c r="C767" s="656"/>
      <c r="D767" s="656"/>
      <c r="E767" s="795"/>
      <c r="F767" s="386">
        <v>7606</v>
      </c>
      <c r="G767" s="1168"/>
      <c r="H767" s="1169"/>
      <c r="I767" s="386">
        <v>7629</v>
      </c>
      <c r="J767" s="1168"/>
      <c r="K767" s="1178"/>
      <c r="L767" s="386">
        <v>7652</v>
      </c>
      <c r="M767" s="1168"/>
      <c r="N767" s="1169"/>
      <c r="O767" s="386">
        <v>7675</v>
      </c>
      <c r="P767" s="1170">
        <f t="shared" si="3"/>
        <v>0</v>
      </c>
      <c r="Q767" s="1171"/>
      <c r="R767" s="66"/>
      <c r="S767" s="66"/>
      <c r="T767" s="66"/>
      <c r="U767" s="66"/>
    </row>
    <row r="768" spans="1:26" s="2" customFormat="1" ht="25.5" customHeight="1" x14ac:dyDescent="0.2">
      <c r="A768" s="204"/>
      <c r="B768" s="656" t="s">
        <v>808</v>
      </c>
      <c r="C768" s="656"/>
      <c r="D768" s="656"/>
      <c r="E768" s="795"/>
      <c r="F768" s="386">
        <v>7607</v>
      </c>
      <c r="G768" s="1168"/>
      <c r="H768" s="1169"/>
      <c r="I768" s="386">
        <v>7630</v>
      </c>
      <c r="J768" s="1168"/>
      <c r="K768" s="1178"/>
      <c r="L768" s="386">
        <v>7653</v>
      </c>
      <c r="M768" s="1168"/>
      <c r="N768" s="1169"/>
      <c r="O768" s="386">
        <v>7676</v>
      </c>
      <c r="P768" s="1170">
        <f t="shared" si="3"/>
        <v>0</v>
      </c>
      <c r="Q768" s="1171"/>
      <c r="R768" s="66"/>
      <c r="S768" s="66"/>
      <c r="T768" s="66"/>
      <c r="U768" s="66"/>
    </row>
    <row r="769" spans="1:23" s="2" customFormat="1" ht="25.5" customHeight="1" x14ac:dyDescent="0.2">
      <c r="A769" s="204"/>
      <c r="B769" s="656" t="s">
        <v>809</v>
      </c>
      <c r="C769" s="656"/>
      <c r="D769" s="656"/>
      <c r="E769" s="795"/>
      <c r="F769" s="386">
        <v>7608</v>
      </c>
      <c r="G769" s="1168"/>
      <c r="H769" s="1169"/>
      <c r="I769" s="386">
        <v>7631</v>
      </c>
      <c r="J769" s="1168"/>
      <c r="K769" s="1178"/>
      <c r="L769" s="386">
        <v>7654</v>
      </c>
      <c r="M769" s="1168"/>
      <c r="N769" s="1169"/>
      <c r="O769" s="386">
        <v>7677</v>
      </c>
      <c r="P769" s="1170">
        <f t="shared" si="3"/>
        <v>0</v>
      </c>
      <c r="Q769" s="1171"/>
      <c r="R769" s="66"/>
      <c r="S769" s="66"/>
      <c r="T769" s="66"/>
      <c r="U769" s="66"/>
    </row>
    <row r="770" spans="1:23" s="2" customFormat="1" ht="25.5" customHeight="1" x14ac:dyDescent="0.2">
      <c r="A770" s="204"/>
      <c r="B770" s="656" t="s">
        <v>810</v>
      </c>
      <c r="C770" s="656"/>
      <c r="D770" s="656"/>
      <c r="E770" s="795"/>
      <c r="F770" s="386">
        <v>7609</v>
      </c>
      <c r="G770" s="1168"/>
      <c r="H770" s="1169"/>
      <c r="I770" s="386">
        <v>7632</v>
      </c>
      <c r="J770" s="1168"/>
      <c r="K770" s="1178"/>
      <c r="L770" s="386">
        <v>7655</v>
      </c>
      <c r="M770" s="1168"/>
      <c r="N770" s="1169"/>
      <c r="O770" s="386">
        <v>7678</v>
      </c>
      <c r="P770" s="1170">
        <f t="shared" si="3"/>
        <v>0</v>
      </c>
      <c r="Q770" s="1171"/>
      <c r="R770" s="66"/>
      <c r="S770" s="66"/>
      <c r="T770" s="66"/>
      <c r="U770" s="66"/>
    </row>
    <row r="771" spans="1:23" s="2" customFormat="1" ht="25.5" customHeight="1" x14ac:dyDescent="0.2">
      <c r="A771" s="205"/>
      <c r="B771" s="957" t="s">
        <v>811</v>
      </c>
      <c r="C771" s="957"/>
      <c r="D771" s="957"/>
      <c r="E771" s="959"/>
      <c r="F771" s="386">
        <v>7610</v>
      </c>
      <c r="G771" s="1174">
        <f>SUM(G772:H775)</f>
        <v>0</v>
      </c>
      <c r="H771" s="1175"/>
      <c r="I771" s="386">
        <v>7633</v>
      </c>
      <c r="J771" s="1174">
        <f>SUM(J772:K775)</f>
        <v>0</v>
      </c>
      <c r="K771" s="1176"/>
      <c r="L771" s="386">
        <v>7656</v>
      </c>
      <c r="M771" s="1174">
        <f>SUM(M772:N775)</f>
        <v>0</v>
      </c>
      <c r="N771" s="1175"/>
      <c r="O771" s="386">
        <v>7679</v>
      </c>
      <c r="P771" s="1174">
        <f>SUM(P772:Q775)</f>
        <v>0</v>
      </c>
      <c r="Q771" s="1171"/>
      <c r="R771" s="66"/>
      <c r="S771" s="66"/>
      <c r="T771" s="66"/>
      <c r="U771" s="66"/>
    </row>
    <row r="772" spans="1:23" s="2" customFormat="1" ht="25.5" customHeight="1" x14ac:dyDescent="0.2">
      <c r="A772" s="204"/>
      <c r="B772" s="68"/>
      <c r="C772" s="656" t="s">
        <v>812</v>
      </c>
      <c r="D772" s="794"/>
      <c r="E772" s="795"/>
      <c r="F772" s="386">
        <v>7611</v>
      </c>
      <c r="G772" s="1168"/>
      <c r="H772" s="1169"/>
      <c r="I772" s="386">
        <v>7634</v>
      </c>
      <c r="J772" s="1168"/>
      <c r="K772" s="1178"/>
      <c r="L772" s="386">
        <v>7657</v>
      </c>
      <c r="M772" s="1168"/>
      <c r="N772" s="1169"/>
      <c r="O772" s="386">
        <v>7680</v>
      </c>
      <c r="P772" s="1170">
        <f>G772+J772+M772</f>
        <v>0</v>
      </c>
      <c r="Q772" s="1171"/>
      <c r="R772" s="66"/>
      <c r="S772" s="66"/>
      <c r="T772" s="66"/>
      <c r="U772" s="66"/>
    </row>
    <row r="773" spans="1:23" s="2" customFormat="1" ht="25.5" customHeight="1" x14ac:dyDescent="0.2">
      <c r="A773" s="204"/>
      <c r="B773" s="68"/>
      <c r="C773" s="656" t="s">
        <v>813</v>
      </c>
      <c r="D773" s="794"/>
      <c r="E773" s="795"/>
      <c r="F773" s="386">
        <v>7612</v>
      </c>
      <c r="G773" s="1168"/>
      <c r="H773" s="1169"/>
      <c r="I773" s="386">
        <v>7635</v>
      </c>
      <c r="J773" s="1168"/>
      <c r="K773" s="1178"/>
      <c r="L773" s="386">
        <v>7658</v>
      </c>
      <c r="M773" s="1168"/>
      <c r="N773" s="1169"/>
      <c r="O773" s="386">
        <v>7681</v>
      </c>
      <c r="P773" s="1170">
        <f>G773+J773+M773</f>
        <v>0</v>
      </c>
      <c r="Q773" s="1171"/>
      <c r="R773" s="66"/>
      <c r="S773" s="66"/>
      <c r="T773" s="66"/>
      <c r="U773" s="66"/>
    </row>
    <row r="774" spans="1:23" s="2" customFormat="1" ht="25.5" customHeight="1" x14ac:dyDescent="0.2">
      <c r="A774" s="204"/>
      <c r="B774" s="68"/>
      <c r="C774" s="656" t="s">
        <v>814</v>
      </c>
      <c r="D774" s="794"/>
      <c r="E774" s="795"/>
      <c r="F774" s="386">
        <v>7613</v>
      </c>
      <c r="G774" s="1168"/>
      <c r="H774" s="1169"/>
      <c r="I774" s="386">
        <v>7636</v>
      </c>
      <c r="J774" s="1168"/>
      <c r="K774" s="1178"/>
      <c r="L774" s="386">
        <v>7659</v>
      </c>
      <c r="M774" s="1168"/>
      <c r="N774" s="1169"/>
      <c r="O774" s="386">
        <v>7682</v>
      </c>
      <c r="P774" s="1170">
        <f>G774+J774+M774</f>
        <v>0</v>
      </c>
      <c r="Q774" s="1171"/>
      <c r="R774" s="66"/>
      <c r="S774" s="66"/>
      <c r="T774" s="66"/>
      <c r="U774" s="66"/>
    </row>
    <row r="775" spans="1:23" s="2" customFormat="1" ht="25.5" customHeight="1" x14ac:dyDescent="0.2">
      <c r="A775" s="204"/>
      <c r="B775" s="68"/>
      <c r="C775" s="656" t="s">
        <v>815</v>
      </c>
      <c r="D775" s="794"/>
      <c r="E775" s="795"/>
      <c r="F775" s="386">
        <v>7614</v>
      </c>
      <c r="G775" s="1168"/>
      <c r="H775" s="1169"/>
      <c r="I775" s="386">
        <v>7637</v>
      </c>
      <c r="J775" s="1168"/>
      <c r="K775" s="1178"/>
      <c r="L775" s="386">
        <v>7660</v>
      </c>
      <c r="M775" s="1168"/>
      <c r="N775" s="1169"/>
      <c r="O775" s="386">
        <v>7683</v>
      </c>
      <c r="P775" s="1170">
        <f>G775+J775+M775</f>
        <v>0</v>
      </c>
      <c r="Q775" s="1171"/>
      <c r="R775" s="66"/>
      <c r="S775" s="66"/>
      <c r="T775" s="66"/>
      <c r="U775" s="66"/>
    </row>
    <row r="776" spans="1:23" s="2" customFormat="1" ht="25.5" customHeight="1" x14ac:dyDescent="0.2">
      <c r="A776" s="1172" t="s">
        <v>816</v>
      </c>
      <c r="B776" s="957"/>
      <c r="C776" s="957"/>
      <c r="D776" s="958"/>
      <c r="E776" s="959"/>
      <c r="F776" s="386">
        <v>7615</v>
      </c>
      <c r="G776" s="1174">
        <f>SUM(G777:H779)</f>
        <v>0</v>
      </c>
      <c r="H776" s="1175"/>
      <c r="I776" s="386">
        <v>7638</v>
      </c>
      <c r="J776" s="1174">
        <f>SUM(J777:K779)</f>
        <v>0</v>
      </c>
      <c r="K776" s="1176"/>
      <c r="L776" s="386">
        <v>7661</v>
      </c>
      <c r="M776" s="1174">
        <f>SUM(M777:N779)</f>
        <v>0</v>
      </c>
      <c r="N776" s="1175"/>
      <c r="O776" s="386">
        <v>7684</v>
      </c>
      <c r="P776" s="1174">
        <f>SUM(P777:Q779)</f>
        <v>0</v>
      </c>
      <c r="Q776" s="1171"/>
      <c r="R776" s="66"/>
      <c r="S776" s="66"/>
      <c r="T776" s="66"/>
      <c r="U776" s="66"/>
    </row>
    <row r="777" spans="1:23" s="2" customFormat="1" ht="25.5" customHeight="1" x14ac:dyDescent="0.2">
      <c r="A777" s="204"/>
      <c r="B777" s="656" t="s">
        <v>817</v>
      </c>
      <c r="C777" s="656"/>
      <c r="D777" s="656"/>
      <c r="E777" s="795"/>
      <c r="F777" s="386">
        <v>7616</v>
      </c>
      <c r="G777" s="1168"/>
      <c r="H777" s="1169"/>
      <c r="I777" s="386">
        <v>7639</v>
      </c>
      <c r="J777" s="1168"/>
      <c r="K777" s="1178"/>
      <c r="L777" s="386">
        <v>7662</v>
      </c>
      <c r="M777" s="1168"/>
      <c r="N777" s="1169"/>
      <c r="O777" s="386">
        <v>7685</v>
      </c>
      <c r="P777" s="1170">
        <f>G777+J777+M777</f>
        <v>0</v>
      </c>
      <c r="Q777" s="1171"/>
      <c r="R777" s="66"/>
      <c r="S777" s="66"/>
      <c r="T777" s="66"/>
      <c r="U777" s="66"/>
    </row>
    <row r="778" spans="1:23" s="2" customFormat="1" ht="25.5" customHeight="1" x14ac:dyDescent="0.2">
      <c r="A778" s="204"/>
      <c r="B778" s="656" t="s">
        <v>818</v>
      </c>
      <c r="C778" s="656"/>
      <c r="D778" s="656"/>
      <c r="E778" s="795"/>
      <c r="F778" s="386">
        <v>7617</v>
      </c>
      <c r="G778" s="1168"/>
      <c r="H778" s="1169"/>
      <c r="I778" s="386">
        <v>7640</v>
      </c>
      <c r="J778" s="1168"/>
      <c r="K778" s="1178"/>
      <c r="L778" s="386">
        <v>7663</v>
      </c>
      <c r="M778" s="1168"/>
      <c r="N778" s="1169"/>
      <c r="O778" s="386">
        <v>7686</v>
      </c>
      <c r="P778" s="1170">
        <f>G778+J778+M778</f>
        <v>0</v>
      </c>
      <c r="Q778" s="1171"/>
      <c r="R778" s="66"/>
      <c r="S778" s="66"/>
      <c r="T778" s="66"/>
      <c r="U778" s="66"/>
    </row>
    <row r="779" spans="1:23" s="2" customFormat="1" ht="25.5" customHeight="1" x14ac:dyDescent="0.2">
      <c r="A779" s="204"/>
      <c r="B779" s="656" t="s">
        <v>819</v>
      </c>
      <c r="C779" s="656"/>
      <c r="D779" s="656"/>
      <c r="E779" s="795"/>
      <c r="F779" s="386">
        <v>7618</v>
      </c>
      <c r="G779" s="1168"/>
      <c r="H779" s="1169"/>
      <c r="I779" s="386">
        <v>7641</v>
      </c>
      <c r="J779" s="1168"/>
      <c r="K779" s="1178"/>
      <c r="L779" s="386">
        <v>7664</v>
      </c>
      <c r="M779" s="1168"/>
      <c r="N779" s="1169"/>
      <c r="O779" s="386">
        <v>7687</v>
      </c>
      <c r="P779" s="1170">
        <f>G779+J779+M779</f>
        <v>0</v>
      </c>
      <c r="Q779" s="1171"/>
      <c r="R779" s="66"/>
      <c r="S779" s="66"/>
      <c r="T779" s="66"/>
      <c r="U779" s="66"/>
    </row>
    <row r="780" spans="1:23" s="2" customFormat="1" ht="25.5" customHeight="1" x14ac:dyDescent="0.2">
      <c r="A780" s="1172" t="s">
        <v>820</v>
      </c>
      <c r="B780" s="1192"/>
      <c r="C780" s="1192"/>
      <c r="D780" s="1192"/>
      <c r="E780" s="1193"/>
      <c r="F780" s="386">
        <v>7619</v>
      </c>
      <c r="G780" s="1174">
        <f>SUM(G758+G776)</f>
        <v>0</v>
      </c>
      <c r="H780" s="1175"/>
      <c r="I780" s="386">
        <v>7642</v>
      </c>
      <c r="J780" s="1174">
        <f>SUM(J758+J776)</f>
        <v>0</v>
      </c>
      <c r="K780" s="1176"/>
      <c r="L780" s="386">
        <v>7665</v>
      </c>
      <c r="M780" s="1174">
        <f>SUM(M758+M776)</f>
        <v>0</v>
      </c>
      <c r="N780" s="1175"/>
      <c r="O780" s="386">
        <v>7688</v>
      </c>
      <c r="P780" s="1174">
        <f>P758+P776</f>
        <v>0</v>
      </c>
      <c r="Q780" s="1171"/>
      <c r="R780" s="615" t="str">
        <f>IF(P780=L752,"","Please review.  This must equal "&amp;TEXT(L752,"$0,000"))</f>
        <v/>
      </c>
      <c r="S780" s="616"/>
      <c r="T780" s="616"/>
      <c r="U780" s="616"/>
      <c r="V780" s="616"/>
    </row>
    <row r="781" spans="1:23" s="2" customFormat="1" ht="25.5" customHeight="1" x14ac:dyDescent="0.2">
      <c r="A781" s="1204" t="s">
        <v>821</v>
      </c>
      <c r="B781" s="1204"/>
      <c r="C781" s="193"/>
      <c r="D781" s="193"/>
      <c r="E781" s="192"/>
      <c r="F781" s="805" t="s">
        <v>1379</v>
      </c>
      <c r="G781" s="1206"/>
      <c r="H781" s="207"/>
      <c r="I781" s="199"/>
      <c r="J781" s="1205" t="s">
        <v>1289</v>
      </c>
      <c r="K781" s="1205"/>
      <c r="L781" s="206"/>
      <c r="M781" s="206"/>
      <c r="O781" s="885" t="s">
        <v>1290</v>
      </c>
      <c r="P781" s="877"/>
      <c r="Q781" s="877"/>
      <c r="R781" s="191"/>
      <c r="T781" s="194"/>
      <c r="U781" s="194"/>
      <c r="V781" s="194"/>
      <c r="W781" s="194"/>
    </row>
    <row r="782" spans="1:23" s="2" customFormat="1" ht="25.5" customHeight="1" x14ac:dyDescent="0.2">
      <c r="A782" s="1194" t="s">
        <v>822</v>
      </c>
      <c r="B782" s="1195"/>
      <c r="C782" s="1195"/>
      <c r="D782" s="1195"/>
      <c r="E782" s="1195"/>
      <c r="F782" s="1195"/>
      <c r="G782" s="1195"/>
      <c r="H782" s="1195"/>
      <c r="I782" s="1195"/>
      <c r="J782" s="1195"/>
      <c r="K782" s="1195"/>
      <c r="L782" s="1195"/>
      <c r="M782" s="1196"/>
      <c r="O782" s="208"/>
      <c r="P782" s="208"/>
      <c r="Q782" s="208"/>
      <c r="R782" s="209"/>
    </row>
    <row r="783" spans="1:23" s="2" customFormat="1" ht="25.5" customHeight="1" x14ac:dyDescent="0.2">
      <c r="A783" s="1197"/>
      <c r="B783" s="1198"/>
      <c r="C783" s="1198"/>
      <c r="D783" s="1198"/>
      <c r="E783" s="1198"/>
      <c r="F783" s="1198"/>
      <c r="G783" s="1198"/>
      <c r="H783" s="1198"/>
      <c r="I783" s="1198"/>
      <c r="J783" s="1198"/>
      <c r="K783" s="1198"/>
      <c r="L783" s="1198"/>
      <c r="M783" s="1199"/>
    </row>
    <row r="784" spans="1:23" s="2" customFormat="1" ht="25.5" customHeight="1" x14ac:dyDescent="0.2">
      <c r="A784" s="15" t="str">
        <f>$A$33</f>
        <v xml:space="preserve"> </v>
      </c>
    </row>
    <row r="785" spans="1:13" s="2" customFormat="1" ht="25.5" customHeight="1" x14ac:dyDescent="0.2">
      <c r="A785" s="1182" t="s">
        <v>823</v>
      </c>
      <c r="B785" s="1183"/>
      <c r="C785" s="1183"/>
      <c r="D785" s="1183"/>
      <c r="E785" s="1183"/>
      <c r="F785" s="1183"/>
      <c r="G785" s="1183"/>
      <c r="H785" s="1183"/>
      <c r="I785" s="1183"/>
      <c r="J785" s="1183"/>
      <c r="K785" s="1183"/>
      <c r="L785" s="1183"/>
      <c r="M785" s="1184"/>
    </row>
    <row r="786" spans="1:13" s="2" customFormat="1" ht="25.5" customHeight="1" x14ac:dyDescent="0.2">
      <c r="A786" s="798" t="s">
        <v>824</v>
      </c>
      <c r="B786" s="800"/>
      <c r="C786" s="798" t="s">
        <v>825</v>
      </c>
      <c r="D786" s="799"/>
      <c r="E786" s="799"/>
      <c r="F786" s="799"/>
      <c r="G786" s="799"/>
      <c r="H786" s="799"/>
      <c r="I786" s="799"/>
      <c r="J786" s="799"/>
      <c r="K786" s="800"/>
      <c r="L786" s="1185" t="s">
        <v>826</v>
      </c>
      <c r="M786" s="1186"/>
    </row>
    <row r="787" spans="1:13" s="2" customFormat="1" ht="25.5" customHeight="1" x14ac:dyDescent="0.2">
      <c r="A787" s="69" t="s">
        <v>827</v>
      </c>
      <c r="B787" s="69" t="s">
        <v>828</v>
      </c>
      <c r="C787" s="1189" t="s">
        <v>651</v>
      </c>
      <c r="D787" s="1190"/>
      <c r="E787" s="1190"/>
      <c r="F787" s="1190"/>
      <c r="G787" s="1190"/>
      <c r="H787" s="1190"/>
      <c r="I787" s="1190"/>
      <c r="J787" s="1190"/>
      <c r="K787" s="1191"/>
      <c r="L787" s="1187"/>
      <c r="M787" s="1188"/>
    </row>
    <row r="788" spans="1:13" s="2" customFormat="1" ht="25.5" customHeight="1" x14ac:dyDescent="0.2">
      <c r="A788" s="70"/>
      <c r="B788" s="71"/>
      <c r="C788" s="1179"/>
      <c r="D788" s="1180"/>
      <c r="E788" s="1180"/>
      <c r="F788" s="1180"/>
      <c r="G788" s="1180"/>
      <c r="H788" s="1180"/>
      <c r="I788" s="1180"/>
      <c r="J788" s="1180"/>
      <c r="K788" s="1181"/>
      <c r="L788" s="945"/>
      <c r="M788" s="946"/>
    </row>
    <row r="789" spans="1:13" s="2" customFormat="1" ht="25.5" customHeight="1" x14ac:dyDescent="0.2">
      <c r="A789" s="70"/>
      <c r="B789" s="71"/>
      <c r="C789" s="1179"/>
      <c r="D789" s="1180"/>
      <c r="E789" s="1180"/>
      <c r="F789" s="1180"/>
      <c r="G789" s="1180"/>
      <c r="H789" s="1180"/>
      <c r="I789" s="1180"/>
      <c r="J789" s="1180"/>
      <c r="K789" s="1181"/>
      <c r="L789" s="945"/>
      <c r="M789" s="946"/>
    </row>
    <row r="790" spans="1:13" s="2" customFormat="1" ht="25.5" customHeight="1" x14ac:dyDescent="0.2">
      <c r="A790" s="70"/>
      <c r="B790" s="71"/>
      <c r="C790" s="1179"/>
      <c r="D790" s="1180"/>
      <c r="E790" s="1180"/>
      <c r="F790" s="1180"/>
      <c r="G790" s="1180"/>
      <c r="H790" s="1180"/>
      <c r="I790" s="1180"/>
      <c r="J790" s="1180"/>
      <c r="K790" s="1181"/>
      <c r="L790" s="945"/>
      <c r="M790" s="946"/>
    </row>
    <row r="791" spans="1:13" s="2" customFormat="1" ht="25.5" customHeight="1" x14ac:dyDescent="0.2">
      <c r="A791" s="70"/>
      <c r="B791" s="71"/>
      <c r="C791" s="1179"/>
      <c r="D791" s="1180"/>
      <c r="E791" s="1180"/>
      <c r="F791" s="1180"/>
      <c r="G791" s="1180"/>
      <c r="H791" s="1180"/>
      <c r="I791" s="1180"/>
      <c r="J791" s="1180"/>
      <c r="K791" s="1181"/>
      <c r="L791" s="945"/>
      <c r="M791" s="946"/>
    </row>
    <row r="792" spans="1:13" s="2" customFormat="1" ht="25.5" customHeight="1" x14ac:dyDescent="0.2">
      <c r="A792" s="70"/>
      <c r="B792" s="71"/>
      <c r="C792" s="1179"/>
      <c r="D792" s="1180"/>
      <c r="E792" s="1180"/>
      <c r="F792" s="1180"/>
      <c r="G792" s="1180"/>
      <c r="H792" s="1180"/>
      <c r="I792" s="1180"/>
      <c r="J792" s="1180"/>
      <c r="K792" s="1181"/>
      <c r="L792" s="945"/>
      <c r="M792" s="946"/>
    </row>
    <row r="793" spans="1:13" s="2" customFormat="1" ht="25.5" customHeight="1" x14ac:dyDescent="0.2">
      <c r="A793" s="70"/>
      <c r="B793" s="71"/>
      <c r="C793" s="1179"/>
      <c r="D793" s="1180"/>
      <c r="E793" s="1180"/>
      <c r="F793" s="1180"/>
      <c r="G793" s="1180"/>
      <c r="H793" s="1180"/>
      <c r="I793" s="1180"/>
      <c r="J793" s="1180"/>
      <c r="K793" s="1181"/>
      <c r="L793" s="945"/>
      <c r="M793" s="946"/>
    </row>
    <row r="794" spans="1:13" s="2" customFormat="1" ht="25.5" customHeight="1" x14ac:dyDescent="0.2">
      <c r="A794" s="70"/>
      <c r="B794" s="71"/>
      <c r="C794" s="1179"/>
      <c r="D794" s="1180"/>
      <c r="E794" s="1180"/>
      <c r="F794" s="1180"/>
      <c r="G794" s="1180"/>
      <c r="H794" s="1180"/>
      <c r="I794" s="1180"/>
      <c r="J794" s="1180"/>
      <c r="K794" s="1181"/>
      <c r="L794" s="945"/>
      <c r="M794" s="946"/>
    </row>
    <row r="795" spans="1:13" s="2" customFormat="1" ht="25.5" customHeight="1" x14ac:dyDescent="0.2">
      <c r="A795" s="70"/>
      <c r="B795" s="71"/>
      <c r="C795" s="1179"/>
      <c r="D795" s="1180"/>
      <c r="E795" s="1180"/>
      <c r="F795" s="1180"/>
      <c r="G795" s="1180"/>
      <c r="H795" s="1180"/>
      <c r="I795" s="1180"/>
      <c r="J795" s="1180"/>
      <c r="K795" s="1181"/>
      <c r="L795" s="945"/>
      <c r="M795" s="946"/>
    </row>
    <row r="796" spans="1:13" s="2" customFormat="1" ht="25.5" customHeight="1" x14ac:dyDescent="0.2">
      <c r="A796" s="70"/>
      <c r="B796" s="71"/>
      <c r="C796" s="1179"/>
      <c r="D796" s="1180"/>
      <c r="E796" s="1180"/>
      <c r="F796" s="1180"/>
      <c r="G796" s="1180"/>
      <c r="H796" s="1180"/>
      <c r="I796" s="1180"/>
      <c r="J796" s="1180"/>
      <c r="K796" s="1181"/>
      <c r="L796" s="945"/>
      <c r="M796" s="946"/>
    </row>
    <row r="797" spans="1:13" s="2" customFormat="1" ht="25.5" customHeight="1" x14ac:dyDescent="0.2">
      <c r="A797" s="70"/>
      <c r="B797" s="71"/>
      <c r="C797" s="1179"/>
      <c r="D797" s="1180"/>
      <c r="E797" s="1180"/>
      <c r="F797" s="1180"/>
      <c r="G797" s="1180"/>
      <c r="H797" s="1180"/>
      <c r="I797" s="1180"/>
      <c r="J797" s="1180"/>
      <c r="K797" s="1181"/>
      <c r="L797" s="945"/>
      <c r="M797" s="946"/>
    </row>
    <row r="798" spans="1:13" s="2" customFormat="1" ht="25.5" customHeight="1" x14ac:dyDescent="0.2">
      <c r="A798" s="70"/>
      <c r="B798" s="71"/>
      <c r="C798" s="1179"/>
      <c r="D798" s="1180"/>
      <c r="E798" s="1180"/>
      <c r="F798" s="1180"/>
      <c r="G798" s="1180"/>
      <c r="H798" s="1180"/>
      <c r="I798" s="1180"/>
      <c r="J798" s="1180"/>
      <c r="K798" s="1181"/>
      <c r="L798" s="945"/>
      <c r="M798" s="946"/>
    </row>
    <row r="799" spans="1:13" s="2" customFormat="1" ht="25.5" customHeight="1" x14ac:dyDescent="0.2">
      <c r="A799" s="70"/>
      <c r="B799" s="71"/>
      <c r="C799" s="1179"/>
      <c r="D799" s="1180"/>
      <c r="E799" s="1180"/>
      <c r="F799" s="1180"/>
      <c r="G799" s="1180"/>
      <c r="H799" s="1180"/>
      <c r="I799" s="1180"/>
      <c r="J799" s="1180"/>
      <c r="K799" s="1181"/>
      <c r="L799" s="945"/>
      <c r="M799" s="946"/>
    </row>
    <row r="800" spans="1:13" s="2" customFormat="1" ht="25.5" customHeight="1" x14ac:dyDescent="0.2">
      <c r="A800" s="70"/>
      <c r="B800" s="71"/>
      <c r="C800" s="1179"/>
      <c r="D800" s="1180"/>
      <c r="E800" s="1180"/>
      <c r="F800" s="1180"/>
      <c r="G800" s="1180"/>
      <c r="H800" s="1180"/>
      <c r="I800" s="1180"/>
      <c r="J800" s="1180"/>
      <c r="K800" s="1181"/>
      <c r="L800" s="945"/>
      <c r="M800" s="946"/>
    </row>
    <row r="801" spans="1:13" s="2" customFormat="1" ht="25.5" customHeight="1" x14ac:dyDescent="0.2">
      <c r="A801" s="70"/>
      <c r="B801" s="71"/>
      <c r="C801" s="1179"/>
      <c r="D801" s="1180"/>
      <c r="E801" s="1180"/>
      <c r="F801" s="1180"/>
      <c r="G801" s="1180"/>
      <c r="H801" s="1180"/>
      <c r="I801" s="1180"/>
      <c r="J801" s="1180"/>
      <c r="K801" s="1181"/>
      <c r="L801" s="945"/>
      <c r="M801" s="946"/>
    </row>
    <row r="802" spans="1:13" s="2" customFormat="1" ht="25.5" customHeight="1" x14ac:dyDescent="0.2">
      <c r="A802" s="70"/>
      <c r="B802" s="71"/>
      <c r="C802" s="1179"/>
      <c r="D802" s="1180"/>
      <c r="E802" s="1180"/>
      <c r="F802" s="1180"/>
      <c r="G802" s="1180"/>
      <c r="H802" s="1180"/>
      <c r="I802" s="1180"/>
      <c r="J802" s="1180"/>
      <c r="K802" s="1181"/>
      <c r="L802" s="945"/>
      <c r="M802" s="946"/>
    </row>
    <row r="803" spans="1:13" s="2" customFormat="1" ht="25.5" customHeight="1" x14ac:dyDescent="0.2">
      <c r="A803" s="70"/>
      <c r="B803" s="71"/>
      <c r="C803" s="1179"/>
      <c r="D803" s="1180"/>
      <c r="E803" s="1180"/>
      <c r="F803" s="1180"/>
      <c r="G803" s="1180"/>
      <c r="H803" s="1180"/>
      <c r="I803" s="1180"/>
      <c r="J803" s="1180"/>
      <c r="K803" s="1181"/>
      <c r="L803" s="945"/>
      <c r="M803" s="946"/>
    </row>
    <row r="804" spans="1:13" s="2" customFormat="1" ht="25.5" customHeight="1" x14ac:dyDescent="0.2">
      <c r="A804" s="70"/>
      <c r="B804" s="71"/>
      <c r="C804" s="1179"/>
      <c r="D804" s="1180"/>
      <c r="E804" s="1180"/>
      <c r="F804" s="1180"/>
      <c r="G804" s="1180"/>
      <c r="H804" s="1180"/>
      <c r="I804" s="1180"/>
      <c r="J804" s="1180"/>
      <c r="K804" s="1181"/>
      <c r="L804" s="945"/>
      <c r="M804" s="946"/>
    </row>
    <row r="805" spans="1:13" s="2" customFormat="1" ht="25.5" customHeight="1" x14ac:dyDescent="0.2">
      <c r="A805" s="70"/>
      <c r="B805" s="71"/>
      <c r="C805" s="1179"/>
      <c r="D805" s="1180"/>
      <c r="E805" s="1180"/>
      <c r="F805" s="1180"/>
      <c r="G805" s="1180"/>
      <c r="H805" s="1180"/>
      <c r="I805" s="1180"/>
      <c r="J805" s="1180"/>
      <c r="K805" s="1181"/>
      <c r="L805" s="945"/>
      <c r="M805" s="946"/>
    </row>
    <row r="806" spans="1:13" s="2" customFormat="1" ht="25.5" customHeight="1" x14ac:dyDescent="0.2">
      <c r="A806" s="70"/>
      <c r="B806" s="71"/>
      <c r="C806" s="1179"/>
      <c r="D806" s="1180"/>
      <c r="E806" s="1180"/>
      <c r="F806" s="1180"/>
      <c r="G806" s="1180"/>
      <c r="H806" s="1180"/>
      <c r="I806" s="1180"/>
      <c r="J806" s="1180"/>
      <c r="K806" s="1181"/>
      <c r="L806" s="945"/>
      <c r="M806" s="946"/>
    </row>
    <row r="807" spans="1:13" s="2" customFormat="1" ht="25.5" customHeight="1" x14ac:dyDescent="0.2">
      <c r="A807" s="70"/>
      <c r="B807" s="71"/>
      <c r="C807" s="1179"/>
      <c r="D807" s="1180"/>
      <c r="E807" s="1180"/>
      <c r="F807" s="1180"/>
      <c r="G807" s="1180"/>
      <c r="H807" s="1180"/>
      <c r="I807" s="1180"/>
      <c r="J807" s="1180"/>
      <c r="K807" s="1181"/>
      <c r="L807" s="945"/>
      <c r="M807" s="946"/>
    </row>
    <row r="808" spans="1:13" s="2" customFormat="1" ht="25.5" customHeight="1" x14ac:dyDescent="0.2">
      <c r="A808" s="70"/>
      <c r="B808" s="71"/>
      <c r="C808" s="1179"/>
      <c r="D808" s="1180"/>
      <c r="E808" s="1180"/>
      <c r="F808" s="1180"/>
      <c r="G808" s="1180"/>
      <c r="H808" s="1180"/>
      <c r="I808" s="1180"/>
      <c r="J808" s="1180"/>
      <c r="K808" s="1181"/>
      <c r="L808" s="945"/>
      <c r="M808" s="946"/>
    </row>
    <row r="809" spans="1:13" s="2" customFormat="1" ht="25.5" customHeight="1" x14ac:dyDescent="0.2">
      <c r="A809" s="70"/>
      <c r="B809" s="71"/>
      <c r="C809" s="1179"/>
      <c r="D809" s="1180"/>
      <c r="E809" s="1180"/>
      <c r="F809" s="1180"/>
      <c r="G809" s="1180"/>
      <c r="H809" s="1180"/>
      <c r="I809" s="1180"/>
      <c r="J809" s="1180"/>
      <c r="K809" s="1181"/>
      <c r="L809" s="945"/>
      <c r="M809" s="946"/>
    </row>
    <row r="810" spans="1:13" s="2" customFormat="1" ht="25.5" customHeight="1" x14ac:dyDescent="0.2">
      <c r="A810" s="70"/>
      <c r="B810" s="71"/>
      <c r="C810" s="1179"/>
      <c r="D810" s="1180"/>
      <c r="E810" s="1180"/>
      <c r="F810" s="1180"/>
      <c r="G810" s="1180"/>
      <c r="H810" s="1180"/>
      <c r="I810" s="1180"/>
      <c r="J810" s="1180"/>
      <c r="K810" s="1181"/>
      <c r="L810" s="945"/>
      <c r="M810" s="946"/>
    </row>
    <row r="811" spans="1:13" s="2" customFormat="1" ht="25.5" customHeight="1" x14ac:dyDescent="0.2">
      <c r="A811" s="70"/>
      <c r="B811" s="71"/>
      <c r="C811" s="1179"/>
      <c r="D811" s="1180"/>
      <c r="E811" s="1180"/>
      <c r="F811" s="1180"/>
      <c r="G811" s="1180"/>
      <c r="H811" s="1180"/>
      <c r="I811" s="1180"/>
      <c r="J811" s="1180"/>
      <c r="K811" s="1181"/>
      <c r="L811" s="945"/>
      <c r="M811" s="946"/>
    </row>
    <row r="812" spans="1:13" s="2" customFormat="1" ht="25.5" customHeight="1" x14ac:dyDescent="0.2">
      <c r="A812" s="40"/>
    </row>
  </sheetData>
  <sheetProtection algorithmName="SHA-512" hashValue="rBehOAUHKAphSuFSGwvTf4q/L/fehsMZ0kp+SWZRpypDpfS9sAbqmO3Ij09pVIvJDY2MP8+nnxFTD+P44rDvAQ==" saltValue="wS46bLfeTRbNAukJ9vXGSA==" spinCount="100000" sheet="1" objects="1" scenarios="1"/>
  <mergeCells count="2001">
    <mergeCell ref="L98:M98"/>
    <mergeCell ref="L99:M99"/>
    <mergeCell ref="B98:K98"/>
    <mergeCell ref="B99:K99"/>
    <mergeCell ref="B223:I223"/>
    <mergeCell ref="J223:K223"/>
    <mergeCell ref="L221:M221"/>
    <mergeCell ref="L217:M218"/>
    <mergeCell ref="J207:K207"/>
    <mergeCell ref="B217:I217"/>
    <mergeCell ref="N370:R370"/>
    <mergeCell ref="B370:I370"/>
    <mergeCell ref="N98:R98"/>
    <mergeCell ref="B230:K230"/>
    <mergeCell ref="L230:M230"/>
    <mergeCell ref="B231:I231"/>
    <mergeCell ref="J231:K231"/>
    <mergeCell ref="B365:K365"/>
    <mergeCell ref="L365:M365"/>
    <mergeCell ref="N99:R99"/>
    <mergeCell ref="N227:R227"/>
    <mergeCell ref="N226:R226"/>
    <mergeCell ref="J218:K218"/>
    <mergeCell ref="B220:K220"/>
    <mergeCell ref="L231:M232"/>
    <mergeCell ref="L369:M372"/>
    <mergeCell ref="N368:R368"/>
    <mergeCell ref="B369:I369"/>
    <mergeCell ref="J369:K369"/>
    <mergeCell ref="N369:R369"/>
    <mergeCell ref="N358:R358"/>
    <mergeCell ref="A360:M360"/>
    <mergeCell ref="R603:V603"/>
    <mergeCell ref="I599:M599"/>
    <mergeCell ref="I600:M600"/>
    <mergeCell ref="M780:N780"/>
    <mergeCell ref="A781:B781"/>
    <mergeCell ref="J781:K781"/>
    <mergeCell ref="O781:Q781"/>
    <mergeCell ref="P780:Q780"/>
    <mergeCell ref="F781:G781"/>
    <mergeCell ref="N451:R451"/>
    <mergeCell ref="N109:R109"/>
    <mergeCell ref="N121:R121"/>
    <mergeCell ref="N398:R398"/>
    <mergeCell ref="N396:R396"/>
    <mergeCell ref="R265:R277"/>
    <mergeCell ref="N265:Q265"/>
    <mergeCell ref="N110:R110"/>
    <mergeCell ref="N416:R416"/>
    <mergeCell ref="N221:R221"/>
    <mergeCell ref="B503:K503"/>
    <mergeCell ref="B492:K492"/>
    <mergeCell ref="L492:M492"/>
    <mergeCell ref="B495:K495"/>
    <mergeCell ref="L495:M495"/>
    <mergeCell ref="J372:K372"/>
    <mergeCell ref="J493:K493"/>
    <mergeCell ref="B494:I494"/>
    <mergeCell ref="N191:R191"/>
    <mergeCell ref="N194:R194"/>
    <mergeCell ref="N199:R199"/>
    <mergeCell ref="N184:R184"/>
    <mergeCell ref="N222:R222"/>
    <mergeCell ref="N464:R464"/>
    <mergeCell ref="A463:K463"/>
    <mergeCell ref="N459:R460"/>
    <mergeCell ref="N461:R461"/>
    <mergeCell ref="N453:R453"/>
    <mergeCell ref="N454:R454"/>
    <mergeCell ref="N455:R455"/>
    <mergeCell ref="L464:M464"/>
    <mergeCell ref="N97:R97"/>
    <mergeCell ref="N233:R233"/>
    <mergeCell ref="N128:R128"/>
    <mergeCell ref="L811:M811"/>
    <mergeCell ref="L809:M809"/>
    <mergeCell ref="L808:M808"/>
    <mergeCell ref="L801:M801"/>
    <mergeCell ref="L803:M803"/>
    <mergeCell ref="L798:M798"/>
    <mergeCell ref="N266:Q273"/>
    <mergeCell ref="L799:M799"/>
    <mergeCell ref="L810:M810"/>
    <mergeCell ref="L806:M806"/>
    <mergeCell ref="L807:M807"/>
    <mergeCell ref="L800:M800"/>
    <mergeCell ref="L468:M468"/>
    <mergeCell ref="R780:V780"/>
    <mergeCell ref="L511:M512"/>
    <mergeCell ref="M774:N774"/>
    <mergeCell ref="N477:R477"/>
    <mergeCell ref="N463:R463"/>
    <mergeCell ref="P774:Q774"/>
    <mergeCell ref="J370:K370"/>
    <mergeCell ref="N435:R435"/>
    <mergeCell ref="L463:M463"/>
    <mergeCell ref="C791:K791"/>
    <mergeCell ref="C796:K796"/>
    <mergeCell ref="C797:K797"/>
    <mergeCell ref="C794:K794"/>
    <mergeCell ref="C795:K795"/>
    <mergeCell ref="C792:K792"/>
    <mergeCell ref="C793:K793"/>
    <mergeCell ref="C802:K802"/>
    <mergeCell ref="L802:M802"/>
    <mergeCell ref="C803:K803"/>
    <mergeCell ref="C811:K811"/>
    <mergeCell ref="C808:K808"/>
    <mergeCell ref="C809:K809"/>
    <mergeCell ref="C810:K810"/>
    <mergeCell ref="L804:M804"/>
    <mergeCell ref="C805:K805"/>
    <mergeCell ref="L805:M805"/>
    <mergeCell ref="C806:K806"/>
    <mergeCell ref="C807:K807"/>
    <mergeCell ref="C800:K800"/>
    <mergeCell ref="C801:K801"/>
    <mergeCell ref="C804:K804"/>
    <mergeCell ref="C798:K798"/>
    <mergeCell ref="C799:K799"/>
    <mergeCell ref="L797:M797"/>
    <mergeCell ref="L796:M796"/>
    <mergeCell ref="L795:M795"/>
    <mergeCell ref="L794:M794"/>
    <mergeCell ref="L466:M466"/>
    <mergeCell ref="L465:M465"/>
    <mergeCell ref="A603:G603"/>
    <mergeCell ref="B779:E779"/>
    <mergeCell ref="G779:H779"/>
    <mergeCell ref="J779:K779"/>
    <mergeCell ref="M779:N779"/>
    <mergeCell ref="P779:Q779"/>
    <mergeCell ref="B778:E778"/>
    <mergeCell ref="G778:H778"/>
    <mergeCell ref="M778:N778"/>
    <mergeCell ref="C789:K789"/>
    <mergeCell ref="A785:M785"/>
    <mergeCell ref="A786:B786"/>
    <mergeCell ref="C786:K786"/>
    <mergeCell ref="L786:M787"/>
    <mergeCell ref="C787:K787"/>
    <mergeCell ref="L788:M788"/>
    <mergeCell ref="C788:K788"/>
    <mergeCell ref="C790:K790"/>
    <mergeCell ref="A780:E780"/>
    <mergeCell ref="G780:H780"/>
    <mergeCell ref="J780:K780"/>
    <mergeCell ref="A782:M783"/>
    <mergeCell ref="C775:E775"/>
    <mergeCell ref="G775:H775"/>
    <mergeCell ref="J775:K775"/>
    <mergeCell ref="M775:N775"/>
    <mergeCell ref="P775:Q775"/>
    <mergeCell ref="C774:E774"/>
    <mergeCell ref="G774:H774"/>
    <mergeCell ref="J774:K774"/>
    <mergeCell ref="J778:K778"/>
    <mergeCell ref="J777:K777"/>
    <mergeCell ref="M777:N777"/>
    <mergeCell ref="P777:Q777"/>
    <mergeCell ref="A776:E776"/>
    <mergeCell ref="G776:H776"/>
    <mergeCell ref="J776:K776"/>
    <mergeCell ref="M776:N776"/>
    <mergeCell ref="B777:E777"/>
    <mergeCell ref="P776:Q776"/>
    <mergeCell ref="G777:H777"/>
    <mergeCell ref="P778:Q778"/>
    <mergeCell ref="B771:E771"/>
    <mergeCell ref="G771:H771"/>
    <mergeCell ref="J771:K771"/>
    <mergeCell ref="M771:N771"/>
    <mergeCell ref="P771:Q771"/>
    <mergeCell ref="B770:E770"/>
    <mergeCell ref="G770:H770"/>
    <mergeCell ref="J770:K770"/>
    <mergeCell ref="M770:N770"/>
    <mergeCell ref="P772:Q772"/>
    <mergeCell ref="C773:E773"/>
    <mergeCell ref="G773:H773"/>
    <mergeCell ref="J773:K773"/>
    <mergeCell ref="M773:N773"/>
    <mergeCell ref="P773:Q773"/>
    <mergeCell ref="C772:E772"/>
    <mergeCell ref="G772:H772"/>
    <mergeCell ref="J772:K772"/>
    <mergeCell ref="M772:N772"/>
    <mergeCell ref="P770:Q770"/>
    <mergeCell ref="P766:Q766"/>
    <mergeCell ref="B767:E767"/>
    <mergeCell ref="G767:H767"/>
    <mergeCell ref="J767:K767"/>
    <mergeCell ref="M767:N767"/>
    <mergeCell ref="P767:Q767"/>
    <mergeCell ref="B766:E766"/>
    <mergeCell ref="G766:H766"/>
    <mergeCell ref="J766:K766"/>
    <mergeCell ref="M766:N766"/>
    <mergeCell ref="P768:Q768"/>
    <mergeCell ref="B769:E769"/>
    <mergeCell ref="G769:H769"/>
    <mergeCell ref="J769:K769"/>
    <mergeCell ref="M769:N769"/>
    <mergeCell ref="P769:Q769"/>
    <mergeCell ref="B768:E768"/>
    <mergeCell ref="G768:H768"/>
    <mergeCell ref="J768:K768"/>
    <mergeCell ref="M768:N768"/>
    <mergeCell ref="P762:Q762"/>
    <mergeCell ref="B763:E763"/>
    <mergeCell ref="G763:H763"/>
    <mergeCell ref="J763:K763"/>
    <mergeCell ref="M763:N763"/>
    <mergeCell ref="P763:Q763"/>
    <mergeCell ref="B762:E762"/>
    <mergeCell ref="G762:H762"/>
    <mergeCell ref="J762:K762"/>
    <mergeCell ref="M762:N762"/>
    <mergeCell ref="P764:Q764"/>
    <mergeCell ref="B765:E765"/>
    <mergeCell ref="G765:H765"/>
    <mergeCell ref="J765:K765"/>
    <mergeCell ref="M765:N765"/>
    <mergeCell ref="P765:Q765"/>
    <mergeCell ref="B764:E764"/>
    <mergeCell ref="G764:H764"/>
    <mergeCell ref="J764:K764"/>
    <mergeCell ref="M764:N764"/>
    <mergeCell ref="M760:N760"/>
    <mergeCell ref="P759:Q759"/>
    <mergeCell ref="A758:E758"/>
    <mergeCell ref="G758:H758"/>
    <mergeCell ref="J758:K758"/>
    <mergeCell ref="M758:N758"/>
    <mergeCell ref="P758:Q758"/>
    <mergeCell ref="B759:E759"/>
    <mergeCell ref="G759:H759"/>
    <mergeCell ref="J759:K759"/>
    <mergeCell ref="M759:N759"/>
    <mergeCell ref="P760:Q760"/>
    <mergeCell ref="B761:E761"/>
    <mergeCell ref="G761:H761"/>
    <mergeCell ref="J761:K761"/>
    <mergeCell ref="M761:N761"/>
    <mergeCell ref="P761:Q761"/>
    <mergeCell ref="B760:E760"/>
    <mergeCell ref="G760:H760"/>
    <mergeCell ref="J760:K760"/>
    <mergeCell ref="N750:R750"/>
    <mergeCell ref="B751:K751"/>
    <mergeCell ref="L751:M751"/>
    <mergeCell ref="B752:K752"/>
    <mergeCell ref="A747:M747"/>
    <mergeCell ref="A748:K748"/>
    <mergeCell ref="L748:M748"/>
    <mergeCell ref="A749:A750"/>
    <mergeCell ref="B749:K750"/>
    <mergeCell ref="L752:M752"/>
    <mergeCell ref="A753:M753"/>
    <mergeCell ref="P757:Q757"/>
    <mergeCell ref="A754:Q755"/>
    <mergeCell ref="A756:O756"/>
    <mergeCell ref="P756:Q756"/>
    <mergeCell ref="N751:R752"/>
    <mergeCell ref="R756:V756"/>
    <mergeCell ref="G757:H757"/>
    <mergeCell ref="J757:K757"/>
    <mergeCell ref="M757:N757"/>
    <mergeCell ref="N748:R749"/>
    <mergeCell ref="N753:V753"/>
    <mergeCell ref="G598:H598"/>
    <mergeCell ref="B599:E599"/>
    <mergeCell ref="G599:H599"/>
    <mergeCell ref="A597:K597"/>
    <mergeCell ref="L597:M597"/>
    <mergeCell ref="N597:R597"/>
    <mergeCell ref="G594:H594"/>
    <mergeCell ref="A596:M596"/>
    <mergeCell ref="J615:K615"/>
    <mergeCell ref="F635:H635"/>
    <mergeCell ref="B626:E626"/>
    <mergeCell ref="F626:K626"/>
    <mergeCell ref="A623:E623"/>
    <mergeCell ref="G623:H623"/>
    <mergeCell ref="I623:Q625"/>
    <mergeCell ref="O635:Q635"/>
    <mergeCell ref="A630:E630"/>
    <mergeCell ref="G630:H630"/>
    <mergeCell ref="B600:E600"/>
    <mergeCell ref="G600:H600"/>
    <mergeCell ref="B598:E598"/>
    <mergeCell ref="I630:Q630"/>
    <mergeCell ref="L634:N634"/>
    <mergeCell ref="O634:Q634"/>
    <mergeCell ref="A628:E628"/>
    <mergeCell ref="G628:H628"/>
    <mergeCell ref="O629:Q629"/>
    <mergeCell ref="M629:N629"/>
    <mergeCell ref="L614:Q616"/>
    <mergeCell ref="G621:H621"/>
    <mergeCell ref="A608:E608"/>
    <mergeCell ref="G608:H608"/>
    <mergeCell ref="P593:Q593"/>
    <mergeCell ref="J593:K593"/>
    <mergeCell ref="M593:N593"/>
    <mergeCell ref="B593:E593"/>
    <mergeCell ref="G593:H593"/>
    <mergeCell ref="P594:Q594"/>
    <mergeCell ref="B594:E594"/>
    <mergeCell ref="J594:K594"/>
    <mergeCell ref="M594:N594"/>
    <mergeCell ref="P588:Q588"/>
    <mergeCell ref="P591:Q591"/>
    <mergeCell ref="B592:E592"/>
    <mergeCell ref="G592:H592"/>
    <mergeCell ref="B589:E589"/>
    <mergeCell ref="G589:H589"/>
    <mergeCell ref="M589:N589"/>
    <mergeCell ref="B591:E591"/>
    <mergeCell ref="G591:H591"/>
    <mergeCell ref="M591:N591"/>
    <mergeCell ref="B588:E588"/>
    <mergeCell ref="G588:H588"/>
    <mergeCell ref="M588:N588"/>
    <mergeCell ref="P589:Q589"/>
    <mergeCell ref="B590:E590"/>
    <mergeCell ref="G590:H590"/>
    <mergeCell ref="M590:N590"/>
    <mergeCell ref="M592:N592"/>
    <mergeCell ref="P592:Q592"/>
    <mergeCell ref="R583:V583"/>
    <mergeCell ref="O584:Q584"/>
    <mergeCell ref="B585:E585"/>
    <mergeCell ref="G585:H585"/>
    <mergeCell ref="J585:K585"/>
    <mergeCell ref="M585:N585"/>
    <mergeCell ref="P585:Q585"/>
    <mergeCell ref="B584:E584"/>
    <mergeCell ref="F584:H584"/>
    <mergeCell ref="I584:K584"/>
    <mergeCell ref="L584:N584"/>
    <mergeCell ref="P586:Q586"/>
    <mergeCell ref="B587:E587"/>
    <mergeCell ref="G587:H587"/>
    <mergeCell ref="M587:N587"/>
    <mergeCell ref="P587:Q587"/>
    <mergeCell ref="B586:E586"/>
    <mergeCell ref="G586:H586"/>
    <mergeCell ref="J586:K586"/>
    <mergeCell ref="M586:N586"/>
    <mergeCell ref="A576:E576"/>
    <mergeCell ref="F576:I576"/>
    <mergeCell ref="J576:M576"/>
    <mergeCell ref="A577:E577"/>
    <mergeCell ref="F577:I577"/>
    <mergeCell ref="J577:M577"/>
    <mergeCell ref="A583:O583"/>
    <mergeCell ref="P583:Q583"/>
    <mergeCell ref="A578:E578"/>
    <mergeCell ref="F578:I578"/>
    <mergeCell ref="J578:M578"/>
    <mergeCell ref="A579:E579"/>
    <mergeCell ref="F579:I579"/>
    <mergeCell ref="J579:M579"/>
    <mergeCell ref="A580:E580"/>
    <mergeCell ref="F580:I580"/>
    <mergeCell ref="J580:M580"/>
    <mergeCell ref="A582:Q582"/>
    <mergeCell ref="B568:K568"/>
    <mergeCell ref="L568:M568"/>
    <mergeCell ref="N562:R562"/>
    <mergeCell ref="B563:K563"/>
    <mergeCell ref="L563:M563"/>
    <mergeCell ref="B564:K564"/>
    <mergeCell ref="L564:M564"/>
    <mergeCell ref="B565:K565"/>
    <mergeCell ref="L565:M565"/>
    <mergeCell ref="A562:K562"/>
    <mergeCell ref="B566:K566"/>
    <mergeCell ref="L566:M566"/>
    <mergeCell ref="B567:K567"/>
    <mergeCell ref="L567:M567"/>
    <mergeCell ref="A575:K575"/>
    <mergeCell ref="L575:M575"/>
    <mergeCell ref="A573:M574"/>
    <mergeCell ref="L562:M562"/>
    <mergeCell ref="N575:R575"/>
    <mergeCell ref="A570:K570"/>
    <mergeCell ref="L570:M570"/>
    <mergeCell ref="N570:R570"/>
    <mergeCell ref="B571:K571"/>
    <mergeCell ref="L571:M571"/>
    <mergeCell ref="N571:R571"/>
    <mergeCell ref="B572:K572"/>
    <mergeCell ref="L572:M572"/>
    <mergeCell ref="N572:R572"/>
    <mergeCell ref="B560:K560"/>
    <mergeCell ref="L560:M560"/>
    <mergeCell ref="B561:K561"/>
    <mergeCell ref="B556:K556"/>
    <mergeCell ref="L556:M556"/>
    <mergeCell ref="N551:R551"/>
    <mergeCell ref="B552:K552"/>
    <mergeCell ref="L552:M552"/>
    <mergeCell ref="A553:K553"/>
    <mergeCell ref="L553:M553"/>
    <mergeCell ref="B557:K557"/>
    <mergeCell ref="L557:M557"/>
    <mergeCell ref="B558:K558"/>
    <mergeCell ref="L558:M558"/>
    <mergeCell ref="B559:K559"/>
    <mergeCell ref="L559:M559"/>
    <mergeCell ref="L561:M561"/>
    <mergeCell ref="A527:K527"/>
    <mergeCell ref="L541:M541"/>
    <mergeCell ref="A538:K538"/>
    <mergeCell ref="L538:M538"/>
    <mergeCell ref="L545:M545"/>
    <mergeCell ref="B546:K546"/>
    <mergeCell ref="L546:M546"/>
    <mergeCell ref="B547:K547"/>
    <mergeCell ref="N543:R543"/>
    <mergeCell ref="B544:K544"/>
    <mergeCell ref="L544:M544"/>
    <mergeCell ref="N555:R555"/>
    <mergeCell ref="L554:M554"/>
    <mergeCell ref="A555:K555"/>
    <mergeCell ref="L555:M555"/>
    <mergeCell ref="B542:K542"/>
    <mergeCell ref="L542:M542"/>
    <mergeCell ref="A543:K543"/>
    <mergeCell ref="L543:M543"/>
    <mergeCell ref="L551:M551"/>
    <mergeCell ref="B545:K545"/>
    <mergeCell ref="N553:R553"/>
    <mergeCell ref="A551:K551"/>
    <mergeCell ref="B554:K554"/>
    <mergeCell ref="L547:M547"/>
    <mergeCell ref="B548:K548"/>
    <mergeCell ref="L548:M548"/>
    <mergeCell ref="B549:K549"/>
    <mergeCell ref="L549:M549"/>
    <mergeCell ref="L527:M527"/>
    <mergeCell ref="L516:M516"/>
    <mergeCell ref="B514:I514"/>
    <mergeCell ref="L514:M515"/>
    <mergeCell ref="B524:K524"/>
    <mergeCell ref="N521:R521"/>
    <mergeCell ref="N510:R510"/>
    <mergeCell ref="N513:R513"/>
    <mergeCell ref="N516:R516"/>
    <mergeCell ref="B537:K537"/>
    <mergeCell ref="L537:M537"/>
    <mergeCell ref="N534:R534"/>
    <mergeCell ref="B535:K535"/>
    <mergeCell ref="L535:M535"/>
    <mergeCell ref="A531:M531"/>
    <mergeCell ref="A532:K532"/>
    <mergeCell ref="L532:M532"/>
    <mergeCell ref="N532:R532"/>
    <mergeCell ref="B533:K533"/>
    <mergeCell ref="L533:M533"/>
    <mergeCell ref="A534:K534"/>
    <mergeCell ref="L534:M534"/>
    <mergeCell ref="B536:K536"/>
    <mergeCell ref="L536:M536"/>
    <mergeCell ref="N535:R536"/>
    <mergeCell ref="B519:K519"/>
    <mergeCell ref="L519:M519"/>
    <mergeCell ref="B520:K520"/>
    <mergeCell ref="L520:M520"/>
    <mergeCell ref="A525:K525"/>
    <mergeCell ref="L525:M525"/>
    <mergeCell ref="B521:K521"/>
    <mergeCell ref="L521:M521"/>
    <mergeCell ref="N495:R495"/>
    <mergeCell ref="A508:M508"/>
    <mergeCell ref="A509:K509"/>
    <mergeCell ref="B498:K498"/>
    <mergeCell ref="B506:K506"/>
    <mergeCell ref="N511:R512"/>
    <mergeCell ref="N514:R515"/>
    <mergeCell ref="N517:R518"/>
    <mergeCell ref="J497:K497"/>
    <mergeCell ref="L517:M518"/>
    <mergeCell ref="B501:K501"/>
    <mergeCell ref="L501:M501"/>
    <mergeCell ref="L513:M513"/>
    <mergeCell ref="L506:M506"/>
    <mergeCell ref="J515:K515"/>
    <mergeCell ref="J514:K514"/>
    <mergeCell ref="B516:K516"/>
    <mergeCell ref="N500:R500"/>
    <mergeCell ref="N509:R509"/>
    <mergeCell ref="B511:I511"/>
    <mergeCell ref="J511:K511"/>
    <mergeCell ref="B510:K510"/>
    <mergeCell ref="L509:M509"/>
    <mergeCell ref="B513:K513"/>
    <mergeCell ref="L510:M510"/>
    <mergeCell ref="B515:I515"/>
    <mergeCell ref="J518:K518"/>
    <mergeCell ref="B517:I517"/>
    <mergeCell ref="B518:I518"/>
    <mergeCell ref="B512:I512"/>
    <mergeCell ref="J512:K512"/>
    <mergeCell ref="J517:K517"/>
    <mergeCell ref="B479:K479"/>
    <mergeCell ref="B483:K483"/>
    <mergeCell ref="L481:M481"/>
    <mergeCell ref="L488:M488"/>
    <mergeCell ref="L469:M469"/>
    <mergeCell ref="L470:M470"/>
    <mergeCell ref="N488:R488"/>
    <mergeCell ref="A487:M487"/>
    <mergeCell ref="A488:K488"/>
    <mergeCell ref="B484:K484"/>
    <mergeCell ref="B480:K480"/>
    <mergeCell ref="A477:K477"/>
    <mergeCell ref="N492:R492"/>
    <mergeCell ref="N489:R489"/>
    <mergeCell ref="N478:R478"/>
    <mergeCell ref="J494:K494"/>
    <mergeCell ref="B493:I493"/>
    <mergeCell ref="L523:M523"/>
    <mergeCell ref="L524:M524"/>
    <mergeCell ref="B523:K523"/>
    <mergeCell ref="J614:K614"/>
    <mergeCell ref="B616:E616"/>
    <mergeCell ref="J616:K616"/>
    <mergeCell ref="B609:E609"/>
    <mergeCell ref="F609:K609"/>
    <mergeCell ref="B467:K467"/>
    <mergeCell ref="L478:M478"/>
    <mergeCell ref="L473:M473"/>
    <mergeCell ref="L503:M503"/>
    <mergeCell ref="B502:K502"/>
    <mergeCell ref="B500:K500"/>
    <mergeCell ref="A504:K504"/>
    <mergeCell ref="L504:M504"/>
    <mergeCell ref="B505:K505"/>
    <mergeCell ref="L505:M505"/>
    <mergeCell ref="L500:M500"/>
    <mergeCell ref="L493:M494"/>
    <mergeCell ref="B499:K499"/>
    <mergeCell ref="L499:M499"/>
    <mergeCell ref="B490:I490"/>
    <mergeCell ref="J490:K490"/>
    <mergeCell ref="A602:Q602"/>
    <mergeCell ref="P603:Q603"/>
    <mergeCell ref="B489:K489"/>
    <mergeCell ref="B491:I491"/>
    <mergeCell ref="J491:K491"/>
    <mergeCell ref="L490:M491"/>
    <mergeCell ref="L498:M498"/>
    <mergeCell ref="L467:M467"/>
    <mergeCell ref="B637:E637"/>
    <mergeCell ref="O617:Q619"/>
    <mergeCell ref="B618:E618"/>
    <mergeCell ref="M618:N618"/>
    <mergeCell ref="B619:E619"/>
    <mergeCell ref="M619:N619"/>
    <mergeCell ref="B622:E622"/>
    <mergeCell ref="F622:K622"/>
    <mergeCell ref="M622:N622"/>
    <mergeCell ref="O622:Q622"/>
    <mergeCell ref="A620:E620"/>
    <mergeCell ref="G620:H620"/>
    <mergeCell ref="I620:Q621"/>
    <mergeCell ref="A621:E621"/>
    <mergeCell ref="O605:Q605"/>
    <mergeCell ref="B522:K522"/>
    <mergeCell ref="L522:M522"/>
    <mergeCell ref="B526:K526"/>
    <mergeCell ref="L526:M526"/>
    <mergeCell ref="N527:R527"/>
    <mergeCell ref="B528:K528"/>
    <mergeCell ref="L528:M528"/>
    <mergeCell ref="N528:R528"/>
    <mergeCell ref="B529:K529"/>
    <mergeCell ref="L529:M529"/>
    <mergeCell ref="N529:R529"/>
    <mergeCell ref="N538:R538"/>
    <mergeCell ref="B539:K539"/>
    <mergeCell ref="L539:M539"/>
    <mergeCell ref="B540:K540"/>
    <mergeCell ref="L540:M540"/>
    <mergeCell ref="B541:K541"/>
    <mergeCell ref="B459:K459"/>
    <mergeCell ref="G612:H612"/>
    <mergeCell ref="A613:E613"/>
    <mergeCell ref="G613:H613"/>
    <mergeCell ref="B614:E614"/>
    <mergeCell ref="F614:H616"/>
    <mergeCell ref="G606:H606"/>
    <mergeCell ref="A607:E607"/>
    <mergeCell ref="G607:H607"/>
    <mergeCell ref="A624:E624"/>
    <mergeCell ref="G624:H624"/>
    <mergeCell ref="A625:E625"/>
    <mergeCell ref="G625:H625"/>
    <mergeCell ref="O637:Q637"/>
    <mergeCell ref="O638:Q638"/>
    <mergeCell ref="B638:E638"/>
    <mergeCell ref="G638:H638"/>
    <mergeCell ref="J638:K638"/>
    <mergeCell ref="O631:Q631"/>
    <mergeCell ref="A633:Q633"/>
    <mergeCell ref="A634:E634"/>
    <mergeCell ref="F634:H634"/>
    <mergeCell ref="I634:K634"/>
    <mergeCell ref="I635:K635"/>
    <mergeCell ref="B631:E631"/>
    <mergeCell ref="F631:K631"/>
    <mergeCell ref="B629:E629"/>
    <mergeCell ref="F629:K629"/>
    <mergeCell ref="A636:Q636"/>
    <mergeCell ref="B617:E617"/>
    <mergeCell ref="F617:K619"/>
    <mergeCell ref="M617:N617"/>
    <mergeCell ref="L451:M451"/>
    <mergeCell ref="G637:H637"/>
    <mergeCell ref="J637:K637"/>
    <mergeCell ref="L637:N638"/>
    <mergeCell ref="M626:N626"/>
    <mergeCell ref="O626:Q626"/>
    <mergeCell ref="A627:E627"/>
    <mergeCell ref="G627:H627"/>
    <mergeCell ref="I627:Q628"/>
    <mergeCell ref="L454:M454"/>
    <mergeCell ref="B456:K456"/>
    <mergeCell ref="L456:M456"/>
    <mergeCell ref="A453:K453"/>
    <mergeCell ref="L453:M453"/>
    <mergeCell ref="B455:K455"/>
    <mergeCell ref="L455:M455"/>
    <mergeCell ref="B454:K454"/>
    <mergeCell ref="B457:K457"/>
    <mergeCell ref="L457:M457"/>
    <mergeCell ref="A606:E606"/>
    <mergeCell ref="M609:N609"/>
    <mergeCell ref="O609:Q609"/>
    <mergeCell ref="A610:E610"/>
    <mergeCell ref="G610:H610"/>
    <mergeCell ref="I610:Q613"/>
    <mergeCell ref="A611:E611"/>
    <mergeCell ref="G611:H611"/>
    <mergeCell ref="A612:E612"/>
    <mergeCell ref="J496:K496"/>
    <mergeCell ref="B496:I496"/>
    <mergeCell ref="B497:I497"/>
    <mergeCell ref="L502:M502"/>
    <mergeCell ref="N436:R436"/>
    <mergeCell ref="A432:D432"/>
    <mergeCell ref="F432:G432"/>
    <mergeCell ref="I432:J432"/>
    <mergeCell ref="A430:D430"/>
    <mergeCell ref="F430:G430"/>
    <mergeCell ref="I430:J430"/>
    <mergeCell ref="L459:M459"/>
    <mergeCell ref="B461:K461"/>
    <mergeCell ref="L461:M461"/>
    <mergeCell ref="L447:M447"/>
    <mergeCell ref="A438:M438"/>
    <mergeCell ref="A439:K439"/>
    <mergeCell ref="L439:M439"/>
    <mergeCell ref="I433:J433"/>
    <mergeCell ref="L436:M436"/>
    <mergeCell ref="A433:D433"/>
    <mergeCell ref="B440:K440"/>
    <mergeCell ref="L435:M435"/>
    <mergeCell ref="B441:K441"/>
    <mergeCell ref="L441:M441"/>
    <mergeCell ref="A444:K444"/>
    <mergeCell ref="L444:M444"/>
    <mergeCell ref="A435:K435"/>
    <mergeCell ref="A443:M443"/>
    <mergeCell ref="B436:K436"/>
    <mergeCell ref="B445:K445"/>
    <mergeCell ref="L445:M445"/>
    <mergeCell ref="L440:M440"/>
    <mergeCell ref="B449:K449"/>
    <mergeCell ref="A448:K448"/>
    <mergeCell ref="B451:K451"/>
    <mergeCell ref="N447:R447"/>
    <mergeCell ref="N440:R441"/>
    <mergeCell ref="A423:D423"/>
    <mergeCell ref="F423:G423"/>
    <mergeCell ref="I423:J423"/>
    <mergeCell ref="A424:D424"/>
    <mergeCell ref="F424:G424"/>
    <mergeCell ref="I424:J424"/>
    <mergeCell ref="A425:D425"/>
    <mergeCell ref="F425:G425"/>
    <mergeCell ref="I425:J425"/>
    <mergeCell ref="A426:D426"/>
    <mergeCell ref="F426:G426"/>
    <mergeCell ref="I426:J426"/>
    <mergeCell ref="A421:D421"/>
    <mergeCell ref="N449:R449"/>
    <mergeCell ref="B450:K450"/>
    <mergeCell ref="N450:R450"/>
    <mergeCell ref="A447:K447"/>
    <mergeCell ref="A427:D427"/>
    <mergeCell ref="F427:G427"/>
    <mergeCell ref="I427:J427"/>
    <mergeCell ref="F433:G433"/>
    <mergeCell ref="A428:D428"/>
    <mergeCell ref="F428:G428"/>
    <mergeCell ref="I428:J428"/>
    <mergeCell ref="A429:D429"/>
    <mergeCell ref="F429:G429"/>
    <mergeCell ref="I429:J429"/>
    <mergeCell ref="A431:D431"/>
    <mergeCell ref="F431:G431"/>
    <mergeCell ref="I431:J431"/>
    <mergeCell ref="A419:D419"/>
    <mergeCell ref="F419:G419"/>
    <mergeCell ref="I419:J419"/>
    <mergeCell ref="A413:D413"/>
    <mergeCell ref="F413:G413"/>
    <mergeCell ref="I413:J413"/>
    <mergeCell ref="A418:D418"/>
    <mergeCell ref="F418:G418"/>
    <mergeCell ref="I418:J418"/>
    <mergeCell ref="A420:D420"/>
    <mergeCell ref="F420:G420"/>
    <mergeCell ref="I420:J420"/>
    <mergeCell ref="F421:G421"/>
    <mergeCell ref="I421:J421"/>
    <mergeCell ref="A422:D422"/>
    <mergeCell ref="F422:G422"/>
    <mergeCell ref="I422:J422"/>
    <mergeCell ref="A412:D412"/>
    <mergeCell ref="F412:G412"/>
    <mergeCell ref="I412:J412"/>
    <mergeCell ref="L412:M412"/>
    <mergeCell ref="A411:D411"/>
    <mergeCell ref="F411:G411"/>
    <mergeCell ref="I411:J411"/>
    <mergeCell ref="L411:M411"/>
    <mergeCell ref="L413:M413"/>
    <mergeCell ref="A410:D410"/>
    <mergeCell ref="F410:G410"/>
    <mergeCell ref="I410:J410"/>
    <mergeCell ref="L410:M410"/>
    <mergeCell ref="A415:M415"/>
    <mergeCell ref="A416:D417"/>
    <mergeCell ref="F416:G417"/>
    <mergeCell ref="I416:J417"/>
    <mergeCell ref="L416:M416"/>
    <mergeCell ref="L417:M417"/>
    <mergeCell ref="A405:D405"/>
    <mergeCell ref="F405:G405"/>
    <mergeCell ref="I405:J405"/>
    <mergeCell ref="L405:M405"/>
    <mergeCell ref="A404:D404"/>
    <mergeCell ref="F404:G404"/>
    <mergeCell ref="I404:J404"/>
    <mergeCell ref="L404:M404"/>
    <mergeCell ref="A407:D407"/>
    <mergeCell ref="F407:G407"/>
    <mergeCell ref="I407:J407"/>
    <mergeCell ref="L407:M407"/>
    <mergeCell ref="A406:D406"/>
    <mergeCell ref="F406:G406"/>
    <mergeCell ref="I406:J406"/>
    <mergeCell ref="L406:M406"/>
    <mergeCell ref="A409:D409"/>
    <mergeCell ref="F409:G409"/>
    <mergeCell ref="I409:J409"/>
    <mergeCell ref="L409:M409"/>
    <mergeCell ref="A408:D408"/>
    <mergeCell ref="F408:G408"/>
    <mergeCell ref="I408:J408"/>
    <mergeCell ref="L408:M408"/>
    <mergeCell ref="A399:D399"/>
    <mergeCell ref="F399:G399"/>
    <mergeCell ref="I399:J399"/>
    <mergeCell ref="L399:M399"/>
    <mergeCell ref="A398:D398"/>
    <mergeCell ref="F398:G398"/>
    <mergeCell ref="I398:J398"/>
    <mergeCell ref="L398:M398"/>
    <mergeCell ref="A401:D401"/>
    <mergeCell ref="F401:G401"/>
    <mergeCell ref="I401:J401"/>
    <mergeCell ref="L401:M401"/>
    <mergeCell ref="A400:D400"/>
    <mergeCell ref="F400:G400"/>
    <mergeCell ref="I400:J400"/>
    <mergeCell ref="L400:M400"/>
    <mergeCell ref="A403:D403"/>
    <mergeCell ref="F403:G403"/>
    <mergeCell ref="I403:J403"/>
    <mergeCell ref="L403:M403"/>
    <mergeCell ref="A402:D402"/>
    <mergeCell ref="F402:G402"/>
    <mergeCell ref="I402:J402"/>
    <mergeCell ref="L402:M402"/>
    <mergeCell ref="A393:D393"/>
    <mergeCell ref="F393:G393"/>
    <mergeCell ref="I393:J393"/>
    <mergeCell ref="L393:M393"/>
    <mergeCell ref="A392:D392"/>
    <mergeCell ref="F392:G392"/>
    <mergeCell ref="I392:J392"/>
    <mergeCell ref="L392:M392"/>
    <mergeCell ref="A390:D390"/>
    <mergeCell ref="F390:G390"/>
    <mergeCell ref="I390:J390"/>
    <mergeCell ref="L390:M390"/>
    <mergeCell ref="A395:M395"/>
    <mergeCell ref="A396:D397"/>
    <mergeCell ref="F396:G397"/>
    <mergeCell ref="I396:J397"/>
    <mergeCell ref="L396:M396"/>
    <mergeCell ref="L397:M397"/>
    <mergeCell ref="A386:D386"/>
    <mergeCell ref="F386:G386"/>
    <mergeCell ref="I386:J386"/>
    <mergeCell ref="L386:M386"/>
    <mergeCell ref="A385:D385"/>
    <mergeCell ref="F385:G385"/>
    <mergeCell ref="I385:J385"/>
    <mergeCell ref="L385:M385"/>
    <mergeCell ref="A388:D388"/>
    <mergeCell ref="F388:G388"/>
    <mergeCell ref="I388:J388"/>
    <mergeCell ref="L388:M388"/>
    <mergeCell ref="A387:D387"/>
    <mergeCell ref="F387:G387"/>
    <mergeCell ref="I387:J387"/>
    <mergeCell ref="L387:M387"/>
    <mergeCell ref="A391:D391"/>
    <mergeCell ref="F391:G391"/>
    <mergeCell ref="I391:J391"/>
    <mergeCell ref="L391:M391"/>
    <mergeCell ref="A389:D389"/>
    <mergeCell ref="F389:G389"/>
    <mergeCell ref="I389:J389"/>
    <mergeCell ref="L389:M389"/>
    <mergeCell ref="N378:R378"/>
    <mergeCell ref="A376:D377"/>
    <mergeCell ref="F376:G377"/>
    <mergeCell ref="I376:J377"/>
    <mergeCell ref="L377:M377"/>
    <mergeCell ref="A378:D378"/>
    <mergeCell ref="F378:G378"/>
    <mergeCell ref="I378:J378"/>
    <mergeCell ref="L378:M378"/>
    <mergeCell ref="L376:M376"/>
    <mergeCell ref="L381:M381"/>
    <mergeCell ref="A384:D384"/>
    <mergeCell ref="F384:G384"/>
    <mergeCell ref="I384:J384"/>
    <mergeCell ref="L384:M384"/>
    <mergeCell ref="A383:D383"/>
    <mergeCell ref="F383:G383"/>
    <mergeCell ref="I383:J383"/>
    <mergeCell ref="L383:M383"/>
    <mergeCell ref="N357:R357"/>
    <mergeCell ref="B357:I357"/>
    <mergeCell ref="J357:K357"/>
    <mergeCell ref="L355:M357"/>
    <mergeCell ref="B358:K358"/>
    <mergeCell ref="L358:M358"/>
    <mergeCell ref="B366:I366"/>
    <mergeCell ref="J366:K366"/>
    <mergeCell ref="L366:M367"/>
    <mergeCell ref="B367:I367"/>
    <mergeCell ref="J367:K367"/>
    <mergeCell ref="A362:M363"/>
    <mergeCell ref="A364:K364"/>
    <mergeCell ref="L364:M364"/>
    <mergeCell ref="N376:R376"/>
    <mergeCell ref="B371:I371"/>
    <mergeCell ref="J371:K371"/>
    <mergeCell ref="N371:R371"/>
    <mergeCell ref="B373:K373"/>
    <mergeCell ref="L373:M373"/>
    <mergeCell ref="N372:R372"/>
    <mergeCell ref="N373:R373"/>
    <mergeCell ref="A375:M375"/>
    <mergeCell ref="B372:I372"/>
    <mergeCell ref="N344:R344"/>
    <mergeCell ref="A346:M346"/>
    <mergeCell ref="J338:K338"/>
    <mergeCell ref="B339:K339"/>
    <mergeCell ref="L339:M339"/>
    <mergeCell ref="B340:I340"/>
    <mergeCell ref="J340:K340"/>
    <mergeCell ref="B341:I341"/>
    <mergeCell ref="J341:K341"/>
    <mergeCell ref="J342:K342"/>
    <mergeCell ref="B353:I353"/>
    <mergeCell ref="J353:K353"/>
    <mergeCell ref="B344:K344"/>
    <mergeCell ref="L344:M344"/>
    <mergeCell ref="J356:K356"/>
    <mergeCell ref="N356:R356"/>
    <mergeCell ref="A348:M349"/>
    <mergeCell ref="A350:K350"/>
    <mergeCell ref="L350:M350"/>
    <mergeCell ref="B351:K351"/>
    <mergeCell ref="L351:M351"/>
    <mergeCell ref="B352:I352"/>
    <mergeCell ref="J352:K352"/>
    <mergeCell ref="L352:M353"/>
    <mergeCell ref="B354:K354"/>
    <mergeCell ref="L354:M354"/>
    <mergeCell ref="N354:R354"/>
    <mergeCell ref="B355:I355"/>
    <mergeCell ref="J355:K355"/>
    <mergeCell ref="N355:R355"/>
    <mergeCell ref="B356:I356"/>
    <mergeCell ref="N327:R327"/>
    <mergeCell ref="A329:M329"/>
    <mergeCell ref="J321:K321"/>
    <mergeCell ref="B322:K322"/>
    <mergeCell ref="L322:M322"/>
    <mergeCell ref="B323:I323"/>
    <mergeCell ref="J323:K323"/>
    <mergeCell ref="B324:I324"/>
    <mergeCell ref="J324:K324"/>
    <mergeCell ref="B327:K327"/>
    <mergeCell ref="L327:M327"/>
    <mergeCell ref="N337:R343"/>
    <mergeCell ref="B338:I338"/>
    <mergeCell ref="A331:M332"/>
    <mergeCell ref="A333:K333"/>
    <mergeCell ref="L333:M333"/>
    <mergeCell ref="B334:I334"/>
    <mergeCell ref="J334:K334"/>
    <mergeCell ref="L334:M335"/>
    <mergeCell ref="B342:I342"/>
    <mergeCell ref="N334:R336"/>
    <mergeCell ref="B335:I335"/>
    <mergeCell ref="J335:K335"/>
    <mergeCell ref="B336:K336"/>
    <mergeCell ref="L336:M336"/>
    <mergeCell ref="B337:I337"/>
    <mergeCell ref="J337:K337"/>
    <mergeCell ref="L337:M338"/>
    <mergeCell ref="N320:R326"/>
    <mergeCell ref="B321:I321"/>
    <mergeCell ref="N317:R319"/>
    <mergeCell ref="B318:I318"/>
    <mergeCell ref="J318:K318"/>
    <mergeCell ref="B319:K319"/>
    <mergeCell ref="L319:M319"/>
    <mergeCell ref="B320:I320"/>
    <mergeCell ref="J320:K320"/>
    <mergeCell ref="L320:M321"/>
    <mergeCell ref="N301:R302"/>
    <mergeCell ref="A302:G302"/>
    <mergeCell ref="H302:J302"/>
    <mergeCell ref="K302:M302"/>
    <mergeCell ref="B304:G304"/>
    <mergeCell ref="I304:J304"/>
    <mergeCell ref="L304:M304"/>
    <mergeCell ref="N304:R304"/>
    <mergeCell ref="B303:G303"/>
    <mergeCell ref="I303:J303"/>
    <mergeCell ref="L303:M303"/>
    <mergeCell ref="N303:R303"/>
    <mergeCell ref="N309:R309"/>
    <mergeCell ref="A311:M311"/>
    <mergeCell ref="B305:G305"/>
    <mergeCell ref="I305:J305"/>
    <mergeCell ref="L305:M305"/>
    <mergeCell ref="B306:G306"/>
    <mergeCell ref="I306:J306"/>
    <mergeCell ref="L306:M306"/>
    <mergeCell ref="B307:K307"/>
    <mergeCell ref="L307:M307"/>
    <mergeCell ref="A308:A309"/>
    <mergeCell ref="B308:K309"/>
    <mergeCell ref="B466:K466"/>
    <mergeCell ref="B465:K465"/>
    <mergeCell ref="L482:M482"/>
    <mergeCell ref="L483:M483"/>
    <mergeCell ref="J343:K343"/>
    <mergeCell ref="L340:M343"/>
    <mergeCell ref="A313:M315"/>
    <mergeCell ref="A316:K316"/>
    <mergeCell ref="L316:M316"/>
    <mergeCell ref="B317:I317"/>
    <mergeCell ref="J317:K317"/>
    <mergeCell ref="L317:M318"/>
    <mergeCell ref="B325:I325"/>
    <mergeCell ref="J325:K325"/>
    <mergeCell ref="L323:M326"/>
    <mergeCell ref="B368:K368"/>
    <mergeCell ref="L368:M368"/>
    <mergeCell ref="A380:D380"/>
    <mergeCell ref="F380:G380"/>
    <mergeCell ref="I380:J380"/>
    <mergeCell ref="L380:M380"/>
    <mergeCell ref="A379:D379"/>
    <mergeCell ref="F379:G379"/>
    <mergeCell ref="I379:J379"/>
    <mergeCell ref="L379:M379"/>
    <mergeCell ref="A382:D382"/>
    <mergeCell ref="F382:G382"/>
    <mergeCell ref="I382:J382"/>
    <mergeCell ref="L382:M382"/>
    <mergeCell ref="A381:D381"/>
    <mergeCell ref="F381:G381"/>
    <mergeCell ref="I381:J381"/>
    <mergeCell ref="A277:K277"/>
    <mergeCell ref="L277:M277"/>
    <mergeCell ref="B278:K278"/>
    <mergeCell ref="L278:M278"/>
    <mergeCell ref="B282:K282"/>
    <mergeCell ref="L282:M282"/>
    <mergeCell ref="L283:M283"/>
    <mergeCell ref="B288:G288"/>
    <mergeCell ref="I288:J288"/>
    <mergeCell ref="K288:M290"/>
    <mergeCell ref="A289:A290"/>
    <mergeCell ref="A285:M285"/>
    <mergeCell ref="A286:K286"/>
    <mergeCell ref="L286:M286"/>
    <mergeCell ref="H287:J287"/>
    <mergeCell ref="K287:M287"/>
    <mergeCell ref="N288:R298"/>
    <mergeCell ref="B291:G291"/>
    <mergeCell ref="I291:J291"/>
    <mergeCell ref="L291:M291"/>
    <mergeCell ref="B292:G292"/>
    <mergeCell ref="I292:J292"/>
    <mergeCell ref="N278:R278"/>
    <mergeCell ref="N279:R281"/>
    <mergeCell ref="A280:M280"/>
    <mergeCell ref="A281:K281"/>
    <mergeCell ref="L281:M281"/>
    <mergeCell ref="N282:R282"/>
    <mergeCell ref="B283:K283"/>
    <mergeCell ref="A276:M276"/>
    <mergeCell ref="L793:M793"/>
    <mergeCell ref="L792:M792"/>
    <mergeCell ref="L791:M791"/>
    <mergeCell ref="L790:M790"/>
    <mergeCell ref="L789:M789"/>
    <mergeCell ref="L484:M484"/>
    <mergeCell ref="L292:M292"/>
    <mergeCell ref="B289:G290"/>
    <mergeCell ref="H289:H290"/>
    <mergeCell ref="I289:J290"/>
    <mergeCell ref="B293:G293"/>
    <mergeCell ref="I293:J293"/>
    <mergeCell ref="L293:M293"/>
    <mergeCell ref="B294:G294"/>
    <mergeCell ref="I294:J294"/>
    <mergeCell ref="L294:M294"/>
    <mergeCell ref="B295:G295"/>
    <mergeCell ref="I295:J295"/>
    <mergeCell ref="L295:M295"/>
    <mergeCell ref="B296:G296"/>
    <mergeCell ref="I296:J296"/>
    <mergeCell ref="L296:M296"/>
    <mergeCell ref="B297:G297"/>
    <mergeCell ref="I297:J297"/>
    <mergeCell ref="L297:M297"/>
    <mergeCell ref="B298:G298"/>
    <mergeCell ref="I298:J298"/>
    <mergeCell ref="L298:M298"/>
    <mergeCell ref="A300:M300"/>
    <mergeCell ref="A301:K301"/>
    <mergeCell ref="L301:M301"/>
    <mergeCell ref="B269:K269"/>
    <mergeCell ref="L269:M269"/>
    <mergeCell ref="B266:K266"/>
    <mergeCell ref="L266:M266"/>
    <mergeCell ref="B267:K267"/>
    <mergeCell ref="L267:M267"/>
    <mergeCell ref="B268:K268"/>
    <mergeCell ref="L268:M268"/>
    <mergeCell ref="B274:K274"/>
    <mergeCell ref="L274:M274"/>
    <mergeCell ref="B272:K272"/>
    <mergeCell ref="L272:M272"/>
    <mergeCell ref="B273:K273"/>
    <mergeCell ref="L273:M273"/>
    <mergeCell ref="B270:K270"/>
    <mergeCell ref="L270:M270"/>
    <mergeCell ref="B271:K271"/>
    <mergeCell ref="L271:M271"/>
    <mergeCell ref="J235:K235"/>
    <mergeCell ref="B236:I236"/>
    <mergeCell ref="J236:K236"/>
    <mergeCell ref="B225:G225"/>
    <mergeCell ref="H225:I225"/>
    <mergeCell ref="B226:G226"/>
    <mergeCell ref="B227:I227"/>
    <mergeCell ref="J227:K227"/>
    <mergeCell ref="J228:K228"/>
    <mergeCell ref="H226:I226"/>
    <mergeCell ref="B241:K241"/>
    <mergeCell ref="L241:M241"/>
    <mergeCell ref="B244:K244"/>
    <mergeCell ref="L244:M244"/>
    <mergeCell ref="A243:K243"/>
    <mergeCell ref="L243:M243"/>
    <mergeCell ref="B246:K246"/>
    <mergeCell ref="L246:M246"/>
    <mergeCell ref="B247:K247"/>
    <mergeCell ref="L247:M247"/>
    <mergeCell ref="B245:K245"/>
    <mergeCell ref="L245:M245"/>
    <mergeCell ref="B248:K248"/>
    <mergeCell ref="L248:M248"/>
    <mergeCell ref="B249:K249"/>
    <mergeCell ref="B238:I238"/>
    <mergeCell ref="B464:K464"/>
    <mergeCell ref="J229:K229"/>
    <mergeCell ref="N234:R234"/>
    <mergeCell ref="L496:M497"/>
    <mergeCell ref="L233:M233"/>
    <mergeCell ref="L249:M249"/>
    <mergeCell ref="B250:K250"/>
    <mergeCell ref="L250:M250"/>
    <mergeCell ref="B254:K254"/>
    <mergeCell ref="L254:M254"/>
    <mergeCell ref="B251:K251"/>
    <mergeCell ref="L251:M251"/>
    <mergeCell ref="B252:K252"/>
    <mergeCell ref="L252:M252"/>
    <mergeCell ref="B253:K253"/>
    <mergeCell ref="L253:M253"/>
    <mergeCell ref="B255:K255"/>
    <mergeCell ref="L255:M255"/>
    <mergeCell ref="J232:K232"/>
    <mergeCell ref="N255:R255"/>
    <mergeCell ref="A257:M257"/>
    <mergeCell ref="N232:R232"/>
    <mergeCell ref="J261:K261"/>
    <mergeCell ref="A263:M263"/>
    <mergeCell ref="N259:R259"/>
    <mergeCell ref="B259:K259"/>
    <mergeCell ref="J260:K260"/>
    <mergeCell ref="A265:K265"/>
    <mergeCell ref="L239:M239"/>
    <mergeCell ref="A239:K239"/>
    <mergeCell ref="L265:M265"/>
    <mergeCell ref="A258:K258"/>
    <mergeCell ref="L258:M258"/>
    <mergeCell ref="L260:M261"/>
    <mergeCell ref="B261:I261"/>
    <mergeCell ref="L259:M259"/>
    <mergeCell ref="B218:I218"/>
    <mergeCell ref="N210:R210"/>
    <mergeCell ref="B211:G211"/>
    <mergeCell ref="N216:R216"/>
    <mergeCell ref="B212:G212"/>
    <mergeCell ref="H212:I212"/>
    <mergeCell ref="B224:I224"/>
    <mergeCell ref="J238:K238"/>
    <mergeCell ref="J215:K215"/>
    <mergeCell ref="B222:K222"/>
    <mergeCell ref="B234:K234"/>
    <mergeCell ref="B233:K233"/>
    <mergeCell ref="B229:I229"/>
    <mergeCell ref="B235:I235"/>
    <mergeCell ref="J217:K217"/>
    <mergeCell ref="N238:R238"/>
    <mergeCell ref="N230:R230"/>
    <mergeCell ref="N231:R231"/>
    <mergeCell ref="N219:R219"/>
    <mergeCell ref="L234:M234"/>
    <mergeCell ref="L220:M220"/>
    <mergeCell ref="N220:R220"/>
    <mergeCell ref="J224:K224"/>
    <mergeCell ref="B221:I221"/>
    <mergeCell ref="J221:K221"/>
    <mergeCell ref="B228:I228"/>
    <mergeCell ref="L206:M206"/>
    <mergeCell ref="B202:I202"/>
    <mergeCell ref="J202:K202"/>
    <mergeCell ref="B198:K198"/>
    <mergeCell ref="L198:M198"/>
    <mergeCell ref="B200:K200"/>
    <mergeCell ref="L200:M200"/>
    <mergeCell ref="A204:M204"/>
    <mergeCell ref="A205:K205"/>
    <mergeCell ref="L205:M205"/>
    <mergeCell ref="L201:M202"/>
    <mergeCell ref="N207:R207"/>
    <mergeCell ref="B208:G208"/>
    <mergeCell ref="H208:I208"/>
    <mergeCell ref="B206:K206"/>
    <mergeCell ref="H209:I209"/>
    <mergeCell ref="L214:M215"/>
    <mergeCell ref="B214:I214"/>
    <mergeCell ref="B215:I215"/>
    <mergeCell ref="B213:K213"/>
    <mergeCell ref="L213:M213"/>
    <mergeCell ref="N205:R205"/>
    <mergeCell ref="L207:M212"/>
    <mergeCell ref="B201:I201"/>
    <mergeCell ref="J201:K201"/>
    <mergeCell ref="B209:G209"/>
    <mergeCell ref="H211:I211"/>
    <mergeCell ref="B207:I207"/>
    <mergeCell ref="J214:K214"/>
    <mergeCell ref="B210:I210"/>
    <mergeCell ref="J210:K210"/>
    <mergeCell ref="N177:R177"/>
    <mergeCell ref="B178:I178"/>
    <mergeCell ref="J178:K178"/>
    <mergeCell ref="L178:M179"/>
    <mergeCell ref="N178:R178"/>
    <mergeCell ref="B179:I179"/>
    <mergeCell ref="J179:K179"/>
    <mergeCell ref="A183:K183"/>
    <mergeCell ref="L183:M183"/>
    <mergeCell ref="B177:K177"/>
    <mergeCell ref="L177:M177"/>
    <mergeCell ref="B180:K180"/>
    <mergeCell ref="L180:M180"/>
    <mergeCell ref="N180:R180"/>
    <mergeCell ref="A182:M182"/>
    <mergeCell ref="N183:R183"/>
    <mergeCell ref="B186:G186"/>
    <mergeCell ref="H186:I186"/>
    <mergeCell ref="B184:K184"/>
    <mergeCell ref="L184:M184"/>
    <mergeCell ref="B185:I185"/>
    <mergeCell ref="J185:K185"/>
    <mergeCell ref="L185:M190"/>
    <mergeCell ref="B190:G190"/>
    <mergeCell ref="H190:I190"/>
    <mergeCell ref="B188:I188"/>
    <mergeCell ref="J188:K188"/>
    <mergeCell ref="B189:G189"/>
    <mergeCell ref="H189:I189"/>
    <mergeCell ref="N162:R162"/>
    <mergeCell ref="B166:K166"/>
    <mergeCell ref="L166:M166"/>
    <mergeCell ref="N166:R166"/>
    <mergeCell ref="B169:K169"/>
    <mergeCell ref="L169:M169"/>
    <mergeCell ref="B167:K167"/>
    <mergeCell ref="L167:M167"/>
    <mergeCell ref="B168:K168"/>
    <mergeCell ref="L168:M168"/>
    <mergeCell ref="N168:R168"/>
    <mergeCell ref="A173:K173"/>
    <mergeCell ref="L173:M173"/>
    <mergeCell ref="N174:R174"/>
    <mergeCell ref="B175:I175"/>
    <mergeCell ref="J175:K175"/>
    <mergeCell ref="L175:M176"/>
    <mergeCell ref="N175:R175"/>
    <mergeCell ref="B176:I176"/>
    <mergeCell ref="J176:K176"/>
    <mergeCell ref="B174:K174"/>
    <mergeCell ref="L174:M174"/>
    <mergeCell ref="M641:N641"/>
    <mergeCell ref="N160:R161"/>
    <mergeCell ref="L165:M165"/>
    <mergeCell ref="L170:M170"/>
    <mergeCell ref="N475:R475"/>
    <mergeCell ref="A172:M172"/>
    <mergeCell ref="J151:K151"/>
    <mergeCell ref="J152:K152"/>
    <mergeCell ref="J149:K149"/>
    <mergeCell ref="A135:H136"/>
    <mergeCell ref="I136:K136"/>
    <mergeCell ref="B139:K139"/>
    <mergeCell ref="B143:K143"/>
    <mergeCell ref="B146:K146"/>
    <mergeCell ref="B147:K147"/>
    <mergeCell ref="B141:K141"/>
    <mergeCell ref="N157:R158"/>
    <mergeCell ref="B158:I158"/>
    <mergeCell ref="J158:K158"/>
    <mergeCell ref="L156:M156"/>
    <mergeCell ref="J157:K157"/>
    <mergeCell ref="B161:I161"/>
    <mergeCell ref="J161:K161"/>
    <mergeCell ref="B156:K156"/>
    <mergeCell ref="B159:K159"/>
    <mergeCell ref="L159:M159"/>
    <mergeCell ref="N163:R163"/>
    <mergeCell ref="B163:K163"/>
    <mergeCell ref="L142:M142"/>
    <mergeCell ref="L143:M143"/>
    <mergeCell ref="L144:M144"/>
    <mergeCell ref="B481:K481"/>
    <mergeCell ref="N129:R130"/>
    <mergeCell ref="B130:K130"/>
    <mergeCell ref="L130:M130"/>
    <mergeCell ref="A127:K127"/>
    <mergeCell ref="L127:M127"/>
    <mergeCell ref="B128:K128"/>
    <mergeCell ref="L128:M128"/>
    <mergeCell ref="L155:M155"/>
    <mergeCell ref="B100:K100"/>
    <mergeCell ref="L100:M100"/>
    <mergeCell ref="L138:M138"/>
    <mergeCell ref="B131:K131"/>
    <mergeCell ref="L131:M131"/>
    <mergeCell ref="B132:K132"/>
    <mergeCell ref="L132:M132"/>
    <mergeCell ref="B129:K129"/>
    <mergeCell ref="L117:M117"/>
    <mergeCell ref="L112:M112"/>
    <mergeCell ref="L134:M134"/>
    <mergeCell ref="A134:K134"/>
    <mergeCell ref="L129:M129"/>
    <mergeCell ref="B123:K123"/>
    <mergeCell ref="L123:M123"/>
    <mergeCell ref="N113:R113"/>
    <mergeCell ref="B115:K115"/>
    <mergeCell ref="B112:K112"/>
    <mergeCell ref="B113:K113"/>
    <mergeCell ref="N125:R125"/>
    <mergeCell ref="B121:K121"/>
    <mergeCell ref="L121:M121"/>
    <mergeCell ref="A122:K122"/>
    <mergeCell ref="L122:M122"/>
    <mergeCell ref="L115:M115"/>
    <mergeCell ref="B124:K124"/>
    <mergeCell ref="L124:M124"/>
    <mergeCell ref="N120:R120"/>
    <mergeCell ref="B126:K126"/>
    <mergeCell ref="L126:M126"/>
    <mergeCell ref="B125:K125"/>
    <mergeCell ref="B119:K119"/>
    <mergeCell ref="L119:M119"/>
    <mergeCell ref="B120:K120"/>
    <mergeCell ref="L120:M120"/>
    <mergeCell ref="L125:M125"/>
    <mergeCell ref="N126:R126"/>
    <mergeCell ref="L139:M139"/>
    <mergeCell ref="A102:K102"/>
    <mergeCell ref="L102:M102"/>
    <mergeCell ref="B103:K103"/>
    <mergeCell ref="L103:M103"/>
    <mergeCell ref="B108:K108"/>
    <mergeCell ref="L108:M108"/>
    <mergeCell ref="B109:K109"/>
    <mergeCell ref="L109:M109"/>
    <mergeCell ref="N104:R105"/>
    <mergeCell ref="B105:I105"/>
    <mergeCell ref="J105:K105"/>
    <mergeCell ref="N107:R107"/>
    <mergeCell ref="B104:I104"/>
    <mergeCell ref="J104:K104"/>
    <mergeCell ref="L104:M105"/>
    <mergeCell ref="L106:M106"/>
    <mergeCell ref="B107:K107"/>
    <mergeCell ref="L107:M107"/>
    <mergeCell ref="B111:K111"/>
    <mergeCell ref="L111:M111"/>
    <mergeCell ref="L110:M110"/>
    <mergeCell ref="B118:K118"/>
    <mergeCell ref="L118:M118"/>
    <mergeCell ref="L113:M113"/>
    <mergeCell ref="B116:K116"/>
    <mergeCell ref="L116:M116"/>
    <mergeCell ref="B117:K117"/>
    <mergeCell ref="A110:K110"/>
    <mergeCell ref="N112:R112"/>
    <mergeCell ref="A114:K114"/>
    <mergeCell ref="L114:M114"/>
    <mergeCell ref="N80:R80"/>
    <mergeCell ref="B81:K81"/>
    <mergeCell ref="L81:M81"/>
    <mergeCell ref="B82:K82"/>
    <mergeCell ref="L82:M82"/>
    <mergeCell ref="B89:K89"/>
    <mergeCell ref="L89:M89"/>
    <mergeCell ref="B84:K84"/>
    <mergeCell ref="L84:M84"/>
    <mergeCell ref="B85:K85"/>
    <mergeCell ref="N100:R100"/>
    <mergeCell ref="N108:R108"/>
    <mergeCell ref="B106:K106"/>
    <mergeCell ref="L85:M85"/>
    <mergeCell ref="A86:K86"/>
    <mergeCell ref="L86:M86"/>
    <mergeCell ref="B87:K87"/>
    <mergeCell ref="L87:M87"/>
    <mergeCell ref="B88:K88"/>
    <mergeCell ref="L88:M88"/>
    <mergeCell ref="B90:K90"/>
    <mergeCell ref="L90:M90"/>
    <mergeCell ref="N90:R90"/>
    <mergeCell ref="B91:K91"/>
    <mergeCell ref="L91:M91"/>
    <mergeCell ref="N91:R91"/>
    <mergeCell ref="L101:M101"/>
    <mergeCell ref="A95:M95"/>
    <mergeCell ref="A96:K96"/>
    <mergeCell ref="B97:K97"/>
    <mergeCell ref="L97:M97"/>
    <mergeCell ref="L96:M96"/>
    <mergeCell ref="B75:K75"/>
    <mergeCell ref="L75:M75"/>
    <mergeCell ref="B70:K70"/>
    <mergeCell ref="L70:M70"/>
    <mergeCell ref="B71:K71"/>
    <mergeCell ref="L71:M71"/>
    <mergeCell ref="B72:K72"/>
    <mergeCell ref="L72:M72"/>
    <mergeCell ref="B73:K73"/>
    <mergeCell ref="L73:M73"/>
    <mergeCell ref="B74:K74"/>
    <mergeCell ref="L74:M74"/>
    <mergeCell ref="B83:K83"/>
    <mergeCell ref="L83:M83"/>
    <mergeCell ref="B76:K76"/>
    <mergeCell ref="L76:M76"/>
    <mergeCell ref="B77:K77"/>
    <mergeCell ref="L77:M77"/>
    <mergeCell ref="B80:K80"/>
    <mergeCell ref="L80:M80"/>
    <mergeCell ref="L78:M78"/>
    <mergeCell ref="L79:M79"/>
    <mergeCell ref="A61:D61"/>
    <mergeCell ref="E61:H61"/>
    <mergeCell ref="J61:M61"/>
    <mergeCell ref="A62:D62"/>
    <mergeCell ref="E62:H62"/>
    <mergeCell ref="J62:M62"/>
    <mergeCell ref="A69:K69"/>
    <mergeCell ref="L69:M69"/>
    <mergeCell ref="A63:D63"/>
    <mergeCell ref="E63:H63"/>
    <mergeCell ref="J63:M63"/>
    <mergeCell ref="A64:D64"/>
    <mergeCell ref="E64:H64"/>
    <mergeCell ref="A65:D65"/>
    <mergeCell ref="E65:H65"/>
    <mergeCell ref="N65:R65"/>
    <mergeCell ref="A68:M68"/>
    <mergeCell ref="A67:K67"/>
    <mergeCell ref="L67:M67"/>
    <mergeCell ref="A54:D54"/>
    <mergeCell ref="E54:H54"/>
    <mergeCell ref="J54:M54"/>
    <mergeCell ref="A53:D53"/>
    <mergeCell ref="E53:H53"/>
    <mergeCell ref="J53:M53"/>
    <mergeCell ref="A55:D55"/>
    <mergeCell ref="E55:H55"/>
    <mergeCell ref="J55:M55"/>
    <mergeCell ref="A59:M59"/>
    <mergeCell ref="A60:D60"/>
    <mergeCell ref="E60:H60"/>
    <mergeCell ref="J60:M60"/>
    <mergeCell ref="A56:D56"/>
    <mergeCell ref="E56:H56"/>
    <mergeCell ref="A57:D57"/>
    <mergeCell ref="E57:H57"/>
    <mergeCell ref="N59:R59"/>
    <mergeCell ref="N60:R60"/>
    <mergeCell ref="A45:D45"/>
    <mergeCell ref="E45:H45"/>
    <mergeCell ref="J45:M45"/>
    <mergeCell ref="A46:D46"/>
    <mergeCell ref="E46:H46"/>
    <mergeCell ref="J46:M46"/>
    <mergeCell ref="A47:D47"/>
    <mergeCell ref="E47:H47"/>
    <mergeCell ref="J47:M47"/>
    <mergeCell ref="A48:D48"/>
    <mergeCell ref="E48:H48"/>
    <mergeCell ref="A49:D49"/>
    <mergeCell ref="E49:H49"/>
    <mergeCell ref="A51:M51"/>
    <mergeCell ref="A52:D52"/>
    <mergeCell ref="E52:H52"/>
    <mergeCell ref="J52:M52"/>
    <mergeCell ref="A20:C20"/>
    <mergeCell ref="A23:M23"/>
    <mergeCell ref="A36:D36"/>
    <mergeCell ref="E36:H36"/>
    <mergeCell ref="J36:M36"/>
    <mergeCell ref="A37:D37"/>
    <mergeCell ref="E37:H37"/>
    <mergeCell ref="J37:M37"/>
    <mergeCell ref="A26:B26"/>
    <mergeCell ref="A38:D38"/>
    <mergeCell ref="E38:H38"/>
    <mergeCell ref="J38:M38"/>
    <mergeCell ref="A39:D39"/>
    <mergeCell ref="E39:H39"/>
    <mergeCell ref="J39:M39"/>
    <mergeCell ref="A43:M43"/>
    <mergeCell ref="A44:D44"/>
    <mergeCell ref="E44:H44"/>
    <mergeCell ref="J44:M44"/>
    <mergeCell ref="A40:D40"/>
    <mergeCell ref="E40:H40"/>
    <mergeCell ref="A41:D41"/>
    <mergeCell ref="E41:H41"/>
    <mergeCell ref="A21:I21"/>
    <mergeCell ref="N11:R11"/>
    <mergeCell ref="A12:C12"/>
    <mergeCell ref="D12:I12"/>
    <mergeCell ref="J12:K12"/>
    <mergeCell ref="L12:M12"/>
    <mergeCell ref="N12:R12"/>
    <mergeCell ref="A11:C11"/>
    <mergeCell ref="D11:I11"/>
    <mergeCell ref="J11:K11"/>
    <mergeCell ref="L11:M11"/>
    <mergeCell ref="D13:I13"/>
    <mergeCell ref="J13:M13"/>
    <mergeCell ref="A14:C14"/>
    <mergeCell ref="D14:I14"/>
    <mergeCell ref="J14:K14"/>
    <mergeCell ref="L14:M14"/>
    <mergeCell ref="A18:C18"/>
    <mergeCell ref="D18:I18"/>
    <mergeCell ref="J18:M18"/>
    <mergeCell ref="N15:R15"/>
    <mergeCell ref="A16:C16"/>
    <mergeCell ref="D16:I16"/>
    <mergeCell ref="J16:K16"/>
    <mergeCell ref="L16:M16"/>
    <mergeCell ref="A15:C15"/>
    <mergeCell ref="D15:I15"/>
    <mergeCell ref="A17:C17"/>
    <mergeCell ref="D17:I17"/>
    <mergeCell ref="J17:K17"/>
    <mergeCell ref="L17:M17"/>
    <mergeCell ref="L8:M8"/>
    <mergeCell ref="A10:C10"/>
    <mergeCell ref="D10:I10"/>
    <mergeCell ref="J10:M10"/>
    <mergeCell ref="L9:M9"/>
    <mergeCell ref="B144:K144"/>
    <mergeCell ref="J15:K15"/>
    <mergeCell ref="L15:M15"/>
    <mergeCell ref="B101:K101"/>
    <mergeCell ref="A13:C13"/>
    <mergeCell ref="A6:C6"/>
    <mergeCell ref="A1:M1"/>
    <mergeCell ref="A2:M2"/>
    <mergeCell ref="A3:M3"/>
    <mergeCell ref="A4:M4"/>
    <mergeCell ref="A5:C5"/>
    <mergeCell ref="E5:M5"/>
    <mergeCell ref="D6:E6"/>
    <mergeCell ref="F6:M6"/>
    <mergeCell ref="A7:C7"/>
    <mergeCell ref="D7:I7"/>
    <mergeCell ref="A8:C8"/>
    <mergeCell ref="D8:I8"/>
    <mergeCell ref="J8:K8"/>
    <mergeCell ref="A9:C9"/>
    <mergeCell ref="D9:I9"/>
    <mergeCell ref="J9:K9"/>
    <mergeCell ref="A35:M35"/>
    <mergeCell ref="A27:M27"/>
    <mergeCell ref="A24:B24"/>
    <mergeCell ref="A25:B25"/>
    <mergeCell ref="A28:M28"/>
    <mergeCell ref="L145:M145"/>
    <mergeCell ref="B170:K170"/>
    <mergeCell ref="B260:I260"/>
    <mergeCell ref="L147:M147"/>
    <mergeCell ref="L148:M152"/>
    <mergeCell ref="L153:M153"/>
    <mergeCell ref="L157:M158"/>
    <mergeCell ref="B150:I150"/>
    <mergeCell ref="L140:M140"/>
    <mergeCell ref="B153:K153"/>
    <mergeCell ref="B149:I149"/>
    <mergeCell ref="J150:K150"/>
    <mergeCell ref="B140:K140"/>
    <mergeCell ref="A155:K155"/>
    <mergeCell ref="L163:M163"/>
    <mergeCell ref="B162:K162"/>
    <mergeCell ref="L162:M162"/>
    <mergeCell ref="L160:M161"/>
    <mergeCell ref="B160:I160"/>
    <mergeCell ref="J160:K160"/>
    <mergeCell ref="B187:G187"/>
    <mergeCell ref="H187:I187"/>
    <mergeCell ref="B191:K191"/>
    <mergeCell ref="L191:M191"/>
    <mergeCell ref="B216:K216"/>
    <mergeCell ref="L216:M216"/>
    <mergeCell ref="B196:I196"/>
    <mergeCell ref="L197:M197"/>
    <mergeCell ref="J196:K196"/>
    <mergeCell ref="B197:K197"/>
    <mergeCell ref="B199:K199"/>
    <mergeCell ref="L199:M199"/>
    <mergeCell ref="M640:N640"/>
    <mergeCell ref="O640:Q640"/>
    <mergeCell ref="B641:E641"/>
    <mergeCell ref="O641:Q641"/>
    <mergeCell ref="L639:Q639"/>
    <mergeCell ref="L635:N635"/>
    <mergeCell ref="M631:N631"/>
    <mergeCell ref="B157:I157"/>
    <mergeCell ref="A604:Q604"/>
    <mergeCell ref="F605:H605"/>
    <mergeCell ref="I605:K605"/>
    <mergeCell ref="B642:E642"/>
    <mergeCell ref="B639:E639"/>
    <mergeCell ref="F639:H639"/>
    <mergeCell ref="J639:K639"/>
    <mergeCell ref="B640:E640"/>
    <mergeCell ref="F640:K642"/>
    <mergeCell ref="N473:R474"/>
    <mergeCell ref="B469:K469"/>
    <mergeCell ref="B470:K470"/>
    <mergeCell ref="B468:K468"/>
    <mergeCell ref="A472:M472"/>
    <mergeCell ref="A473:K473"/>
    <mergeCell ref="A474:K475"/>
    <mergeCell ref="B482:K482"/>
    <mergeCell ref="B478:K478"/>
    <mergeCell ref="L477:M477"/>
    <mergeCell ref="L479:M479"/>
    <mergeCell ref="L480:M480"/>
    <mergeCell ref="I606:Q608"/>
    <mergeCell ref="L605:N605"/>
    <mergeCell ref="J193:K193"/>
    <mergeCell ref="O645:Q645"/>
    <mergeCell ref="O649:Q649"/>
    <mergeCell ref="A650:Q650"/>
    <mergeCell ref="B651:E651"/>
    <mergeCell ref="G651:H651"/>
    <mergeCell ref="B647:E647"/>
    <mergeCell ref="B648:E648"/>
    <mergeCell ref="M648:N648"/>
    <mergeCell ref="O648:Q648"/>
    <mergeCell ref="B649:E649"/>
    <mergeCell ref="O642:Q642"/>
    <mergeCell ref="A643:Q643"/>
    <mergeCell ref="B646:E646"/>
    <mergeCell ref="F646:H646"/>
    <mergeCell ref="J646:K646"/>
    <mergeCell ref="L646:Q646"/>
    <mergeCell ref="O644:Q644"/>
    <mergeCell ref="B645:E645"/>
    <mergeCell ref="G645:H645"/>
    <mergeCell ref="J645:K645"/>
    <mergeCell ref="G644:H644"/>
    <mergeCell ref="J644:K644"/>
    <mergeCell ref="L644:N645"/>
    <mergeCell ref="B644:E644"/>
    <mergeCell ref="M642:N642"/>
    <mergeCell ref="B654:E654"/>
    <mergeCell ref="F654:K656"/>
    <mergeCell ref="M654:N654"/>
    <mergeCell ref="O654:Q654"/>
    <mergeCell ref="B655:E655"/>
    <mergeCell ref="M655:N655"/>
    <mergeCell ref="B659:E659"/>
    <mergeCell ref="G659:H659"/>
    <mergeCell ref="J659:K659"/>
    <mergeCell ref="O659:Q659"/>
    <mergeCell ref="J652:K652"/>
    <mergeCell ref="O652:Q652"/>
    <mergeCell ref="O655:Q655"/>
    <mergeCell ref="B656:E656"/>
    <mergeCell ref="M656:N656"/>
    <mergeCell ref="O656:Q656"/>
    <mergeCell ref="F647:K649"/>
    <mergeCell ref="M647:N647"/>
    <mergeCell ref="O647:Q647"/>
    <mergeCell ref="B653:E653"/>
    <mergeCell ref="F653:H653"/>
    <mergeCell ref="J653:K653"/>
    <mergeCell ref="L653:Q653"/>
    <mergeCell ref="M649:N649"/>
    <mergeCell ref="J651:K651"/>
    <mergeCell ref="L651:N652"/>
    <mergeCell ref="O651:Q651"/>
    <mergeCell ref="B652:E652"/>
    <mergeCell ref="G652:H652"/>
    <mergeCell ref="I667:K667"/>
    <mergeCell ref="L667:N667"/>
    <mergeCell ref="O667:Q667"/>
    <mergeCell ref="B661:E661"/>
    <mergeCell ref="F661:K663"/>
    <mergeCell ref="M661:N661"/>
    <mergeCell ref="O661:Q661"/>
    <mergeCell ref="B662:E662"/>
    <mergeCell ref="M662:N662"/>
    <mergeCell ref="O662:Q662"/>
    <mergeCell ref="B663:E663"/>
    <mergeCell ref="M663:N663"/>
    <mergeCell ref="O663:Q663"/>
    <mergeCell ref="A657:Q657"/>
    <mergeCell ref="B658:E658"/>
    <mergeCell ref="G658:H658"/>
    <mergeCell ref="J658:K658"/>
    <mergeCell ref="L658:N659"/>
    <mergeCell ref="O658:Q658"/>
    <mergeCell ref="B660:E660"/>
    <mergeCell ref="F660:H660"/>
    <mergeCell ref="J660:K660"/>
    <mergeCell ref="L660:Q660"/>
    <mergeCell ref="A693:E693"/>
    <mergeCell ref="G693:H693"/>
    <mergeCell ref="I693:Q693"/>
    <mergeCell ref="B694:E694"/>
    <mergeCell ref="F694:H694"/>
    <mergeCell ref="J694:K694"/>
    <mergeCell ref="L694:Q694"/>
    <mergeCell ref="A686:E686"/>
    <mergeCell ref="G686:H686"/>
    <mergeCell ref="I686:Q687"/>
    <mergeCell ref="A687:E687"/>
    <mergeCell ref="G687:H687"/>
    <mergeCell ref="M690:N690"/>
    <mergeCell ref="O685:Q685"/>
    <mergeCell ref="B685:E685"/>
    <mergeCell ref="F685:K685"/>
    <mergeCell ref="B688:E688"/>
    <mergeCell ref="F688:K690"/>
    <mergeCell ref="M688:N688"/>
    <mergeCell ref="O688:Q690"/>
    <mergeCell ref="B689:E689"/>
    <mergeCell ref="M689:N689"/>
    <mergeCell ref="B690:E690"/>
    <mergeCell ref="A691:Q691"/>
    <mergeCell ref="A692:E692"/>
    <mergeCell ref="F692:H692"/>
    <mergeCell ref="I692:K692"/>
    <mergeCell ref="L692:N692"/>
    <mergeCell ref="O692:Q692"/>
    <mergeCell ref="M685:N685"/>
    <mergeCell ref="B699:E699"/>
    <mergeCell ref="F699:K700"/>
    <mergeCell ref="M699:N699"/>
    <mergeCell ref="O699:Q700"/>
    <mergeCell ref="B700:E700"/>
    <mergeCell ref="M700:N700"/>
    <mergeCell ref="A697:E697"/>
    <mergeCell ref="G697:H697"/>
    <mergeCell ref="I697:Q697"/>
    <mergeCell ref="B698:E698"/>
    <mergeCell ref="F698:H698"/>
    <mergeCell ref="J698:K698"/>
    <mergeCell ref="B695:E695"/>
    <mergeCell ref="F695:K696"/>
    <mergeCell ref="M695:N695"/>
    <mergeCell ref="O695:Q696"/>
    <mergeCell ref="B696:E696"/>
    <mergeCell ref="M696:N696"/>
    <mergeCell ref="L698:Q698"/>
    <mergeCell ref="A706:Q706"/>
    <mergeCell ref="A707:Q707"/>
    <mergeCell ref="A708:E708"/>
    <mergeCell ref="F708:H708"/>
    <mergeCell ref="I708:K708"/>
    <mergeCell ref="L708:N708"/>
    <mergeCell ref="O708:Q708"/>
    <mergeCell ref="I709:Q712"/>
    <mergeCell ref="B703:E703"/>
    <mergeCell ref="F703:K704"/>
    <mergeCell ref="M703:N703"/>
    <mergeCell ref="O703:Q704"/>
    <mergeCell ref="B704:E704"/>
    <mergeCell ref="M704:N704"/>
    <mergeCell ref="A701:E701"/>
    <mergeCell ref="G701:H701"/>
    <mergeCell ref="I701:Q701"/>
    <mergeCell ref="B702:E702"/>
    <mergeCell ref="F702:H702"/>
    <mergeCell ref="J702:K702"/>
    <mergeCell ref="L702:Q702"/>
    <mergeCell ref="B713:E713"/>
    <mergeCell ref="F713:K714"/>
    <mergeCell ref="M713:N713"/>
    <mergeCell ref="O713:Q714"/>
    <mergeCell ref="B714:E714"/>
    <mergeCell ref="M714:N714"/>
    <mergeCell ref="A715:Q715"/>
    <mergeCell ref="A716:E716"/>
    <mergeCell ref="F716:H716"/>
    <mergeCell ref="A709:E709"/>
    <mergeCell ref="G709:H709"/>
    <mergeCell ref="A710:E710"/>
    <mergeCell ref="G710:H710"/>
    <mergeCell ref="A711:E711"/>
    <mergeCell ref="G711:H711"/>
    <mergeCell ref="A712:E712"/>
    <mergeCell ref="G712:H712"/>
    <mergeCell ref="A722:E722"/>
    <mergeCell ref="G722:H722"/>
    <mergeCell ref="I722:Q722"/>
    <mergeCell ref="B723:E723"/>
    <mergeCell ref="F723:K723"/>
    <mergeCell ref="M723:N723"/>
    <mergeCell ref="O723:Q723"/>
    <mergeCell ref="A720:Q720"/>
    <mergeCell ref="A721:E721"/>
    <mergeCell ref="F721:H721"/>
    <mergeCell ref="I721:K721"/>
    <mergeCell ref="L721:N721"/>
    <mergeCell ref="O721:Q721"/>
    <mergeCell ref="I716:K716"/>
    <mergeCell ref="L716:N716"/>
    <mergeCell ref="O716:Q716"/>
    <mergeCell ref="A717:E717"/>
    <mergeCell ref="G717:H717"/>
    <mergeCell ref="A718:E718"/>
    <mergeCell ref="G718:H718"/>
    <mergeCell ref="I717:Q719"/>
    <mergeCell ref="A719:E719"/>
    <mergeCell ref="G719:H719"/>
    <mergeCell ref="I726:Q726"/>
    <mergeCell ref="B727:E727"/>
    <mergeCell ref="F727:K727"/>
    <mergeCell ref="M727:N727"/>
    <mergeCell ref="O727:Q727"/>
    <mergeCell ref="A728:E728"/>
    <mergeCell ref="G728:H728"/>
    <mergeCell ref="I728:Q728"/>
    <mergeCell ref="A726:E726"/>
    <mergeCell ref="G726:H726"/>
    <mergeCell ref="A724:E724"/>
    <mergeCell ref="G724:H724"/>
    <mergeCell ref="I724:Q724"/>
    <mergeCell ref="B725:E725"/>
    <mergeCell ref="F725:K725"/>
    <mergeCell ref="M725:N725"/>
    <mergeCell ref="O725:Q725"/>
    <mergeCell ref="A736:Q736"/>
    <mergeCell ref="A737:E737"/>
    <mergeCell ref="F737:H737"/>
    <mergeCell ref="I737:K737"/>
    <mergeCell ref="L737:N737"/>
    <mergeCell ref="O737:Q737"/>
    <mergeCell ref="I738:Q742"/>
    <mergeCell ref="B732:E732"/>
    <mergeCell ref="B733:E733"/>
    <mergeCell ref="B734:E734"/>
    <mergeCell ref="B735:E735"/>
    <mergeCell ref="M735:N735"/>
    <mergeCell ref="B729:E729"/>
    <mergeCell ref="F729:K735"/>
    <mergeCell ref="M729:N729"/>
    <mergeCell ref="M734:N734"/>
    <mergeCell ref="M733:N733"/>
    <mergeCell ref="O729:Q735"/>
    <mergeCell ref="B730:E730"/>
    <mergeCell ref="M730:N730"/>
    <mergeCell ref="B731:E731"/>
    <mergeCell ref="M731:N731"/>
    <mergeCell ref="M732:N732"/>
    <mergeCell ref="A745:E745"/>
    <mergeCell ref="G745:H745"/>
    <mergeCell ref="I745:Q745"/>
    <mergeCell ref="G742:H742"/>
    <mergeCell ref="A743:Q743"/>
    <mergeCell ref="A744:E744"/>
    <mergeCell ref="F744:H744"/>
    <mergeCell ref="I744:K744"/>
    <mergeCell ref="L744:N744"/>
    <mergeCell ref="O744:Q744"/>
    <mergeCell ref="A738:E738"/>
    <mergeCell ref="G738:H738"/>
    <mergeCell ref="A739:E739"/>
    <mergeCell ref="G739:H739"/>
    <mergeCell ref="A740:E740"/>
    <mergeCell ref="G740:H740"/>
    <mergeCell ref="A741:E741"/>
    <mergeCell ref="G741:H741"/>
    <mergeCell ref="A742:E742"/>
    <mergeCell ref="N79:R79"/>
    <mergeCell ref="B151:I151"/>
    <mergeCell ref="B142:K142"/>
    <mergeCell ref="B145:K145"/>
    <mergeCell ref="B148:I148"/>
    <mergeCell ref="N78:R78"/>
    <mergeCell ref="B79:K79"/>
    <mergeCell ref="B78:K78"/>
    <mergeCell ref="N225:R225"/>
    <mergeCell ref="N135:R136"/>
    <mergeCell ref="N213:R213"/>
    <mergeCell ref="B219:K219"/>
    <mergeCell ref="L219:M219"/>
    <mergeCell ref="B152:I152"/>
    <mergeCell ref="A19:C19"/>
    <mergeCell ref="D19:I19"/>
    <mergeCell ref="J21:M21"/>
    <mergeCell ref="A22:M22"/>
    <mergeCell ref="N72:R73"/>
    <mergeCell ref="N76:R76"/>
    <mergeCell ref="N70:R71"/>
    <mergeCell ref="N27:R27"/>
    <mergeCell ref="D20:I20"/>
    <mergeCell ref="A34:M34"/>
    <mergeCell ref="I135:K135"/>
    <mergeCell ref="B138:K138"/>
    <mergeCell ref="L141:M141"/>
    <mergeCell ref="A165:K165"/>
    <mergeCell ref="B193:I193"/>
    <mergeCell ref="J148:K148"/>
    <mergeCell ref="L146:M146"/>
    <mergeCell ref="N152:R152"/>
    <mergeCell ref="A684:E684"/>
    <mergeCell ref="N192:R193"/>
    <mergeCell ref="N195:R196"/>
    <mergeCell ref="N214:R215"/>
    <mergeCell ref="N217:R218"/>
    <mergeCell ref="N493:R494"/>
    <mergeCell ref="N496:R497"/>
    <mergeCell ref="N490:R491"/>
    <mergeCell ref="N206:R206"/>
    <mergeCell ref="N237:R237"/>
    <mergeCell ref="N283:R283"/>
    <mergeCell ref="L223:M229"/>
    <mergeCell ref="L235:M238"/>
    <mergeCell ref="L222:M222"/>
    <mergeCell ref="L240:M240"/>
    <mergeCell ref="A264:M264"/>
    <mergeCell ref="L489:M489"/>
    <mergeCell ref="B343:I343"/>
    <mergeCell ref="G684:H684"/>
    <mergeCell ref="I684:Q684"/>
    <mergeCell ref="B679:E679"/>
    <mergeCell ref="F679:K681"/>
    <mergeCell ref="M679:N679"/>
    <mergeCell ref="J677:K677"/>
    <mergeCell ref="O677:Q677"/>
    <mergeCell ref="A675:Q675"/>
    <mergeCell ref="B676:E676"/>
    <mergeCell ref="G676:H676"/>
    <mergeCell ref="B671:E671"/>
    <mergeCell ref="F671:H671"/>
    <mergeCell ref="J671:K671"/>
    <mergeCell ref="L671:Q671"/>
    <mergeCell ref="A682:Q682"/>
    <mergeCell ref="B678:E678"/>
    <mergeCell ref="F678:H678"/>
    <mergeCell ref="J678:K678"/>
    <mergeCell ref="L678:Q678"/>
    <mergeCell ref="B681:E681"/>
    <mergeCell ref="M681:N681"/>
    <mergeCell ref="O681:Q681"/>
    <mergeCell ref="O679:Q679"/>
    <mergeCell ref="B680:E680"/>
    <mergeCell ref="M680:N680"/>
    <mergeCell ref="M672:N672"/>
    <mergeCell ref="O672:Q672"/>
    <mergeCell ref="B673:E673"/>
    <mergeCell ref="M673:N673"/>
    <mergeCell ref="G677:H677"/>
    <mergeCell ref="A683:E683"/>
    <mergeCell ref="F683:H683"/>
    <mergeCell ref="I683:K683"/>
    <mergeCell ref="L683:N683"/>
    <mergeCell ref="O683:Q683"/>
    <mergeCell ref="J676:K676"/>
    <mergeCell ref="L676:N677"/>
    <mergeCell ref="O676:Q676"/>
    <mergeCell ref="B677:E677"/>
    <mergeCell ref="O673:Q673"/>
    <mergeCell ref="B674:E674"/>
    <mergeCell ref="M674:N674"/>
    <mergeCell ref="O674:Q674"/>
    <mergeCell ref="B672:E672"/>
    <mergeCell ref="F672:K674"/>
    <mergeCell ref="B194:K194"/>
    <mergeCell ref="L194:M194"/>
    <mergeCell ref="B195:I195"/>
    <mergeCell ref="J195:K195"/>
    <mergeCell ref="L192:M193"/>
    <mergeCell ref="L195:M196"/>
    <mergeCell ref="B192:I192"/>
    <mergeCell ref="J192:K192"/>
    <mergeCell ref="B326:I326"/>
    <mergeCell ref="J326:K326"/>
    <mergeCell ref="B232:I232"/>
    <mergeCell ref="B240:K240"/>
    <mergeCell ref="B237:I237"/>
    <mergeCell ref="J237:K237"/>
    <mergeCell ref="O680:Q680"/>
    <mergeCell ref="A668:Q668"/>
    <mergeCell ref="B669:E669"/>
    <mergeCell ref="G669:H669"/>
    <mergeCell ref="J669:K669"/>
    <mergeCell ref="L669:N670"/>
    <mergeCell ref="O669:Q669"/>
    <mergeCell ref="B670:E670"/>
    <mergeCell ref="G670:H670"/>
    <mergeCell ref="J670:K670"/>
    <mergeCell ref="O670:Q670"/>
    <mergeCell ref="A665:Q665"/>
    <mergeCell ref="A666:E666"/>
    <mergeCell ref="F666:H666"/>
    <mergeCell ref="I666:K666"/>
    <mergeCell ref="L666:N666"/>
    <mergeCell ref="O666:Q666"/>
    <mergeCell ref="F667:H667"/>
  </mergeCells>
  <phoneticPr fontId="21" type="noConversion"/>
  <conditionalFormatting sqref="M725:N725">
    <cfRule type="expression" dxfId="195" priority="26" stopIfTrue="1">
      <formula>IF(LEFT(G724)="2",TRUE,FALSE)</formula>
    </cfRule>
  </conditionalFormatting>
  <conditionalFormatting sqref="K680:K681">
    <cfRule type="expression" dxfId="194" priority="27" stopIfTrue="1">
      <formula>IF(R701&gt;=1,TRUE,FALSE)</formula>
    </cfRule>
  </conditionalFormatting>
  <conditionalFormatting sqref="K640:K642 K672:K674 K647:K649 K654:K656 K661:K662">
    <cfRule type="expression" dxfId="193" priority="28" stopIfTrue="1">
      <formula>IF(R652&gt;=1,TRUE,FALSE)</formula>
    </cfRule>
  </conditionalFormatting>
  <conditionalFormatting sqref="F640:J642 F672:J674 F647:J649 F654:J656 F679:J679 F661:J661">
    <cfRule type="expression" dxfId="192" priority="29" stopIfTrue="1">
      <formula>IF(M642&gt;=1,TRUE,FALSE)</formula>
    </cfRule>
  </conditionalFormatting>
  <conditionalFormatting sqref="K663">
    <cfRule type="expression" dxfId="191" priority="30" stopIfTrue="1">
      <formula>IF(R676&gt;=1,TRUE,FALSE)</formula>
    </cfRule>
  </conditionalFormatting>
  <conditionalFormatting sqref="J664">
    <cfRule type="expression" dxfId="190" priority="31" stopIfTrue="1">
      <formula>IF(R677&gt;=1,TRUE,FALSE)</formula>
    </cfRule>
  </conditionalFormatting>
  <conditionalFormatting sqref="F663:G664 H663:J663">
    <cfRule type="expression" dxfId="189" priority="32" stopIfTrue="1">
      <formula>IF(M666&gt;=1,TRUE,FALSE)</formula>
    </cfRule>
  </conditionalFormatting>
  <conditionalFormatting sqref="H664:I664">
    <cfRule type="expression" dxfId="188" priority="33" stopIfTrue="1">
      <formula>IF(P667&gt;=1,TRUE,FALSE)</formula>
    </cfRule>
  </conditionalFormatting>
  <conditionalFormatting sqref="M609:N609 M622:N622 M626:N626 M629:N629 M631:N631 M685:N685 M688:N688 M713:N713 M723:N723 M727:N727 M729:N729">
    <cfRule type="expression" dxfId="187" priority="34" stopIfTrue="1">
      <formula>IF(OR(LEFT(G608)="2",LEFT(G608)="4"),TRUE,FALSE)</formula>
    </cfRule>
  </conditionalFormatting>
  <conditionalFormatting sqref="J614:K614">
    <cfRule type="expression" dxfId="186" priority="35" stopIfTrue="1">
      <formula>IF(OR(LEFT(G613)="2",LEFT(G613)="4"),TRUE,FALSE)</formula>
    </cfRule>
  </conditionalFormatting>
  <conditionalFormatting sqref="J615:K615">
    <cfRule type="expression" dxfId="185" priority="36" stopIfTrue="1">
      <formula>IF(OR(LEFT(G613)="2",LEFT(G613)="4"),TRUE,FALSE)</formula>
    </cfRule>
  </conditionalFormatting>
  <conditionalFormatting sqref="M617:N617 M732:N732">
    <cfRule type="expression" dxfId="184" priority="37" stopIfTrue="1">
      <formula>IF(OR(LEFT(G613)="2",LEFT(G613)="4"),TRUE,FALSE)</formula>
    </cfRule>
  </conditionalFormatting>
  <conditionalFormatting sqref="M618:N618 M733:N733">
    <cfRule type="expression" dxfId="183" priority="38" stopIfTrue="1">
      <formula>IF(OR(LEFT(G613)="2",LEFT(G613)="4"),TRUE,FALSE)</formula>
    </cfRule>
  </conditionalFormatting>
  <conditionalFormatting sqref="J637:K638 J644:K645 J651:K652 J658:K659 J669:K670 J676:K677">
    <cfRule type="expression" dxfId="182" priority="39" stopIfTrue="1">
      <formula>IF(OR((G637)="2=Not available",LEFT(G637)="4"),TRUE,FALSE)</formula>
    </cfRule>
  </conditionalFormatting>
  <conditionalFormatting sqref="O637:Q638 O644:Q645 O651:Q652 O658:Q659 O669:Q670 O676:Q677">
    <cfRule type="expression" dxfId="181" priority="40" stopIfTrue="1">
      <formula>IF(OR(G637="2=Not available",LEFT(G637)="4"),TRUE,FALSE)</formula>
    </cfRule>
  </conditionalFormatting>
  <conditionalFormatting sqref="M640:N640 M647:N647 M654:N654 M661:N661 M672:N672 M679:N679">
    <cfRule type="expression" dxfId="180" priority="41" stopIfTrue="1">
      <formula>IF(AND((OR(LEFT(G637)="2",LEFT(G637)="4")),(OR(LEFT(G638)="2",LEFT(G638)="4"))),TRUE,FALSE)</formula>
    </cfRule>
  </conditionalFormatting>
  <conditionalFormatting sqref="M641:N641 M648:N648 M655:N655 M662:N662 M673:N673 M680:N680">
    <cfRule type="expression" dxfId="179" priority="42" stopIfTrue="1">
      <formula>IF(AND((OR(LEFT(G637)="2",LEFT(G637)="4")),(OR(LEFT(G638)="2",LEFT(G638)="4"))),TRUE,FALSE)</formula>
    </cfRule>
  </conditionalFormatting>
  <conditionalFormatting sqref="M689:N689 M714:N714 M730:N730">
    <cfRule type="expression" dxfId="178" priority="43" stopIfTrue="1">
      <formula>IF(OR(LEFT(G687)="2",LEFT(G687)="4"),TRUE,FALSE)</formula>
    </cfRule>
  </conditionalFormatting>
  <conditionalFormatting sqref="J694:K694 J698:K698 J702:K702">
    <cfRule type="expression" dxfId="177" priority="44" stopIfTrue="1">
      <formula>IF(OR((G693)="2=Not available",LEFT(G693)="4"),TRUE,FALSE)</formula>
    </cfRule>
  </conditionalFormatting>
  <conditionalFormatting sqref="M695:N695 M699:N699 M703:N703">
    <cfRule type="expression" dxfId="176" priority="45" stopIfTrue="1">
      <formula>IF(OR((G693)="2=Not available",LEFT(G693)="4"),TRUE,FALSE)</formula>
    </cfRule>
  </conditionalFormatting>
  <conditionalFormatting sqref="M696:N696 M700:N700 M704:N704">
    <cfRule type="expression" dxfId="175" priority="46" stopIfTrue="1">
      <formula>IF(OR((G693)="2=Not available",LEFT(G693)="4"),TRUE,FALSE)</formula>
    </cfRule>
  </conditionalFormatting>
  <conditionalFormatting sqref="M731:N731">
    <cfRule type="expression" dxfId="174" priority="47" stopIfTrue="1">
      <formula>IF(OR(LEFT(G728)="2",LEFT(G728)="4"),TRUE,FALSE)</formula>
    </cfRule>
  </conditionalFormatting>
  <conditionalFormatting sqref="M734:N734">
    <cfRule type="expression" dxfId="173" priority="48" stopIfTrue="1">
      <formula>IF(OR(LEFT(G728)="2",LEFT(G728)="4"),TRUE,FALSE)</formula>
    </cfRule>
  </conditionalFormatting>
  <conditionalFormatting sqref="R603:V603 N597:R597 R583:V583 N570:R570 N575:R575 N436:R436 N65:R65 N113:R113">
    <cfRule type="expression" dxfId="172" priority="49" stopIfTrue="1">
      <formula>IF($D$5&gt;=200,TRUE,FALSE)</formula>
    </cfRule>
  </conditionalFormatting>
  <conditionalFormatting sqref="O640:Q641 O647:Q648 O654:Q655 O661:Q662 O672:Q673 O679:Q680">
    <cfRule type="expression" dxfId="171" priority="50" stopIfTrue="1">
      <formula>IF(O637=$R$656,TRUE,FALSE)</formula>
    </cfRule>
  </conditionalFormatting>
  <conditionalFormatting sqref="N748:R748 R756:V756 N527:R527 N562:R562 N555:R555 N553:R553 N551:R551 N543:R543 N538:R538 N534:R534 N532:R532 N509:R509 N488:R488 N477:R478 N447:R447 N453:R453 N463:R464 N435:R435 N416:R416 N396:R396 N376:R376 N110:R110">
    <cfRule type="expression" dxfId="170" priority="51" stopIfTrue="1">
      <formula>IF($D$5&gt;=200,TRUE,FALSE)</formula>
    </cfRule>
  </conditionalFormatting>
  <conditionalFormatting sqref="L751:M752 J758:K758 M758:N758 G758:H758">
    <cfRule type="expression" dxfId="169" priority="52" stopIfTrue="1">
      <formula>IF(ISBLANK($M$808),FALSE,TRUE)</formula>
    </cfRule>
  </conditionalFormatting>
  <conditionalFormatting sqref="J759:K780 M759:N780 G759:H780">
    <cfRule type="expression" dxfId="168" priority="53" stopIfTrue="1">
      <formula>IF(ISBLANK($M$750),FALSE,TRUE)</formula>
    </cfRule>
  </conditionalFormatting>
  <conditionalFormatting sqref="F433:G433">
    <cfRule type="expression" dxfId="167" priority="55" stopIfTrue="1">
      <formula>IF($D$5&gt;=200,TRUE,FALSE)</formula>
    </cfRule>
  </conditionalFormatting>
  <conditionalFormatting sqref="L273:M273">
    <cfRule type="expression" dxfId="166" priority="56" stopIfTrue="1">
      <formula>IF(ISBLANK($L$94),FALSE,IF($L$94&gt;=50,FALSE,TRUE))</formula>
    </cfRule>
  </conditionalFormatting>
  <conditionalFormatting sqref="L111:M111">
    <cfRule type="expression" dxfId="165" priority="57" stopIfTrue="1">
      <formula>IF($D$5 &lt;200, TRUE,FALSE)</formula>
    </cfRule>
  </conditionalFormatting>
  <conditionalFormatting sqref="D5:M5">
    <cfRule type="expression" dxfId="164" priority="58" stopIfTrue="1">
      <formula>$D$5&gt;=200</formula>
    </cfRule>
  </conditionalFormatting>
  <conditionalFormatting sqref="N72:R73">
    <cfRule type="expression" dxfId="163" priority="59" stopIfTrue="1">
      <formula>IF(NOT(ISBLANK($L$72)),TRUE,FALSE)</formula>
    </cfRule>
  </conditionalFormatting>
  <conditionalFormatting sqref="L450:M451">
    <cfRule type="expression" dxfId="162" priority="60" stopIfTrue="1">
      <formula>IF(ISBLANK($M$449),FALSE,TRUE)</formula>
    </cfRule>
  </conditionalFormatting>
  <conditionalFormatting sqref="N266">
    <cfRule type="expression" dxfId="161" priority="61" stopIfTrue="1">
      <formula>IF(AND(NOT(ISBLANK(#REF!)),#REF!&lt;50),TRUE,FALSE)</formula>
    </cfRule>
  </conditionalFormatting>
  <conditionalFormatting sqref="K679">
    <cfRule type="expression" dxfId="160" priority="62" stopIfTrue="1">
      <formula>IF(#REF!&gt;=1,TRUE,FALSE)</formula>
    </cfRule>
  </conditionalFormatting>
  <conditionalFormatting sqref="F680:J681">
    <cfRule type="expression" dxfId="159" priority="63" stopIfTrue="1">
      <formula>IF(#REF!&gt;=1,TRUE,FALSE)</formula>
    </cfRule>
  </conditionalFormatting>
  <conditionalFormatting sqref="F662:J662">
    <cfRule type="expression" dxfId="158" priority="64" stopIfTrue="1">
      <formula>IF(#REF!&gt;=1,TRUE,FALSE)</formula>
    </cfRule>
  </conditionalFormatting>
  <conditionalFormatting sqref="N27:R27">
    <cfRule type="expression" dxfId="157" priority="66" stopIfTrue="1">
      <formula>IF(S27&lt;&gt;0,TRUE,FALSE)</formula>
    </cfRule>
  </conditionalFormatting>
  <conditionalFormatting sqref="N76:R76">
    <cfRule type="containsText" dxfId="156" priority="22" stopIfTrue="1" operator="containsText" text="Any clinic included in 0208 needs to be listed on Offsite Locations tab.">
      <formula>NOT(ISERROR(SEARCH("Any clinic included in 0208 needs to be listed on Offsite Locations tab.",N76)))</formula>
    </cfRule>
  </conditionalFormatting>
  <conditionalFormatting sqref="N189">
    <cfRule type="expression" dxfId="155" priority="67" stopIfTrue="1">
      <formula>IF(AND(ISBLANK(H189),ISBLANK(#REF!),ISBLANK(H190)),TRUE,FALSE)</formula>
    </cfRule>
  </conditionalFormatting>
  <conditionalFormatting sqref="L452:M452">
    <cfRule type="expression" dxfId="154" priority="211" stopIfTrue="1">
      <formula>IF(ISBLANK($M$760),FALSE,TRUE)</formula>
    </cfRule>
  </conditionalFormatting>
  <conditionalFormatting sqref="A266:K273">
    <cfRule type="expression" dxfId="153" priority="212" stopIfTrue="1">
      <formula>IF(OR(AND(ISBLANK($L$571),$S$571&lt;50), AND(NOT(ISBLANK($L$571)),$L$571&lt;50)),TRUE,FALSE)</formula>
    </cfRule>
  </conditionalFormatting>
  <conditionalFormatting sqref="N192">
    <cfRule type="expression" dxfId="152" priority="21" stopIfTrue="1">
      <formula>IF(AND(ISBLANK(J192),ISBLANK($L$191),ISBLANK(J193)),TRUE,FALSE)</formula>
    </cfRule>
  </conditionalFormatting>
  <conditionalFormatting sqref="N195">
    <cfRule type="expression" dxfId="151" priority="20" stopIfTrue="1">
      <formula>IF(AND(ISBLANK(J195),ISBLANK($L$194),ISBLANK(J196)),TRUE,FALSE)</formula>
    </cfRule>
  </conditionalFormatting>
  <conditionalFormatting sqref="N214">
    <cfRule type="expression" dxfId="150" priority="19" stopIfTrue="1">
      <formula>IF(AND(ISBLANK(J214),ISBLANK($L$213),ISBLANK(J215)),TRUE,FALSE)</formula>
    </cfRule>
  </conditionalFormatting>
  <conditionalFormatting sqref="N217">
    <cfRule type="expression" dxfId="149" priority="18" stopIfTrue="1">
      <formula>IF(AND(ISBLANK(J217),ISBLANK($L$216),ISBLANK(J218)),TRUE,FALSE)</formula>
    </cfRule>
  </conditionalFormatting>
  <conditionalFormatting sqref="N493">
    <cfRule type="expression" dxfId="148" priority="17" stopIfTrue="1">
      <formula>IF(AND(ISBLANK(J493),ISBLANK($L$492),ISBLANK(J494)),TRUE,FALSE)</formula>
    </cfRule>
  </conditionalFormatting>
  <conditionalFormatting sqref="N496">
    <cfRule type="expression" dxfId="147" priority="16" stopIfTrue="1">
      <formula>IF(AND(ISBLANK(J496),ISBLANK($L$495),ISBLANK(J497)),TRUE,FALSE)</formula>
    </cfRule>
  </conditionalFormatting>
  <conditionalFormatting sqref="N490">
    <cfRule type="expression" dxfId="146" priority="15" stopIfTrue="1">
      <formula>IF(AND(ISBLANK(J490),ISBLANK($L$489),ISBLANK(J491)),TRUE,FALSE)</formula>
    </cfRule>
  </conditionalFormatting>
  <conditionalFormatting sqref="N511">
    <cfRule type="expression" dxfId="145" priority="14" stopIfTrue="1">
      <formula>IF(AND(ISBLANK(J511),ISBLANK($L$510),ISBLANK(J512)),TRUE,FALSE)</formula>
    </cfRule>
  </conditionalFormatting>
  <conditionalFormatting sqref="N514">
    <cfRule type="expression" dxfId="144" priority="13" stopIfTrue="1">
      <formula>IF(AND(ISBLANK(J514),ISBLANK($L$513),ISBLANK(J515)),TRUE,FALSE)</formula>
    </cfRule>
  </conditionalFormatting>
  <conditionalFormatting sqref="N517">
    <cfRule type="expression" dxfId="143" priority="12" stopIfTrue="1">
      <formula>IF(AND(ISBLANK(J517),ISBLANK($L$516),ISBLANK(J518)),TRUE,FALSE)</formula>
    </cfRule>
  </conditionalFormatting>
  <conditionalFormatting sqref="L266:M272">
    <cfRule type="expression" dxfId="142" priority="9" stopIfTrue="1">
      <formula>IF(OR(AND(ISBLANK($L$571),$S$571&lt;50), AND(NOT(ISBLANK($L$571)),$L$571&lt;50)),TRUE,FALSE)</formula>
    </cfRule>
  </conditionalFormatting>
  <conditionalFormatting sqref="F432:G432">
    <cfRule type="expression" dxfId="141" priority="8" stopIfTrue="1">
      <formula>IF($D$5&gt;=200,TRUE,FALSE)</formula>
    </cfRule>
  </conditionalFormatting>
  <conditionalFormatting sqref="N152:R152">
    <cfRule type="cellIs" dxfId="140" priority="7" operator="equal">
      <formula>"Please specify on the Explanation Page"</formula>
    </cfRule>
  </conditionalFormatting>
  <conditionalFormatting sqref="D19:I19">
    <cfRule type="expression" dxfId="139" priority="6">
      <formula>IF(ISBLANK($D$5),FALSE,IF(ISBLANK($D$19:$I$19),TRUE,FALSE))</formula>
    </cfRule>
  </conditionalFormatting>
  <conditionalFormatting sqref="L11:M11">
    <cfRule type="expression" dxfId="138" priority="5">
      <formula>IF(ISBLANK($D$5),FALSE,IF(ISBLANK($L$11),TRUE,FALSE))</formula>
    </cfRule>
  </conditionalFormatting>
  <conditionalFormatting sqref="L12:M12">
    <cfRule type="expression" dxfId="137" priority="4">
      <formula>IF(ISBLANK($D$5),FALSE,IF(ISBLANK($L$12),TRUE,FALSE))</formula>
    </cfRule>
  </conditionalFormatting>
  <conditionalFormatting sqref="N535:R536">
    <cfRule type="expression" dxfId="136" priority="1">
      <formula>IF($N$535&lt;&gt;"",TRUE,FALSE)</formula>
    </cfRule>
  </conditionalFormatting>
  <dataValidations count="3">
    <dataValidation type="list" allowBlank="1" showInputMessage="1" showErrorMessage="1" prompt="Plese select availibity of service from drop down list." sqref="G745:H745 G606:H608 G610:H613 G620:H621 G623:H625 G627:H628 G630:H630 G637:H638 G644:H645 G651:H652 G658:H659 G669:H670 G676:H677 G684:H684 G686:H687 G693:H693 G697:H697 G701:H701 G709:H712 G717:H719 G722:H722 G724:H724 G726:H726 G728:H728 G738:H742" xr:uid="{00000000-0002-0000-0100-000000000000}">
      <formula1>$S$646:$S$649</formula1>
    </dataValidation>
    <dataValidation type="list" allowBlank="1" showInputMessage="1" showErrorMessage="1" prompt="Please select owner of equipment from drop down list." sqref="O676:Q677 O637:Q638 O644:Q645 O651:Q652 O658:Q659 O669:Q670" xr:uid="{00000000-0002-0000-0100-000001000000}">
      <formula1>$R$647:$R$660</formula1>
    </dataValidation>
    <dataValidation type="list" allowBlank="1" showInputMessage="1" showErrorMessage="1" sqref="D19:I19" xr:uid="{00000000-0002-0000-0100-000002000000}">
      <formula1>$Z$13:$Z$25</formula1>
    </dataValidation>
  </dataValidations>
  <hyperlinks>
    <hyperlink ref="I152" location="'2007 HAR'!A863" display="'2007 HAR'!A863" xr:uid="{00000000-0004-0000-0100-000000000000}"/>
    <hyperlink ref="N166:R166" location="'Audit Checks'!A3" display="Audit Check" xr:uid="{00000000-0004-0000-0100-000001000000}"/>
    <hyperlink ref="N183:R183" location="'Audit Checks'!A3" display="Audit Check" xr:uid="{00000000-0004-0000-0100-000002000000}"/>
    <hyperlink ref="B199:K199" location="def_0847" display="Other Payers: Patient Charges (Champus, Workers' Comp, Auto, etc.)" xr:uid="{00000000-0004-0000-0100-000003000000}"/>
    <hyperlink ref="B222:K222" location="def_0762" display="Charity Care Adjustments" xr:uid="{00000000-0004-0000-0100-000004000000}"/>
    <hyperlink ref="B220:K220" location="def_7410" display="Self Pay Discounts" xr:uid="{00000000-0004-0000-0100-000005000000}"/>
    <hyperlink ref="B233:K233" location="def_0751" display="Other Payers: Adjustments and Uncollectibles (Champus, Workman's Comp, Auto, and includes small balance write offs)" xr:uid="{00000000-0004-0000-0100-000006000000}"/>
    <hyperlink ref="N205:R205" location="'Audit Checks'!A3" display="Audit Check" xr:uid="{00000000-0004-0000-0100-000007000000}"/>
    <hyperlink ref="B227:I227" location="def_7575" display="Average Partial Charity Care Discount (percent)" xr:uid="{00000000-0004-0000-0100-000008000000}"/>
    <hyperlink ref="B225:G226" location="def_7573_7574" display="Full Charity Care Discount Applied" xr:uid="{00000000-0004-0000-0100-000009000000}"/>
    <hyperlink ref="B274:K274" location="def_0630" display="Total Administrative Expenses" xr:uid="{00000000-0004-0000-0100-00000A000000}"/>
    <hyperlink ref="B278:K278" location="def_0637" display="Total Cost of Regulatory and Compliance Reporting" xr:uid="{00000000-0004-0000-0100-00000B000000}"/>
    <hyperlink ref="B282:K282" location="def_0650" display="Total Management Information Systems Expenses" xr:uid="{00000000-0004-0000-0100-00000C000000}"/>
    <hyperlink ref="B283:K283" location="def_0655" display="Total Plant, Equipment, and Occupancy Expenses" xr:uid="{00000000-0004-0000-0100-00000D000000}"/>
    <hyperlink ref="B288:G288" location="def_7310" display="Community Care. Calculation: (0600/(0740+0770))*absolute value of (0762)" xr:uid="{00000000-0004-0000-0100-00000E000000}"/>
    <hyperlink ref="B289:G290" location="def_7577" display="Underpayment for Services Provided under State Health Care Programs.  Calculation: (((0843+0854)*(0600/(0740+0770)))-(0843+0854+0744+0743))" xr:uid="{00000000-0004-0000-0100-00000F000000}"/>
    <hyperlink ref="B291:G291" location="def_7578" display="Cost of Operating Subsidized Services" xr:uid="{00000000-0004-0000-0100-000010000000}"/>
    <hyperlink ref="B292:G292" location="def_7579" display="Education Cost" xr:uid="{00000000-0004-0000-0100-000011000000}"/>
    <hyperlink ref="B293:G293" location="def_7580" display="Research Cost" xr:uid="{00000000-0004-0000-0100-000012000000}"/>
    <hyperlink ref="B294:G294" location="def_7581" display="Community Health Services Cost" xr:uid="{00000000-0004-0000-0100-000013000000}"/>
    <hyperlink ref="B295:G295" location="def_7582" display="Financial and In-Kind Contributions" xr:uid="{00000000-0004-0000-0100-000014000000}"/>
    <hyperlink ref="B296:G296" location="def_7583" display="Cost of Community Building Activities" xr:uid="{00000000-0004-0000-0100-000015000000}"/>
    <hyperlink ref="B297:G297" location="def_7584" display="Cost of Community Benefit Operations" xr:uid="{00000000-0004-0000-0100-000016000000}"/>
    <hyperlink ref="B307:K307" location="def_7576" display="Purchased Charity Care Services" xr:uid="{00000000-0004-0000-0100-000017000000}"/>
    <hyperlink ref="N378:R378" location="'Audit Checks'!A3" display="Audit Check" xr:uid="{00000000-0004-0000-0100-000018000000}"/>
    <hyperlink ref="N436:R436" location="'2019 HAR'!B449" display="'2019 HAR'!B449" xr:uid="{00000000-0004-0000-0100-000019000000}"/>
    <hyperlink ref="N454:R454" location="'Audit Checks'!A3" display="Audit Check" xr:uid="{00000000-0004-0000-0100-00001A000000}"/>
    <hyperlink ref="B500:K500" location="def_4344" display="Other Payers: Admissions (Champus, Workman's Comp, Auto, etc.)" xr:uid="{00000000-0004-0000-0100-00001B000000}"/>
    <hyperlink ref="B521:K521" location="def_4026" display="Other Payers: Patient Days (Champus, Workman's Comp, Auto, etc.)" xr:uid="{00000000-0004-0000-0100-00001C000000}"/>
    <hyperlink ref="B594:E594" location="def_7082" display="Total Available Beds" xr:uid="{00000000-0004-0000-0100-00001D000000}"/>
    <hyperlink ref="B749:K750" location="def_7594" display="Did your Facility have any Major Capital Expenditure Commitments in FY 2008 that were over $1 million dollars each?" xr:uid="{00000000-0004-0000-0100-00001E000000}"/>
    <hyperlink ref="A5:C5" location="HCCIS_ID!A1" display="HCCIS ID" xr:uid="{00000000-0004-0000-0100-00001F000000}"/>
    <hyperlink ref="A6:C6" location="def_NPI" display="NPI" xr:uid="{00000000-0004-0000-0100-000020000000}"/>
    <hyperlink ref="N65:R65" location="Code_0780" display="Code_0780" xr:uid="{00000000-0004-0000-0100-000021000000}"/>
    <hyperlink ref="N135:R136" location="Code_7689" display="Code_7689" xr:uid="{00000000-0004-0000-0100-000022000000}"/>
    <hyperlink ref="N473:R474" location="DRGs" display="DRGs" xr:uid="{00000000-0004-0000-0100-000023000000}"/>
    <hyperlink ref="N751:R752" location="'Capital Expend Project Specific'!A1" display="'Capital Expend Project Specific'!A1" xr:uid="{00000000-0004-0000-0100-000024000000}"/>
    <hyperlink ref="N59:R59" location="Code_7594" display="Click here to go to the Capital Expenditure Section" xr:uid="{00000000-0004-0000-0100-000025000000}"/>
    <hyperlink ref="N60:R60" location="'Capital Expend Project Specific'!A1" display="Click here to go the the Capital Expenditure Project Specific Tab" xr:uid="{00000000-0004-0000-0100-000026000000}"/>
    <hyperlink ref="N464:R464" location="Code_7691" display="Code_7691" xr:uid="{00000000-0004-0000-0100-000027000000}"/>
    <hyperlink ref="N478:R478" location="Code_7690" display="Code_7690" xr:uid="{00000000-0004-0000-0100-000028000000}"/>
    <hyperlink ref="N265:Q265" location="'Audit Checks'!A1" display="Audit Check" xr:uid="{00000000-0004-0000-0100-000029000000}"/>
    <hyperlink ref="A781:B781" location="'2020 HAR'!A1" display="start of formset" xr:uid="{00000000-0004-0000-0100-00002A000000}"/>
    <hyperlink ref="F781:G781" location="'Audit Checks'!A1" display="Audit Check" xr:uid="{00000000-0004-0000-0100-00002B000000}"/>
    <hyperlink ref="J781:K781" location="'Service Line Data'!A1" display="Service Line Data" xr:uid="{00000000-0004-0000-0100-00002C000000}"/>
    <hyperlink ref="O781:Q781" location="'Capital Expend Project Specific'!A1" display="Capital Exenditure Detail" xr:uid="{00000000-0004-0000-0100-00002D000000}"/>
    <hyperlink ref="B259:K259" location="def_7567" display="Bad Debt Write Offs" xr:uid="{00000000-0004-0000-0100-00002E000000}"/>
    <hyperlink ref="N753:V753" location="Cap_Expend_Name" display="The Capital Expenditure Contact information has NOT been provided.  Click here to go to Capital Expenditure Contact Section to fill in this information now." xr:uid="{00000000-0004-0000-0100-00002F000000}"/>
    <hyperlink ref="N113:R113" location="Code_2031" display="Code_2031" xr:uid="{00000000-0004-0000-0100-000030000000}"/>
    <hyperlink ref="N27:R27" location="'Audit Checks'!A1" display="'Audit Checks'!A1" xr:uid="{00000000-0004-0000-0100-000031000000}"/>
    <hyperlink ref="N70:R71" location="'Offsite Locations'!A1" display="If there there are offsite locations operating under the hospital's license, please click here and provide more information on the sites" xr:uid="{00000000-0004-0000-0100-000032000000}"/>
    <hyperlink ref="G757:H757" location="def_medical_equip" display="Medical Equipment" xr:uid="{00000000-0004-0000-0100-000033000000}"/>
    <hyperlink ref="N72:R73" location="'Offsite Locations'!A1" display="'Offsite Locations'!A1" xr:uid="{00000000-0004-0000-0100-000035000000}"/>
    <hyperlink ref="N76:R76" location="'Offsite Locations'!A1" display="'Offsite Locations'!A1" xr:uid="{00000000-0004-0000-0100-000036000000}"/>
    <hyperlink ref="B79:K79" location="def_8100" display="Provision for Bad Debts" xr:uid="{00000000-0004-0000-0100-000037000000}"/>
    <hyperlink ref="B99:K99" location="def_8100" display="Provision for Bad Debts (ties to 0621)" xr:uid="{00000000-0004-0000-0100-000038000000}"/>
    <hyperlink ref="B230:K230" location="def_8100" display="Provision for Bad Debts (Ties to 0739)" xr:uid="{00000000-0004-0000-0100-000039000000}"/>
    <hyperlink ref="N152:R152" location="Explanation_of_Adjustments" display="Explanation_of_Adjustments" xr:uid="{00000000-0004-0000-0100-00003A000000}"/>
  </hyperlinks>
  <pageMargins left="0.75" right="0.75" top="1" bottom="1" header="0.5" footer="0.5"/>
  <pageSetup scale="61" orientation="portrait" r:id="rId1"/>
  <headerFooter alignWithMargins="0">
    <oddFooter xml:space="preserve">&amp;LMDH
www.health.state.mn.us/data/economics/hccis/index.html
Phone: 651-201-3572 
Fax: 651-201-5179
&amp;CPage &amp;P
2021 Hospital Annual Report
Health Care Cost  Information System (HCCIS)
&amp;RMHA
Jsanislo@mnhospitals.org
Phone: 651-659-1440
Fax: 651-659-1477
</oddFooter>
  </headerFooter>
  <rowBreaks count="25" manualBreakCount="25">
    <brk id="32" max="16383" man="1"/>
    <brk id="65" max="16383" man="1"/>
    <brk id="93" max="17" man="1"/>
    <brk id="132" max="17" man="1"/>
    <brk id="171" max="17" man="1"/>
    <brk id="202" max="17" man="1"/>
    <brk id="241" max="17" man="1"/>
    <brk id="261" max="17" man="1"/>
    <brk id="283" max="17" man="1"/>
    <brk id="309" max="17" man="1"/>
    <brk id="344" max="17" man="1"/>
    <brk id="373" max="17" man="1"/>
    <brk id="413" max="17" man="1"/>
    <brk id="445" max="17" man="1"/>
    <brk id="461" max="17" man="1"/>
    <brk id="485" max="17" man="1"/>
    <brk id="506" max="17" man="1"/>
    <brk id="529" max="17" man="1"/>
    <brk id="568" max="17" man="1"/>
    <brk id="600" max="17" man="1"/>
    <brk id="631" max="17" man="1"/>
    <brk id="663" max="17" man="1"/>
    <brk id="704" max="17" man="1"/>
    <brk id="745" max="17" man="1"/>
    <brk id="783" max="17"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dimension ref="A1:W85"/>
  <sheetViews>
    <sheetView view="pageBreakPreview" zoomScaleNormal="100" zoomScaleSheetLayoutView="100" workbookViewId="0"/>
  </sheetViews>
  <sheetFormatPr defaultColWidth="7.7109375" defaultRowHeight="25.5" customHeight="1" x14ac:dyDescent="0.2"/>
  <cols>
    <col min="1" max="16384" width="7.7109375" style="1"/>
  </cols>
  <sheetData>
    <row r="1" spans="1:23" s="2" customFormat="1" ht="25.5" customHeight="1" x14ac:dyDescent="0.2">
      <c r="A1" s="15" t="str">
        <f>'2021 HAR'!A33</f>
        <v xml:space="preserve"> </v>
      </c>
      <c r="T1" s="285">
        <f>'2021 HAR'!$D$5</f>
        <v>0</v>
      </c>
      <c r="W1" s="250" t="str">
        <f>IF('2021 HAR'!L136&lt;&gt;"",'2021 HAR'!L136,"")</f>
        <v/>
      </c>
    </row>
    <row r="2" spans="1:23" ht="25.5" customHeight="1" x14ac:dyDescent="0.2">
      <c r="A2" s="961" t="s">
        <v>1292</v>
      </c>
      <c r="B2" s="1154"/>
      <c r="C2" s="1154"/>
      <c r="D2" s="1154"/>
      <c r="E2" s="1154"/>
      <c r="F2" s="1154"/>
      <c r="G2" s="1154"/>
      <c r="H2" s="1154"/>
      <c r="I2" s="1154"/>
      <c r="J2" s="1154"/>
      <c r="K2" s="1154"/>
      <c r="L2" s="1154"/>
      <c r="M2" s="1154"/>
      <c r="N2" s="1154"/>
      <c r="O2" s="1154"/>
      <c r="P2" s="1154"/>
      <c r="Q2" s="1154"/>
      <c r="R2" s="1221"/>
      <c r="S2" s="1221"/>
      <c r="T2" s="1221"/>
    </row>
    <row r="3" spans="1:23" s="2" customFormat="1" ht="25.5" customHeight="1" x14ac:dyDescent="0.2">
      <c r="A3" s="961" t="s">
        <v>1369</v>
      </c>
      <c r="B3" s="1154"/>
      <c r="C3" s="1154"/>
      <c r="D3" s="1154"/>
      <c r="E3" s="1154"/>
      <c r="F3" s="1154"/>
      <c r="G3" s="1154"/>
      <c r="H3" s="1154"/>
      <c r="I3" s="1154"/>
      <c r="J3" s="1154"/>
      <c r="K3" s="1154"/>
      <c r="L3" s="1154"/>
      <c r="M3" s="1154"/>
      <c r="N3" s="1154"/>
      <c r="O3" s="1154"/>
      <c r="P3" s="1154"/>
      <c r="Q3" s="1154"/>
      <c r="R3" s="1221"/>
      <c r="S3" s="1221"/>
      <c r="T3" s="1221"/>
    </row>
    <row r="4" spans="1:23" s="2" customFormat="1" ht="25.5" customHeight="1" x14ac:dyDescent="0.2">
      <c r="A4" s="1224" t="s">
        <v>1560</v>
      </c>
      <c r="B4" s="1221"/>
      <c r="C4" s="1221"/>
      <c r="D4" s="1221"/>
      <c r="E4" s="1221"/>
      <c r="F4" s="1221"/>
      <c r="G4" s="1221"/>
      <c r="H4" s="1221"/>
      <c r="I4" s="1221"/>
      <c r="J4" s="1221"/>
      <c r="K4" s="1221"/>
      <c r="L4" s="1221"/>
      <c r="M4" s="1221"/>
      <c r="N4" s="1221"/>
      <c r="O4" s="1221"/>
      <c r="P4" s="1221"/>
      <c r="Q4" s="1221"/>
      <c r="R4" s="1162" t="s">
        <v>2834</v>
      </c>
      <c r="S4" s="1222"/>
      <c r="T4" s="1223"/>
    </row>
    <row r="5" spans="1:23" s="2" customFormat="1" ht="25.5" customHeight="1" x14ac:dyDescent="0.2">
      <c r="A5" s="32"/>
      <c r="B5" s="780" t="s">
        <v>35</v>
      </c>
      <c r="C5" s="780"/>
      <c r="D5" s="780"/>
      <c r="E5" s="780"/>
      <c r="F5" s="1132" t="s">
        <v>652</v>
      </c>
      <c r="G5" s="1132"/>
      <c r="H5" s="1132"/>
      <c r="I5" s="1124" t="s">
        <v>37</v>
      </c>
      <c r="J5" s="1124"/>
      <c r="K5" s="1023"/>
      <c r="L5" s="1132" t="s">
        <v>38</v>
      </c>
      <c r="M5" s="1132"/>
      <c r="N5" s="1023"/>
      <c r="O5" s="1124" t="s">
        <v>39</v>
      </c>
      <c r="P5" s="1124"/>
      <c r="Q5" s="1023"/>
      <c r="R5" s="1124" t="s">
        <v>772</v>
      </c>
      <c r="S5" s="1124"/>
      <c r="T5" s="1023"/>
    </row>
    <row r="6" spans="1:23" s="2" customFormat="1" ht="25.5" customHeight="1" x14ac:dyDescent="0.2">
      <c r="A6" s="24"/>
      <c r="B6" s="1125" t="s">
        <v>653</v>
      </c>
      <c r="C6" s="1125"/>
      <c r="D6" s="1125"/>
      <c r="E6" s="1126"/>
      <c r="F6" s="387">
        <v>7689</v>
      </c>
      <c r="G6" s="1168">
        <f>SUM(J6+M6+P6+S6)</f>
        <v>0</v>
      </c>
      <c r="H6" s="946"/>
      <c r="I6" s="387">
        <v>7549</v>
      </c>
      <c r="J6" s="1228"/>
      <c r="K6" s="1229"/>
      <c r="L6" s="387">
        <v>7554</v>
      </c>
      <c r="M6" s="1228"/>
      <c r="N6" s="1229"/>
      <c r="O6" s="387">
        <v>7560</v>
      </c>
      <c r="P6" s="1228"/>
      <c r="Q6" s="1229"/>
      <c r="R6" s="387">
        <v>8004</v>
      </c>
      <c r="S6" s="1228"/>
      <c r="T6" s="1229"/>
    </row>
    <row r="7" spans="1:23" s="2" customFormat="1" ht="25.5" customHeight="1" x14ac:dyDescent="0.2">
      <c r="A7" s="24"/>
      <c r="B7" s="1125" t="s">
        <v>654</v>
      </c>
      <c r="C7" s="1125"/>
      <c r="D7" s="1125"/>
      <c r="E7" s="1126"/>
      <c r="F7" s="387">
        <v>7236</v>
      </c>
      <c r="G7" s="1168">
        <f>SUM(J7+M7+P7+S7)</f>
        <v>0</v>
      </c>
      <c r="H7" s="946"/>
      <c r="I7" s="387">
        <v>7548</v>
      </c>
      <c r="J7" s="1228"/>
      <c r="K7" s="1229"/>
      <c r="L7" s="387">
        <v>7552</v>
      </c>
      <c r="M7" s="1228"/>
      <c r="N7" s="1229"/>
      <c r="O7" s="387">
        <v>7561</v>
      </c>
      <c r="P7" s="1228"/>
      <c r="Q7" s="1229"/>
      <c r="R7" s="387">
        <v>8005</v>
      </c>
      <c r="S7" s="1228"/>
      <c r="T7" s="1229"/>
    </row>
    <row r="8" spans="1:23" s="2" customFormat="1" ht="25.5" customHeight="1" x14ac:dyDescent="0.2">
      <c r="A8" s="24"/>
      <c r="B8" s="1125" t="s">
        <v>655</v>
      </c>
      <c r="C8" s="1125"/>
      <c r="D8" s="1125"/>
      <c r="E8" s="1126"/>
      <c r="F8" s="387">
        <v>721</v>
      </c>
      <c r="G8" s="1168">
        <f>SUM(J8+M8+P8+S8)</f>
        <v>0</v>
      </c>
      <c r="H8" s="946"/>
      <c r="I8" s="387">
        <v>7997</v>
      </c>
      <c r="J8" s="1228"/>
      <c r="K8" s="1229"/>
      <c r="L8" s="387">
        <v>7553</v>
      </c>
      <c r="M8" s="1228"/>
      <c r="N8" s="1229"/>
      <c r="O8" s="387">
        <v>7562</v>
      </c>
      <c r="P8" s="1228"/>
      <c r="Q8" s="1229"/>
      <c r="R8" s="387">
        <v>8006</v>
      </c>
      <c r="S8" s="1228"/>
      <c r="T8" s="1229"/>
    </row>
    <row r="9" spans="1:23" s="2" customFormat="1" ht="25.5" customHeight="1" x14ac:dyDescent="0.2">
      <c r="A9" s="24"/>
      <c r="B9" s="1125" t="s">
        <v>656</v>
      </c>
      <c r="C9" s="1125"/>
      <c r="D9" s="1125"/>
      <c r="E9" s="1126"/>
      <c r="F9" s="387">
        <v>727</v>
      </c>
      <c r="G9" s="1168">
        <f>SUM(J9+M9+P9+S9)</f>
        <v>0</v>
      </c>
      <c r="H9" s="946"/>
      <c r="I9" s="387">
        <v>7998</v>
      </c>
      <c r="J9" s="1228"/>
      <c r="K9" s="1229"/>
      <c r="L9" s="387">
        <v>7555</v>
      </c>
      <c r="M9" s="1228"/>
      <c r="N9" s="1229"/>
      <c r="O9" s="387">
        <v>7563</v>
      </c>
      <c r="P9" s="1228"/>
      <c r="Q9" s="1229"/>
      <c r="R9" s="387">
        <v>8059</v>
      </c>
      <c r="S9" s="1228"/>
      <c r="T9" s="1229"/>
    </row>
    <row r="10" spans="1:23" s="2" customFormat="1" ht="25.5" customHeight="1" x14ac:dyDescent="0.2">
      <c r="A10" s="24"/>
      <c r="B10" s="1125" t="s">
        <v>657</v>
      </c>
      <c r="C10" s="1125"/>
      <c r="D10" s="1125"/>
      <c r="E10" s="1126"/>
      <c r="F10" s="387">
        <v>7240</v>
      </c>
      <c r="G10" s="1168">
        <f>SUM(J10+M10+P10+S10)</f>
        <v>0</v>
      </c>
      <c r="H10" s="946"/>
      <c r="I10" s="387">
        <v>7999</v>
      </c>
      <c r="J10" s="1228"/>
      <c r="K10" s="1229"/>
      <c r="L10" s="387">
        <v>7556</v>
      </c>
      <c r="M10" s="1228"/>
      <c r="N10" s="1229"/>
      <c r="O10" s="387">
        <v>7565</v>
      </c>
      <c r="P10" s="1228"/>
      <c r="Q10" s="1229"/>
      <c r="R10" s="387">
        <v>8007</v>
      </c>
      <c r="S10" s="1228"/>
      <c r="T10" s="1229"/>
    </row>
    <row r="11" spans="1:23" s="2" customFormat="1" ht="25.5" customHeight="1" x14ac:dyDescent="0.2">
      <c r="A11" s="24"/>
      <c r="B11" s="1125" t="s">
        <v>658</v>
      </c>
      <c r="C11" s="1125"/>
      <c r="D11" s="1125"/>
      <c r="E11" s="1126"/>
      <c r="F11" s="387">
        <v>714</v>
      </c>
      <c r="G11" s="1228"/>
      <c r="H11" s="1229"/>
      <c r="I11" s="25"/>
      <c r="J11" s="26"/>
      <c r="K11" s="26"/>
      <c r="L11" s="186"/>
      <c r="M11" s="1250"/>
      <c r="N11" s="1251"/>
      <c r="O11" s="186"/>
      <c r="P11" s="1232"/>
      <c r="Q11" s="1234"/>
      <c r="R11" s="187"/>
      <c r="S11" s="1232"/>
      <c r="T11" s="1233"/>
    </row>
    <row r="12" spans="1:23" s="2" customFormat="1" ht="25.5" customHeight="1" x14ac:dyDescent="0.2">
      <c r="A12" s="24"/>
      <c r="B12" s="1125" t="s">
        <v>659</v>
      </c>
      <c r="C12" s="1125"/>
      <c r="D12" s="1125"/>
      <c r="E12" s="1126"/>
      <c r="F12" s="387">
        <v>7546</v>
      </c>
      <c r="G12" s="1168">
        <f>J12+M12+P12</f>
        <v>0</v>
      </c>
      <c r="H12" s="946"/>
      <c r="I12" s="387">
        <v>8050</v>
      </c>
      <c r="J12" s="1228"/>
      <c r="K12" s="1229"/>
      <c r="L12" s="387">
        <v>8051</v>
      </c>
      <c r="M12" s="1228"/>
      <c r="N12" s="1229"/>
      <c r="O12" s="387">
        <v>8052</v>
      </c>
      <c r="P12" s="1228"/>
      <c r="Q12" s="1229"/>
      <c r="R12" s="186"/>
      <c r="S12" s="188"/>
      <c r="T12" s="189"/>
    </row>
    <row r="13" spans="1:23" s="2" customFormat="1" ht="25.5" customHeight="1" x14ac:dyDescent="0.2">
      <c r="A13" s="24"/>
      <c r="B13" s="1125" t="s">
        <v>660</v>
      </c>
      <c r="C13" s="1125"/>
      <c r="D13" s="1125"/>
      <c r="E13" s="1126"/>
      <c r="F13" s="387">
        <v>7238</v>
      </c>
      <c r="G13" s="1168">
        <f>SUM(J13+M13+P13+S13)</f>
        <v>0</v>
      </c>
      <c r="H13" s="946"/>
      <c r="I13" s="387">
        <v>8000</v>
      </c>
      <c r="J13" s="1228"/>
      <c r="K13" s="1229"/>
      <c r="L13" s="387">
        <v>7557</v>
      </c>
      <c r="M13" s="1228"/>
      <c r="N13" s="1229"/>
      <c r="O13" s="387">
        <v>7566</v>
      </c>
      <c r="P13" s="1228"/>
      <c r="Q13" s="1229"/>
      <c r="R13" s="387">
        <v>8009</v>
      </c>
      <c r="S13" s="1228"/>
      <c r="T13" s="1229"/>
    </row>
    <row r="14" spans="1:23" s="2" customFormat="1" ht="25.5" customHeight="1" x14ac:dyDescent="0.2">
      <c r="A14" s="24"/>
      <c r="B14" s="1125" t="s">
        <v>661</v>
      </c>
      <c r="C14" s="1125"/>
      <c r="D14" s="1125"/>
      <c r="E14" s="1126"/>
      <c r="F14" s="387">
        <v>724</v>
      </c>
      <c r="G14" s="1168">
        <f>SUM(J14+M14+P14+S14)</f>
        <v>0</v>
      </c>
      <c r="H14" s="946"/>
      <c r="I14" s="387">
        <v>8001</v>
      </c>
      <c r="J14" s="1228"/>
      <c r="K14" s="1229"/>
      <c r="L14" s="387">
        <v>7558</v>
      </c>
      <c r="M14" s="1228"/>
      <c r="N14" s="1229"/>
      <c r="O14" s="387">
        <v>7704</v>
      </c>
      <c r="P14" s="1228"/>
      <c r="Q14" s="1229"/>
      <c r="R14" s="387">
        <v>8010</v>
      </c>
      <c r="S14" s="1228"/>
      <c r="T14" s="1229"/>
    </row>
    <row r="15" spans="1:23" s="2" customFormat="1" ht="25.5" customHeight="1" x14ac:dyDescent="0.2">
      <c r="A15" s="24"/>
      <c r="B15" s="1125" t="s">
        <v>662</v>
      </c>
      <c r="C15" s="1125"/>
      <c r="D15" s="1125"/>
      <c r="E15" s="1126"/>
      <c r="F15" s="387">
        <v>7132</v>
      </c>
      <c r="G15" s="1168">
        <f>SUM(J15+M15+P15+S15)</f>
        <v>0</v>
      </c>
      <c r="H15" s="946"/>
      <c r="I15" s="387">
        <v>7550</v>
      </c>
      <c r="J15" s="1230"/>
      <c r="K15" s="1231"/>
      <c r="L15" s="387">
        <v>7559</v>
      </c>
      <c r="M15" s="1230"/>
      <c r="N15" s="1231"/>
      <c r="O15" s="387">
        <v>7705</v>
      </c>
      <c r="P15" s="1230"/>
      <c r="Q15" s="1231"/>
      <c r="R15" s="387">
        <v>8011</v>
      </c>
      <c r="S15" s="1230"/>
      <c r="T15" s="1231"/>
    </row>
    <row r="16" spans="1:23" s="2" customFormat="1" ht="25.5" customHeight="1" x14ac:dyDescent="0.2">
      <c r="A16" s="23"/>
      <c r="B16" s="1145" t="s">
        <v>667</v>
      </c>
      <c r="C16" s="1145"/>
      <c r="D16" s="1145"/>
      <c r="E16" s="1146"/>
      <c r="F16" s="387">
        <v>8064</v>
      </c>
      <c r="G16" s="1240">
        <f>SUM(G6:H15)</f>
        <v>0</v>
      </c>
      <c r="H16" s="1260"/>
      <c r="I16" s="1243" t="s">
        <v>2838</v>
      </c>
      <c r="J16" s="1244"/>
      <c r="K16" s="1244"/>
      <c r="L16" s="1244"/>
      <c r="M16" s="1244"/>
      <c r="N16" s="1244"/>
      <c r="O16" s="1245"/>
      <c r="P16" s="1245"/>
      <c r="Q16" s="1245"/>
      <c r="R16" s="1245"/>
      <c r="S16" s="1245"/>
      <c r="T16" s="1245"/>
    </row>
    <row r="17" spans="1:22" s="2" customFormat="1" ht="25.5" customHeight="1" x14ac:dyDescent="0.2">
      <c r="A17" s="24"/>
      <c r="B17" s="1125" t="s">
        <v>666</v>
      </c>
      <c r="C17" s="1125"/>
      <c r="D17" s="1125"/>
      <c r="E17" s="1126"/>
      <c r="F17" s="387">
        <v>7996</v>
      </c>
      <c r="G17" s="1240">
        <f>G18-G16</f>
        <v>0</v>
      </c>
      <c r="H17" s="1260"/>
      <c r="I17" s="1246"/>
      <c r="J17" s="1247"/>
      <c r="K17" s="1247"/>
      <c r="L17" s="1247"/>
      <c r="M17" s="1247"/>
      <c r="N17" s="1247"/>
      <c r="O17" s="1247"/>
      <c r="P17" s="1247"/>
      <c r="Q17" s="1247"/>
      <c r="R17" s="1247"/>
      <c r="S17" s="1247"/>
      <c r="T17" s="1247"/>
    </row>
    <row r="18" spans="1:22" s="2" customFormat="1" ht="25.5" customHeight="1" x14ac:dyDescent="0.2">
      <c r="A18" s="23"/>
      <c r="B18" s="1145" t="s">
        <v>668</v>
      </c>
      <c r="C18" s="1145"/>
      <c r="D18" s="1145"/>
      <c r="E18" s="1146"/>
      <c r="F18" s="387">
        <v>8065</v>
      </c>
      <c r="G18" s="1240">
        <f>Code_7133</f>
        <v>0</v>
      </c>
      <c r="H18" s="1241"/>
      <c r="I18" s="1248"/>
      <c r="J18" s="1249"/>
      <c r="K18" s="1249"/>
      <c r="L18" s="1249"/>
      <c r="M18" s="1249"/>
      <c r="N18" s="1249"/>
      <c r="O18" s="1249"/>
      <c r="P18" s="1249"/>
      <c r="Q18" s="1249"/>
      <c r="R18" s="1249"/>
      <c r="S18" s="1249"/>
      <c r="T18" s="1249"/>
    </row>
    <row r="19" spans="1:22" s="2" customFormat="1" ht="25.5" customHeight="1" x14ac:dyDescent="0.2">
      <c r="A19" s="27"/>
      <c r="B19" s="1138" t="s">
        <v>773</v>
      </c>
      <c r="C19" s="1138"/>
      <c r="D19" s="1138"/>
      <c r="E19" s="1139"/>
      <c r="F19" s="387">
        <v>8066</v>
      </c>
      <c r="G19" s="1174">
        <f>Code_0730</f>
        <v>0</v>
      </c>
      <c r="H19" s="1175">
        <f>SUM(H3:H18)</f>
        <v>0</v>
      </c>
      <c r="I19" s="387">
        <v>7692</v>
      </c>
      <c r="J19" s="1174">
        <f>SUM(J6:K10,J12:K15)</f>
        <v>0</v>
      </c>
      <c r="K19" s="1175">
        <f>SUM(K3:K18)</f>
        <v>0</v>
      </c>
      <c r="L19" s="387">
        <v>7693</v>
      </c>
      <c r="M19" s="1174">
        <f>SUM(M6:N10,M12:N15)+Code_0717+Code_0715+Code_7134</f>
        <v>0</v>
      </c>
      <c r="N19" s="1175">
        <f>SUM(N3:N18)</f>
        <v>0</v>
      </c>
      <c r="O19" s="387">
        <v>7694</v>
      </c>
      <c r="P19" s="1174">
        <f>SUM(P6:Q10,P12:Q15)</f>
        <v>0</v>
      </c>
      <c r="Q19" s="1175">
        <f>SUM(Q3:Q18)</f>
        <v>0</v>
      </c>
      <c r="R19" s="387">
        <v>8013</v>
      </c>
      <c r="S19" s="1174">
        <f>SUM(S6:T10,S13:T15,G11)+Code_0711</f>
        <v>0</v>
      </c>
      <c r="T19" s="1175">
        <f>SUM(T3:T18)</f>
        <v>0</v>
      </c>
    </row>
    <row r="20" spans="1:22" s="2" customFormat="1" ht="25.5" customHeight="1" x14ac:dyDescent="0.2">
      <c r="A20" s="15" t="str">
        <f>'2021 HAR'!A33</f>
        <v xml:space="preserve"> </v>
      </c>
    </row>
    <row r="21" spans="1:22" ht="25.5" customHeight="1" x14ac:dyDescent="0.2">
      <c r="A21" s="961" t="s">
        <v>1292</v>
      </c>
      <c r="B21" s="1154"/>
      <c r="C21" s="1154"/>
      <c r="D21" s="1154"/>
      <c r="E21" s="1154"/>
      <c r="F21" s="1154"/>
      <c r="G21" s="1154"/>
      <c r="H21" s="1154"/>
      <c r="I21" s="1154"/>
      <c r="J21" s="1154"/>
      <c r="K21" s="1154"/>
      <c r="L21" s="1154"/>
      <c r="M21" s="1154"/>
      <c r="N21" s="1154"/>
      <c r="O21" s="1154"/>
      <c r="P21" s="1154"/>
      <c r="Q21" s="1154"/>
      <c r="R21" s="1221"/>
      <c r="S21" s="1221"/>
      <c r="T21" s="1221"/>
    </row>
    <row r="22" spans="1:22" s="2" customFormat="1" ht="25.5" customHeight="1" x14ac:dyDescent="0.2">
      <c r="A22" s="961" t="s">
        <v>1369</v>
      </c>
      <c r="B22" s="883"/>
      <c r="C22" s="883"/>
      <c r="D22" s="883"/>
      <c r="E22" s="883"/>
      <c r="F22" s="883"/>
      <c r="G22" s="883"/>
      <c r="H22" s="883"/>
      <c r="I22" s="883"/>
      <c r="J22" s="883"/>
      <c r="K22" s="883"/>
      <c r="L22" s="883"/>
      <c r="M22" s="883"/>
      <c r="N22" s="883"/>
      <c r="O22" s="883"/>
      <c r="P22" s="1242" t="str">
        <f>IF('2021 HAR'!$D$5&gt;=200,"This section is REQUIRED for Pyschiatric and Specialty hospitals.","")</f>
        <v/>
      </c>
      <c r="Q22" s="1242"/>
      <c r="R22" s="1242"/>
      <c r="S22" s="1242"/>
      <c r="T22" s="1242"/>
    </row>
    <row r="23" spans="1:22" s="2" customFormat="1" ht="25.5" customHeight="1" x14ac:dyDescent="0.2">
      <c r="A23" s="1114" t="s">
        <v>1561</v>
      </c>
      <c r="B23" s="1114"/>
      <c r="C23" s="1114"/>
      <c r="D23" s="1114"/>
      <c r="E23" s="1114"/>
      <c r="F23" s="1225"/>
      <c r="G23" s="1225"/>
      <c r="H23" s="1225"/>
      <c r="I23" s="1225"/>
      <c r="J23" s="1225"/>
      <c r="K23" s="1225"/>
      <c r="L23" s="1225"/>
      <c r="M23" s="1225"/>
      <c r="N23" s="1225"/>
      <c r="O23" s="1226"/>
      <c r="P23" s="1227" t="s">
        <v>230</v>
      </c>
      <c r="Q23" s="1227"/>
      <c r="R23" s="1162" t="s">
        <v>2834</v>
      </c>
      <c r="S23" s="1222"/>
      <c r="T23" s="1223"/>
      <c r="U23" s="22"/>
      <c r="V23" s="22"/>
    </row>
    <row r="24" spans="1:22" s="2" customFormat="1" ht="25.5" customHeight="1" x14ac:dyDescent="0.2">
      <c r="A24" s="32"/>
      <c r="B24" s="780" t="s">
        <v>35</v>
      </c>
      <c r="C24" s="780"/>
      <c r="D24" s="780"/>
      <c r="E24" s="780"/>
      <c r="F24" s="1132" t="s">
        <v>664</v>
      </c>
      <c r="G24" s="1132"/>
      <c r="H24" s="1132"/>
      <c r="I24" s="1124" t="s">
        <v>37</v>
      </c>
      <c r="J24" s="1124"/>
      <c r="K24" s="1023"/>
      <c r="L24" s="1132" t="s">
        <v>38</v>
      </c>
      <c r="M24" s="1132"/>
      <c r="N24" s="1023"/>
      <c r="O24" s="1124" t="s">
        <v>39</v>
      </c>
      <c r="P24" s="1124"/>
      <c r="Q24" s="1023"/>
      <c r="R24" s="1124" t="s">
        <v>772</v>
      </c>
      <c r="S24" s="1124"/>
      <c r="T24" s="1023"/>
    </row>
    <row r="25" spans="1:22" s="2" customFormat="1" ht="25.5" customHeight="1" x14ac:dyDescent="0.2">
      <c r="A25" s="24"/>
      <c r="B25" s="1125" t="s">
        <v>983</v>
      </c>
      <c r="C25" s="1125"/>
      <c r="D25" s="1125"/>
      <c r="E25" s="1126"/>
      <c r="F25" s="387">
        <v>7691</v>
      </c>
      <c r="G25" s="1127">
        <f>SUM(J25+M25+P25+S25)</f>
        <v>0</v>
      </c>
      <c r="H25" s="1128"/>
      <c r="I25" s="387">
        <v>7526</v>
      </c>
      <c r="J25" s="1129"/>
      <c r="K25" s="1130"/>
      <c r="L25" s="387">
        <v>7531</v>
      </c>
      <c r="M25" s="1129"/>
      <c r="N25" s="1130"/>
      <c r="O25" s="387">
        <v>7540</v>
      </c>
      <c r="P25" s="1129"/>
      <c r="Q25" s="1130"/>
      <c r="R25" s="387">
        <v>8040</v>
      </c>
      <c r="S25" s="1129"/>
      <c r="T25" s="1130"/>
    </row>
    <row r="26" spans="1:22" s="2" customFormat="1" ht="25.5" customHeight="1" x14ac:dyDescent="0.2">
      <c r="A26" s="24"/>
      <c r="B26" s="1125" t="s">
        <v>984</v>
      </c>
      <c r="C26" s="1125"/>
      <c r="D26" s="1125"/>
      <c r="E26" s="1126"/>
      <c r="F26" s="387">
        <v>7268</v>
      </c>
      <c r="G26" s="1127">
        <f>SUM(J26+M26+P26+S26)</f>
        <v>0</v>
      </c>
      <c r="H26" s="1128"/>
      <c r="I26" s="387">
        <v>7525</v>
      </c>
      <c r="J26" s="1129"/>
      <c r="K26" s="1130"/>
      <c r="L26" s="387">
        <v>7529</v>
      </c>
      <c r="M26" s="1129"/>
      <c r="N26" s="1130"/>
      <c r="O26" s="387">
        <v>7538</v>
      </c>
      <c r="P26" s="1129"/>
      <c r="Q26" s="1130"/>
      <c r="R26" s="387">
        <v>8041</v>
      </c>
      <c r="S26" s="1129"/>
      <c r="T26" s="1130"/>
    </row>
    <row r="27" spans="1:22" s="2" customFormat="1" ht="25.5" customHeight="1" x14ac:dyDescent="0.2">
      <c r="A27" s="24"/>
      <c r="B27" s="1125" t="s">
        <v>985</v>
      </c>
      <c r="C27" s="1125"/>
      <c r="D27" s="1125"/>
      <c r="E27" s="1126"/>
      <c r="F27" s="387">
        <v>4304</v>
      </c>
      <c r="G27" s="1127">
        <f>SUM(J27+M27+P27+S27)</f>
        <v>0</v>
      </c>
      <c r="H27" s="1128"/>
      <c r="I27" s="387">
        <v>8033</v>
      </c>
      <c r="J27" s="1129"/>
      <c r="K27" s="1130"/>
      <c r="L27" s="387">
        <v>7530</v>
      </c>
      <c r="M27" s="1129"/>
      <c r="N27" s="1130"/>
      <c r="O27" s="387">
        <v>7539</v>
      </c>
      <c r="P27" s="1129"/>
      <c r="Q27" s="1130"/>
      <c r="R27" s="387">
        <v>8042</v>
      </c>
      <c r="S27" s="1129"/>
      <c r="T27" s="1130"/>
    </row>
    <row r="28" spans="1:22" s="2" customFormat="1" ht="25.5" customHeight="1" x14ac:dyDescent="0.2">
      <c r="A28" s="24"/>
      <c r="B28" s="1125" t="s">
        <v>986</v>
      </c>
      <c r="C28" s="1125"/>
      <c r="D28" s="1125"/>
      <c r="E28" s="1126"/>
      <c r="F28" s="387">
        <v>4307</v>
      </c>
      <c r="G28" s="1127">
        <f>SUM(J28+M28+P28+S28)</f>
        <v>0</v>
      </c>
      <c r="H28" s="1128"/>
      <c r="I28" s="387">
        <v>8034</v>
      </c>
      <c r="J28" s="1129"/>
      <c r="K28" s="1130"/>
      <c r="L28" s="387">
        <v>7532</v>
      </c>
      <c r="M28" s="1129"/>
      <c r="N28" s="1130"/>
      <c r="O28" s="387">
        <v>7541</v>
      </c>
      <c r="P28" s="1129"/>
      <c r="Q28" s="1130"/>
      <c r="R28" s="387">
        <v>8061</v>
      </c>
      <c r="S28" s="1129"/>
      <c r="T28" s="1130"/>
    </row>
    <row r="29" spans="1:22" s="2" customFormat="1" ht="25.5" customHeight="1" x14ac:dyDescent="0.2">
      <c r="A29" s="24"/>
      <c r="B29" s="1125" t="s">
        <v>987</v>
      </c>
      <c r="C29" s="1125"/>
      <c r="D29" s="1125"/>
      <c r="E29" s="1126"/>
      <c r="F29" s="387">
        <v>7274</v>
      </c>
      <c r="G29" s="1127">
        <f>SUM(J29+M29+P29+S29)</f>
        <v>0</v>
      </c>
      <c r="H29" s="1128"/>
      <c r="I29" s="387">
        <v>8035</v>
      </c>
      <c r="J29" s="1129"/>
      <c r="K29" s="1130"/>
      <c r="L29" s="387">
        <v>7533</v>
      </c>
      <c r="M29" s="1129"/>
      <c r="N29" s="1130"/>
      <c r="O29" s="387">
        <v>7542</v>
      </c>
      <c r="P29" s="1129"/>
      <c r="Q29" s="1130"/>
      <c r="R29" s="387">
        <v>8043</v>
      </c>
      <c r="S29" s="1129"/>
      <c r="T29" s="1130"/>
    </row>
    <row r="30" spans="1:22" s="2" customFormat="1" ht="25.5" customHeight="1" x14ac:dyDescent="0.2">
      <c r="A30" s="24"/>
      <c r="B30" s="1125" t="s">
        <v>988</v>
      </c>
      <c r="C30" s="1125"/>
      <c r="D30" s="1125"/>
      <c r="E30" s="1126"/>
      <c r="F30" s="387">
        <v>4334</v>
      </c>
      <c r="G30" s="1129"/>
      <c r="H30" s="1130"/>
      <c r="I30" s="28"/>
      <c r="J30" s="26"/>
      <c r="K30" s="26"/>
      <c r="L30" s="26"/>
      <c r="M30" s="1237"/>
      <c r="N30" s="1238"/>
      <c r="O30" s="56"/>
      <c r="P30" s="1235"/>
      <c r="Q30" s="1239"/>
      <c r="R30" s="55"/>
      <c r="S30" s="1235"/>
      <c r="T30" s="1236"/>
    </row>
    <row r="31" spans="1:22" s="2" customFormat="1" ht="25.5" customHeight="1" x14ac:dyDescent="0.2">
      <c r="A31" s="24"/>
      <c r="B31" s="1125" t="s">
        <v>989</v>
      </c>
      <c r="C31" s="1125"/>
      <c r="D31" s="1125"/>
      <c r="E31" s="1126"/>
      <c r="F31" s="387">
        <v>7523</v>
      </c>
      <c r="G31" s="1127">
        <f>J31+M31+P31</f>
        <v>0</v>
      </c>
      <c r="H31" s="1128"/>
      <c r="I31" s="387">
        <v>8056</v>
      </c>
      <c r="J31" s="1129"/>
      <c r="K31" s="1130"/>
      <c r="L31" s="387">
        <v>8057</v>
      </c>
      <c r="M31" s="1129"/>
      <c r="N31" s="1130"/>
      <c r="O31" s="387">
        <v>8058</v>
      </c>
      <c r="P31" s="1129"/>
      <c r="Q31" s="1130"/>
      <c r="R31" s="56"/>
      <c r="S31" s="56"/>
      <c r="T31" s="72"/>
    </row>
    <row r="32" spans="1:22" s="2" customFormat="1" ht="25.5" customHeight="1" x14ac:dyDescent="0.2">
      <c r="A32" s="24"/>
      <c r="B32" s="1125" t="s">
        <v>990</v>
      </c>
      <c r="C32" s="1125"/>
      <c r="D32" s="1125"/>
      <c r="E32" s="1126"/>
      <c r="F32" s="387">
        <v>7271</v>
      </c>
      <c r="G32" s="1127">
        <f>SUM(J32+M32+P32+S32)</f>
        <v>0</v>
      </c>
      <c r="H32" s="1128"/>
      <c r="I32" s="387">
        <v>8036</v>
      </c>
      <c r="J32" s="1129"/>
      <c r="K32" s="1130"/>
      <c r="L32" s="387">
        <v>7534</v>
      </c>
      <c r="M32" s="1129"/>
      <c r="N32" s="1130"/>
      <c r="O32" s="387">
        <v>7543</v>
      </c>
      <c r="P32" s="1129"/>
      <c r="Q32" s="1130"/>
      <c r="R32" s="387">
        <v>8045</v>
      </c>
      <c r="S32" s="1129"/>
      <c r="T32" s="1130"/>
    </row>
    <row r="33" spans="1:20" s="2" customFormat="1" ht="25.5" customHeight="1" x14ac:dyDescent="0.2">
      <c r="A33" s="24"/>
      <c r="B33" s="1125" t="s">
        <v>991</v>
      </c>
      <c r="C33" s="1125"/>
      <c r="D33" s="1125"/>
      <c r="E33" s="1126"/>
      <c r="F33" s="387">
        <v>4309</v>
      </c>
      <c r="G33" s="1127">
        <f>SUM(J33+M33+P33+S33)</f>
        <v>0</v>
      </c>
      <c r="H33" s="1128"/>
      <c r="I33" s="387">
        <v>8037</v>
      </c>
      <c r="J33" s="1129"/>
      <c r="K33" s="1130"/>
      <c r="L33" s="387">
        <v>7535</v>
      </c>
      <c r="M33" s="1129"/>
      <c r="N33" s="1130"/>
      <c r="O33" s="387">
        <v>7544</v>
      </c>
      <c r="P33" s="1129"/>
      <c r="Q33" s="1130"/>
      <c r="R33" s="387">
        <v>8046</v>
      </c>
      <c r="S33" s="1129"/>
      <c r="T33" s="1130"/>
    </row>
    <row r="34" spans="1:20" s="2" customFormat="1" ht="25.5" customHeight="1" x14ac:dyDescent="0.2">
      <c r="A34" s="24"/>
      <c r="B34" s="1125" t="s">
        <v>992</v>
      </c>
      <c r="C34" s="1125"/>
      <c r="D34" s="1125"/>
      <c r="E34" s="1126"/>
      <c r="F34" s="387">
        <v>7175</v>
      </c>
      <c r="G34" s="1127">
        <f>SUM(J34+M34+P34+S34)</f>
        <v>0</v>
      </c>
      <c r="H34" s="1128"/>
      <c r="I34" s="387">
        <v>7527</v>
      </c>
      <c r="J34" s="1136"/>
      <c r="K34" s="1137"/>
      <c r="L34" s="387">
        <v>7536</v>
      </c>
      <c r="M34" s="1136"/>
      <c r="N34" s="1137"/>
      <c r="O34" s="387">
        <v>7545</v>
      </c>
      <c r="P34" s="1136"/>
      <c r="Q34" s="1137"/>
      <c r="R34" s="387">
        <v>8047</v>
      </c>
      <c r="S34" s="1136"/>
      <c r="T34" s="1137"/>
    </row>
    <row r="35" spans="1:20" s="2" customFormat="1" ht="25.5" customHeight="1" x14ac:dyDescent="0.2">
      <c r="A35" s="23"/>
      <c r="B35" s="1145" t="s">
        <v>993</v>
      </c>
      <c r="C35" s="1145"/>
      <c r="D35" s="1145"/>
      <c r="E35" s="1146"/>
      <c r="F35" s="387">
        <v>8070</v>
      </c>
      <c r="G35" s="1252">
        <f>SUM(G25:H34)</f>
        <v>0</v>
      </c>
      <c r="H35" s="1253"/>
      <c r="I35" s="1243" t="s">
        <v>2839</v>
      </c>
      <c r="J35" s="1244"/>
      <c r="K35" s="1244"/>
      <c r="L35" s="1244"/>
      <c r="M35" s="1244"/>
      <c r="N35" s="1244"/>
      <c r="O35" s="1245"/>
      <c r="P35" s="1245"/>
      <c r="Q35" s="1245"/>
      <c r="R35" s="1245"/>
      <c r="S35" s="1245"/>
      <c r="T35" s="1245"/>
    </row>
    <row r="36" spans="1:20" s="2" customFormat="1" ht="25.5" customHeight="1" x14ac:dyDescent="0.2">
      <c r="A36" s="24"/>
      <c r="B36" s="1125" t="s">
        <v>665</v>
      </c>
      <c r="C36" s="1125"/>
      <c r="D36" s="1125"/>
      <c r="E36" s="1126"/>
      <c r="F36" s="387">
        <v>8032</v>
      </c>
      <c r="G36" s="1261">
        <f>G37-G35</f>
        <v>0</v>
      </c>
      <c r="H36" s="1262"/>
      <c r="I36" s="1246"/>
      <c r="J36" s="1247"/>
      <c r="K36" s="1247"/>
      <c r="L36" s="1247"/>
      <c r="M36" s="1247"/>
      <c r="N36" s="1247"/>
      <c r="O36" s="1247"/>
      <c r="P36" s="1247"/>
      <c r="Q36" s="1247"/>
      <c r="R36" s="1247"/>
      <c r="S36" s="1247"/>
      <c r="T36" s="1247"/>
    </row>
    <row r="37" spans="1:20" s="2" customFormat="1" ht="25.5" customHeight="1" x14ac:dyDescent="0.2">
      <c r="A37" s="23"/>
      <c r="B37" s="1138" t="s">
        <v>1009</v>
      </c>
      <c r="C37" s="1138"/>
      <c r="D37" s="1138"/>
      <c r="E37" s="1139"/>
      <c r="F37" s="387">
        <v>8071</v>
      </c>
      <c r="G37" s="1252">
        <f>Code_4340</f>
        <v>0</v>
      </c>
      <c r="H37" s="1253"/>
      <c r="I37" s="1248"/>
      <c r="J37" s="1249"/>
      <c r="K37" s="1249"/>
      <c r="L37" s="1249"/>
      <c r="M37" s="1249"/>
      <c r="N37" s="1249"/>
      <c r="O37" s="1249"/>
      <c r="P37" s="1249"/>
      <c r="Q37" s="1249"/>
      <c r="R37" s="1249"/>
      <c r="S37" s="1249"/>
      <c r="T37" s="1249"/>
    </row>
    <row r="38" spans="1:20" s="2" customFormat="1" ht="25.5" customHeight="1" x14ac:dyDescent="0.2">
      <c r="A38" s="27"/>
      <c r="B38" s="1145" t="s">
        <v>994</v>
      </c>
      <c r="C38" s="1145"/>
      <c r="D38" s="1145"/>
      <c r="E38" s="1146"/>
      <c r="F38" s="387">
        <v>8072</v>
      </c>
      <c r="G38" s="695">
        <f>Code_7176</f>
        <v>0</v>
      </c>
      <c r="H38" s="696">
        <f>SUM(H46:H64)</f>
        <v>0</v>
      </c>
      <c r="I38" s="387">
        <v>7528</v>
      </c>
      <c r="J38" s="695">
        <f>SUM(J25:K29,J31:K34)</f>
        <v>0</v>
      </c>
      <c r="K38" s="696">
        <f>SUM(K46:K64)</f>
        <v>0</v>
      </c>
      <c r="L38" s="387">
        <v>7537</v>
      </c>
      <c r="M38" s="695">
        <f>SUM(M25:N29,M31:N34)+Code_7177+Code_7178+Code_7179</f>
        <v>0</v>
      </c>
      <c r="N38" s="696">
        <f>SUM(N46:N64)</f>
        <v>0</v>
      </c>
      <c r="O38" s="387">
        <v>7524</v>
      </c>
      <c r="P38" s="695">
        <f>SUM(P25:Q29,P31:Q34)</f>
        <v>0</v>
      </c>
      <c r="Q38" s="696">
        <f>SUM(Q46:Q64)</f>
        <v>0</v>
      </c>
      <c r="R38" s="387">
        <v>8049</v>
      </c>
      <c r="S38" s="1255">
        <f>SUM(S25:T29,S32:T34)+G30+Code_4331</f>
        <v>0</v>
      </c>
      <c r="T38" s="1256">
        <f>SUM(T22:T37)</f>
        <v>0</v>
      </c>
    </row>
    <row r="40" spans="1:20" ht="25.5" customHeight="1" x14ac:dyDescent="0.2">
      <c r="A40" s="961" t="s">
        <v>1292</v>
      </c>
      <c r="B40" s="883"/>
      <c r="C40" s="883"/>
      <c r="D40" s="883"/>
      <c r="E40" s="883"/>
      <c r="F40" s="883"/>
      <c r="G40" s="883"/>
      <c r="H40" s="883"/>
      <c r="I40" s="883"/>
      <c r="J40" s="883"/>
      <c r="K40" s="883"/>
      <c r="L40" s="883"/>
      <c r="M40" s="883"/>
      <c r="N40" s="210"/>
      <c r="O40" s="210"/>
      <c r="P40" s="210"/>
      <c r="Q40" s="210"/>
      <c r="R40" s="211"/>
      <c r="S40" s="211"/>
      <c r="T40" s="211"/>
    </row>
    <row r="41" spans="1:20" s="2" customFormat="1" ht="25.5" customHeight="1" x14ac:dyDescent="0.2">
      <c r="A41" s="773" t="s">
        <v>1562</v>
      </c>
      <c r="B41" s="567"/>
      <c r="C41" s="567"/>
      <c r="D41" s="567"/>
      <c r="E41" s="567"/>
      <c r="F41" s="567"/>
      <c r="G41" s="567"/>
      <c r="H41" s="567"/>
      <c r="I41" s="567"/>
      <c r="J41" s="567"/>
      <c r="K41" s="674"/>
      <c r="L41" s="780" t="s">
        <v>2834</v>
      </c>
      <c r="M41" s="781"/>
      <c r="N41" s="1263" t="str">
        <f>IF('2021 HAR'!$D$5&gt;=200,"This section is REQUIRED for Pyschiatric and Specialty hospitals.","")</f>
        <v/>
      </c>
      <c r="O41" s="1263"/>
      <c r="P41" s="1263"/>
      <c r="Q41" s="1263"/>
      <c r="R41" s="1263"/>
    </row>
    <row r="42" spans="1:20" s="2" customFormat="1" ht="25.5" customHeight="1" x14ac:dyDescent="0.2">
      <c r="A42" s="20">
        <v>7261</v>
      </c>
      <c r="B42" s="539" t="s">
        <v>1231</v>
      </c>
      <c r="C42" s="528"/>
      <c r="D42" s="528"/>
      <c r="E42" s="528"/>
      <c r="F42" s="528"/>
      <c r="G42" s="528"/>
      <c r="H42" s="528"/>
      <c r="I42" s="528"/>
      <c r="J42" s="528"/>
      <c r="K42" s="529"/>
      <c r="L42" s="1264">
        <f>J38+M38</f>
        <v>0</v>
      </c>
      <c r="M42" s="1262"/>
      <c r="N42" s="615" t="str">
        <f>IF(ISBLANK(L42),"This item can not be left blank. Please review instructions.","")</f>
        <v/>
      </c>
      <c r="O42" s="616"/>
      <c r="P42" s="616"/>
      <c r="Q42" s="616"/>
      <c r="R42" s="617"/>
    </row>
    <row r="43" spans="1:20" s="2" customFormat="1" ht="25.5" customHeight="1" x14ac:dyDescent="0.2">
      <c r="A43" s="20">
        <v>7264</v>
      </c>
      <c r="B43" s="539" t="s">
        <v>1232</v>
      </c>
      <c r="C43" s="528"/>
      <c r="D43" s="528"/>
      <c r="E43" s="528"/>
      <c r="F43" s="528"/>
      <c r="G43" s="528"/>
      <c r="H43" s="528"/>
      <c r="I43" s="528"/>
      <c r="J43" s="528"/>
      <c r="K43" s="529"/>
      <c r="L43" s="1264">
        <f>P38+S38</f>
        <v>0</v>
      </c>
      <c r="M43" s="1262"/>
      <c r="N43" s="615" t="str">
        <f>IF(ISBLANK(L43),"This item can not be left blank. Please review instructions.","")</f>
        <v/>
      </c>
      <c r="O43" s="616"/>
      <c r="P43" s="616"/>
      <c r="Q43" s="616"/>
      <c r="R43" s="617"/>
    </row>
    <row r="44" spans="1:20" s="2" customFormat="1" ht="25.5" customHeight="1" x14ac:dyDescent="0.2">
      <c r="A44" s="20">
        <v>8032</v>
      </c>
      <c r="B44" s="539" t="s">
        <v>1293</v>
      </c>
      <c r="C44" s="528"/>
      <c r="D44" s="528"/>
      <c r="E44" s="528"/>
      <c r="F44" s="528"/>
      <c r="G44" s="528"/>
      <c r="H44" s="528"/>
      <c r="I44" s="528"/>
      <c r="J44" s="528"/>
      <c r="K44" s="529"/>
      <c r="L44" s="1264">
        <f>G36</f>
        <v>0</v>
      </c>
      <c r="M44" s="1262"/>
      <c r="N44" s="190"/>
      <c r="O44" s="5"/>
      <c r="P44" s="5"/>
      <c r="Q44" s="5"/>
      <c r="R44" s="81"/>
    </row>
    <row r="45" spans="1:20" s="2" customFormat="1" ht="25.5" customHeight="1" x14ac:dyDescent="0.2">
      <c r="A45" s="21">
        <v>7267</v>
      </c>
      <c r="B45" s="522" t="s">
        <v>1225</v>
      </c>
      <c r="C45" s="523"/>
      <c r="D45" s="523"/>
      <c r="E45" s="523"/>
      <c r="F45" s="523"/>
      <c r="G45" s="523"/>
      <c r="H45" s="523"/>
      <c r="I45" s="523"/>
      <c r="J45" s="523"/>
      <c r="K45" s="524"/>
      <c r="L45" s="695">
        <f>G38</f>
        <v>0</v>
      </c>
      <c r="M45" s="696"/>
      <c r="N45" s="615"/>
      <c r="O45" s="616"/>
      <c r="P45" s="616"/>
      <c r="Q45" s="616"/>
      <c r="R45" s="616"/>
    </row>
    <row r="46" spans="1:20" s="2" customFormat="1" ht="25.5" customHeight="1" x14ac:dyDescent="0.2">
      <c r="A46" s="15" t="str">
        <f>'2021 HAR'!A33</f>
        <v xml:space="preserve"> </v>
      </c>
      <c r="B46" s="73"/>
      <c r="C46" s="73"/>
      <c r="D46" s="73"/>
      <c r="E46" s="73"/>
      <c r="F46" s="79"/>
      <c r="G46" s="243"/>
      <c r="H46" s="244"/>
      <c r="I46" s="79"/>
      <c r="J46" s="245"/>
      <c r="K46" s="246"/>
      <c r="L46" s="79"/>
      <c r="M46" s="245"/>
      <c r="N46" s="246"/>
      <c r="O46" s="79"/>
      <c r="P46" s="245"/>
      <c r="Q46" s="246"/>
      <c r="R46" s="74"/>
    </row>
    <row r="47" spans="1:20" ht="25.5" customHeight="1" x14ac:dyDescent="0.2">
      <c r="A47" s="961" t="s">
        <v>1292</v>
      </c>
      <c r="B47" s="1154"/>
      <c r="C47" s="1154"/>
      <c r="D47" s="1154"/>
      <c r="E47" s="1154"/>
      <c r="F47" s="1154"/>
      <c r="G47" s="1154"/>
      <c r="H47" s="1154"/>
      <c r="I47" s="1154"/>
      <c r="J47" s="1154"/>
      <c r="K47" s="1154"/>
      <c r="L47" s="1154"/>
      <c r="M47" s="1154"/>
      <c r="N47" s="1154"/>
      <c r="O47" s="1154"/>
      <c r="P47" s="1154"/>
      <c r="Q47" s="1154"/>
      <c r="R47" s="1221"/>
      <c r="S47" s="1221"/>
      <c r="T47" s="1221"/>
    </row>
    <row r="48" spans="1:20" s="2" customFormat="1" ht="25.5" customHeight="1" x14ac:dyDescent="0.2">
      <c r="A48" s="961" t="s">
        <v>1369</v>
      </c>
      <c r="B48" s="961"/>
      <c r="C48" s="961"/>
      <c r="D48" s="961"/>
      <c r="E48" s="961"/>
      <c r="F48" s="961"/>
      <c r="G48" s="961"/>
      <c r="H48" s="961"/>
      <c r="I48" s="961"/>
      <c r="J48" s="961"/>
      <c r="K48" s="961"/>
      <c r="L48" s="961"/>
      <c r="M48" s="961"/>
      <c r="N48" s="961"/>
      <c r="O48" s="961"/>
      <c r="P48" s="1242" t="str">
        <f>IF('2021 HAR'!$D$5&gt;=200,"This section is REQUIRED for Pyschiatric and Specialty hospitals.","")</f>
        <v/>
      </c>
      <c r="Q48" s="1242"/>
      <c r="R48" s="1242"/>
      <c r="S48" s="1242"/>
      <c r="T48" s="1242"/>
    </row>
    <row r="49" spans="1:22" s="2" customFormat="1" ht="25.5" customHeight="1" x14ac:dyDescent="0.2">
      <c r="A49" s="1114" t="s">
        <v>1563</v>
      </c>
      <c r="B49" s="1114"/>
      <c r="C49" s="1114"/>
      <c r="D49" s="1114"/>
      <c r="E49" s="1114"/>
      <c r="F49" s="1225"/>
      <c r="G49" s="1225"/>
      <c r="H49" s="1225"/>
      <c r="I49" s="1225"/>
      <c r="J49" s="1225"/>
      <c r="K49" s="1225"/>
      <c r="L49" s="1225"/>
      <c r="M49" s="1225"/>
      <c r="N49" s="1225"/>
      <c r="O49" s="1226"/>
      <c r="P49" s="1227"/>
      <c r="Q49" s="1227"/>
      <c r="R49" s="1162" t="s">
        <v>2834</v>
      </c>
      <c r="S49" s="1222"/>
      <c r="T49" s="1223"/>
      <c r="U49" s="22"/>
      <c r="V49" s="22"/>
    </row>
    <row r="50" spans="1:22" s="2" customFormat="1" ht="25.5" customHeight="1" x14ac:dyDescent="0.2">
      <c r="A50" s="32"/>
      <c r="B50" s="780" t="s">
        <v>35</v>
      </c>
      <c r="C50" s="780"/>
      <c r="D50" s="780"/>
      <c r="E50" s="780"/>
      <c r="F50" s="1132" t="s">
        <v>663</v>
      </c>
      <c r="G50" s="1132"/>
      <c r="H50" s="1132"/>
      <c r="I50" s="1124" t="s">
        <v>37</v>
      </c>
      <c r="J50" s="1124"/>
      <c r="K50" s="1023"/>
      <c r="L50" s="1132" t="s">
        <v>38</v>
      </c>
      <c r="M50" s="1132"/>
      <c r="N50" s="1023"/>
      <c r="O50" s="1124" t="s">
        <v>39</v>
      </c>
      <c r="P50" s="1124"/>
      <c r="Q50" s="1023"/>
      <c r="R50" s="1124" t="s">
        <v>772</v>
      </c>
      <c r="S50" s="1124"/>
      <c r="T50" s="1023"/>
    </row>
    <row r="51" spans="1:22" s="2" customFormat="1" ht="25.5" customHeight="1" x14ac:dyDescent="0.2">
      <c r="A51" s="24"/>
      <c r="B51" s="1125" t="s">
        <v>995</v>
      </c>
      <c r="C51" s="1125"/>
      <c r="D51" s="1125"/>
      <c r="E51" s="1126"/>
      <c r="F51" s="387">
        <v>7690</v>
      </c>
      <c r="G51" s="1127">
        <f>SUM(J51+M51+P51+S51)</f>
        <v>0</v>
      </c>
      <c r="H51" s="1128"/>
      <c r="I51" s="387">
        <v>7503</v>
      </c>
      <c r="J51" s="1129"/>
      <c r="K51" s="1130"/>
      <c r="L51" s="387">
        <v>7508</v>
      </c>
      <c r="M51" s="1129"/>
      <c r="N51" s="1130"/>
      <c r="O51" s="387">
        <v>7517</v>
      </c>
      <c r="P51" s="1129"/>
      <c r="Q51" s="1130"/>
      <c r="R51" s="387">
        <v>8022</v>
      </c>
      <c r="S51" s="1129"/>
      <c r="T51" s="1130"/>
    </row>
    <row r="52" spans="1:22" s="2" customFormat="1" ht="25.5" customHeight="1" x14ac:dyDescent="0.2">
      <c r="A52" s="24"/>
      <c r="B52" s="1125" t="s">
        <v>996</v>
      </c>
      <c r="C52" s="1125"/>
      <c r="D52" s="1125"/>
      <c r="E52" s="1126"/>
      <c r="F52" s="387">
        <v>7252</v>
      </c>
      <c r="G52" s="1127">
        <f>SUM(J52+M52+P52+S52)</f>
        <v>0</v>
      </c>
      <c r="H52" s="1128"/>
      <c r="I52" s="387">
        <v>7502</v>
      </c>
      <c r="J52" s="1129"/>
      <c r="K52" s="1130"/>
      <c r="L52" s="387">
        <v>7506</v>
      </c>
      <c r="M52" s="1129"/>
      <c r="N52" s="1130"/>
      <c r="O52" s="387">
        <v>7515</v>
      </c>
      <c r="P52" s="1129"/>
      <c r="Q52" s="1130"/>
      <c r="R52" s="387">
        <v>8023</v>
      </c>
      <c r="S52" s="1129"/>
      <c r="T52" s="1130"/>
    </row>
    <row r="53" spans="1:22" s="2" customFormat="1" ht="25.5" customHeight="1" x14ac:dyDescent="0.2">
      <c r="A53" s="24"/>
      <c r="B53" s="1125" t="s">
        <v>997</v>
      </c>
      <c r="C53" s="1125"/>
      <c r="D53" s="1125"/>
      <c r="E53" s="1126"/>
      <c r="F53" s="387">
        <v>4011</v>
      </c>
      <c r="G53" s="1127">
        <f>SUM(J53+M53+P53+S53)</f>
        <v>0</v>
      </c>
      <c r="H53" s="1128"/>
      <c r="I53" s="387">
        <v>8015</v>
      </c>
      <c r="J53" s="1129"/>
      <c r="K53" s="1130"/>
      <c r="L53" s="387">
        <v>7507</v>
      </c>
      <c r="M53" s="1129"/>
      <c r="N53" s="1130"/>
      <c r="O53" s="387">
        <v>7516</v>
      </c>
      <c r="P53" s="1129"/>
      <c r="Q53" s="1130"/>
      <c r="R53" s="387">
        <v>8024</v>
      </c>
      <c r="S53" s="1129"/>
      <c r="T53" s="1130"/>
    </row>
    <row r="54" spans="1:22" s="2" customFormat="1" ht="25.5" customHeight="1" x14ac:dyDescent="0.2">
      <c r="A54" s="24"/>
      <c r="B54" s="1125" t="s">
        <v>998</v>
      </c>
      <c r="C54" s="1125"/>
      <c r="D54" s="1125"/>
      <c r="E54" s="1126"/>
      <c r="F54" s="387">
        <v>4014</v>
      </c>
      <c r="G54" s="1127">
        <f>SUM(J54+M54+P54+S54)</f>
        <v>0</v>
      </c>
      <c r="H54" s="1128"/>
      <c r="I54" s="387">
        <v>8016</v>
      </c>
      <c r="J54" s="1129"/>
      <c r="K54" s="1130"/>
      <c r="L54" s="387">
        <v>7509</v>
      </c>
      <c r="M54" s="1129"/>
      <c r="N54" s="1130"/>
      <c r="O54" s="387">
        <v>7518</v>
      </c>
      <c r="P54" s="1129"/>
      <c r="Q54" s="1130"/>
      <c r="R54" s="387">
        <v>8060</v>
      </c>
      <c r="S54" s="1129"/>
      <c r="T54" s="1130"/>
    </row>
    <row r="55" spans="1:22" s="2" customFormat="1" ht="25.5" customHeight="1" x14ac:dyDescent="0.2">
      <c r="A55" s="24"/>
      <c r="B55" s="1125" t="s">
        <v>999</v>
      </c>
      <c r="C55" s="1125"/>
      <c r="D55" s="1125"/>
      <c r="E55" s="1126"/>
      <c r="F55" s="387">
        <v>7258</v>
      </c>
      <c r="G55" s="1127">
        <f>SUM(J55+M55+P55+S55)</f>
        <v>0</v>
      </c>
      <c r="H55" s="1128"/>
      <c r="I55" s="387">
        <v>8017</v>
      </c>
      <c r="J55" s="1129"/>
      <c r="K55" s="1130"/>
      <c r="L55" s="387">
        <v>7510</v>
      </c>
      <c r="M55" s="1129"/>
      <c r="N55" s="1130"/>
      <c r="O55" s="387">
        <v>7519</v>
      </c>
      <c r="P55" s="1129"/>
      <c r="Q55" s="1130"/>
      <c r="R55" s="387">
        <v>8025</v>
      </c>
      <c r="S55" s="1129"/>
      <c r="T55" s="1130"/>
    </row>
    <row r="56" spans="1:22" s="2" customFormat="1" ht="25.5" customHeight="1" x14ac:dyDescent="0.2">
      <c r="A56" s="24"/>
      <c r="B56" s="1125" t="s">
        <v>1000</v>
      </c>
      <c r="C56" s="1125"/>
      <c r="D56" s="1125"/>
      <c r="E56" s="1126"/>
      <c r="F56" s="387">
        <v>4044</v>
      </c>
      <c r="G56" s="1129"/>
      <c r="H56" s="1130"/>
      <c r="I56" s="28"/>
      <c r="J56" s="26"/>
      <c r="K56" s="26"/>
      <c r="L56" s="26"/>
      <c r="M56" s="1258"/>
      <c r="N56" s="1259"/>
      <c r="O56" s="26"/>
      <c r="P56" s="1217">
        <f>G56</f>
        <v>0</v>
      </c>
      <c r="Q56" s="1238"/>
      <c r="R56" s="57"/>
      <c r="S56" s="1217"/>
      <c r="T56" s="1218"/>
    </row>
    <row r="57" spans="1:22" s="2" customFormat="1" ht="25.5" customHeight="1" x14ac:dyDescent="0.2">
      <c r="A57" s="24"/>
      <c r="B57" s="1125" t="s">
        <v>1001</v>
      </c>
      <c r="C57" s="1125"/>
      <c r="D57" s="1125"/>
      <c r="E57" s="1126"/>
      <c r="F57" s="387">
        <v>7500</v>
      </c>
      <c r="G57" s="1127">
        <f>SUM(J57+M57+P57)</f>
        <v>0</v>
      </c>
      <c r="H57" s="1128"/>
      <c r="I57" s="387">
        <v>8053</v>
      </c>
      <c r="J57" s="1129"/>
      <c r="K57" s="1130"/>
      <c r="L57" s="387">
        <v>8054</v>
      </c>
      <c r="M57" s="1129"/>
      <c r="N57" s="1130"/>
      <c r="O57" s="387">
        <v>8055</v>
      </c>
      <c r="P57" s="1129"/>
      <c r="Q57" s="1130"/>
      <c r="R57" s="26"/>
      <c r="S57" s="1219"/>
      <c r="T57" s="1220"/>
    </row>
    <row r="58" spans="1:22" s="2" customFormat="1" ht="25.5" customHeight="1" x14ac:dyDescent="0.2">
      <c r="A58" s="24"/>
      <c r="B58" s="1125" t="s">
        <v>1002</v>
      </c>
      <c r="C58" s="1125"/>
      <c r="D58" s="1125"/>
      <c r="E58" s="1126"/>
      <c r="F58" s="387">
        <v>7255</v>
      </c>
      <c r="G58" s="1127">
        <f>SUM(J58+M58+P58+S58)</f>
        <v>0</v>
      </c>
      <c r="H58" s="1128"/>
      <c r="I58" s="387">
        <v>8018</v>
      </c>
      <c r="J58" s="1129"/>
      <c r="K58" s="1130"/>
      <c r="L58" s="387">
        <v>7511</v>
      </c>
      <c r="M58" s="1129"/>
      <c r="N58" s="1130"/>
      <c r="O58" s="387">
        <v>7520</v>
      </c>
      <c r="P58" s="1129"/>
      <c r="Q58" s="1130"/>
      <c r="R58" s="387">
        <v>8027</v>
      </c>
      <c r="S58" s="1129"/>
      <c r="T58" s="1130"/>
    </row>
    <row r="59" spans="1:22" s="2" customFormat="1" ht="25.5" customHeight="1" x14ac:dyDescent="0.2">
      <c r="A59" s="24"/>
      <c r="B59" s="1125" t="s">
        <v>1003</v>
      </c>
      <c r="C59" s="1125"/>
      <c r="D59" s="1125"/>
      <c r="E59" s="1126"/>
      <c r="F59" s="387">
        <v>4017</v>
      </c>
      <c r="G59" s="1127">
        <f>SUM(J59+M59+P59+S59)</f>
        <v>0</v>
      </c>
      <c r="H59" s="1128"/>
      <c r="I59" s="387">
        <v>8019</v>
      </c>
      <c r="J59" s="1129"/>
      <c r="K59" s="1130"/>
      <c r="L59" s="387">
        <v>7512</v>
      </c>
      <c r="M59" s="1129"/>
      <c r="N59" s="1130"/>
      <c r="O59" s="387">
        <v>7521</v>
      </c>
      <c r="P59" s="1129"/>
      <c r="Q59" s="1130"/>
      <c r="R59" s="387">
        <v>8028</v>
      </c>
      <c r="S59" s="1129"/>
      <c r="T59" s="1130"/>
    </row>
    <row r="60" spans="1:22" s="2" customFormat="1" ht="25.5" customHeight="1" x14ac:dyDescent="0.2">
      <c r="A60" s="24"/>
      <c r="B60" s="1125" t="s">
        <v>1004</v>
      </c>
      <c r="C60" s="1125"/>
      <c r="D60" s="1125"/>
      <c r="E60" s="1126"/>
      <c r="F60" s="387">
        <v>7154</v>
      </c>
      <c r="G60" s="1127">
        <f>SUM(J60+M60+P60+S60)</f>
        <v>0</v>
      </c>
      <c r="H60" s="1128"/>
      <c r="I60" s="387">
        <v>7504</v>
      </c>
      <c r="J60" s="1136"/>
      <c r="K60" s="1137"/>
      <c r="L60" s="387">
        <v>7513</v>
      </c>
      <c r="M60" s="1136"/>
      <c r="N60" s="1137"/>
      <c r="O60" s="387">
        <v>7522</v>
      </c>
      <c r="P60" s="1136"/>
      <c r="Q60" s="1137"/>
      <c r="R60" s="387">
        <v>8029</v>
      </c>
      <c r="S60" s="1136"/>
      <c r="T60" s="1137"/>
    </row>
    <row r="61" spans="1:22" s="2" customFormat="1" ht="25.5" customHeight="1" x14ac:dyDescent="0.2">
      <c r="A61" s="23"/>
      <c r="B61" s="1145" t="s">
        <v>1005</v>
      </c>
      <c r="C61" s="1145"/>
      <c r="D61" s="1145"/>
      <c r="E61" s="1146"/>
      <c r="F61" s="387">
        <v>8067</v>
      </c>
      <c r="G61" s="1252">
        <f>SUM(G51:H60)</f>
        <v>0</v>
      </c>
      <c r="H61" s="1254"/>
      <c r="I61" s="1243" t="s">
        <v>2840</v>
      </c>
      <c r="J61" s="1244"/>
      <c r="K61" s="1244"/>
      <c r="L61" s="1244"/>
      <c r="M61" s="1244"/>
      <c r="N61" s="1244"/>
      <c r="O61" s="1245"/>
      <c r="P61" s="1245"/>
      <c r="Q61" s="1245"/>
      <c r="R61" s="1245"/>
      <c r="S61" s="1245"/>
      <c r="T61" s="1245"/>
    </row>
    <row r="62" spans="1:22" s="2" customFormat="1" ht="25.5" customHeight="1" x14ac:dyDescent="0.2">
      <c r="A62" s="24"/>
      <c r="B62" s="1125" t="s">
        <v>1006</v>
      </c>
      <c r="C62" s="1125"/>
      <c r="D62" s="1125"/>
      <c r="E62" s="1126"/>
      <c r="F62" s="387">
        <v>8014</v>
      </c>
      <c r="G62" s="1252">
        <f>G63-G61</f>
        <v>0</v>
      </c>
      <c r="H62" s="1254"/>
      <c r="I62" s="1246"/>
      <c r="J62" s="1247"/>
      <c r="K62" s="1247"/>
      <c r="L62" s="1247"/>
      <c r="M62" s="1247"/>
      <c r="N62" s="1247"/>
      <c r="O62" s="1247"/>
      <c r="P62" s="1247"/>
      <c r="Q62" s="1247"/>
      <c r="R62" s="1247"/>
      <c r="S62" s="1247"/>
      <c r="T62" s="1247"/>
    </row>
    <row r="63" spans="1:22" s="2" customFormat="1" ht="25.5" customHeight="1" x14ac:dyDescent="0.2">
      <c r="A63" s="23"/>
      <c r="B63" s="1257" t="s">
        <v>1008</v>
      </c>
      <c r="C63" s="1138"/>
      <c r="D63" s="1138"/>
      <c r="E63" s="1139"/>
      <c r="F63" s="387">
        <v>8068</v>
      </c>
      <c r="G63" s="1252">
        <f>Code_4030</f>
        <v>0</v>
      </c>
      <c r="H63" s="1254"/>
      <c r="I63" s="1248"/>
      <c r="J63" s="1249"/>
      <c r="K63" s="1249"/>
      <c r="L63" s="1249"/>
      <c r="M63" s="1249"/>
      <c r="N63" s="1249"/>
      <c r="O63" s="1249"/>
      <c r="P63" s="1249"/>
      <c r="Q63" s="1249"/>
      <c r="R63" s="1249"/>
      <c r="S63" s="1249"/>
      <c r="T63" s="1249"/>
    </row>
    <row r="64" spans="1:22" s="2" customFormat="1" ht="25.5" customHeight="1" x14ac:dyDescent="0.2">
      <c r="A64" s="27"/>
      <c r="B64" s="1145" t="s">
        <v>1007</v>
      </c>
      <c r="C64" s="1145"/>
      <c r="D64" s="1145"/>
      <c r="E64" s="1146"/>
      <c r="F64" s="387">
        <v>8069</v>
      </c>
      <c r="G64" s="695">
        <f>Code_7244</f>
        <v>0</v>
      </c>
      <c r="H64" s="696"/>
      <c r="I64" s="387">
        <v>7505</v>
      </c>
      <c r="J64" s="695">
        <f>SUM(J57:K60,J51:K55)</f>
        <v>0</v>
      </c>
      <c r="K64" s="696"/>
      <c r="L64" s="387">
        <v>7514</v>
      </c>
      <c r="M64" s="695">
        <f>SUM(M51:N60)+Code_7156+Code_7157+Code_7158</f>
        <v>0</v>
      </c>
      <c r="N64" s="696"/>
      <c r="O64" s="387">
        <v>7249</v>
      </c>
      <c r="P64" s="695">
        <f>SUM(P57:Q60,P51:Q55)</f>
        <v>0</v>
      </c>
      <c r="Q64" s="696"/>
      <c r="R64" s="387">
        <v>8031</v>
      </c>
      <c r="S64" s="1255">
        <f>SUM(S51:T55,S58:T60,G56)+Code_4041</f>
        <v>0</v>
      </c>
      <c r="T64" s="1256">
        <f>SUM(T20:T63)</f>
        <v>0</v>
      </c>
    </row>
    <row r="65" spans="1:23" s="2" customFormat="1" ht="25.5" customHeight="1" x14ac:dyDescent="0.2">
      <c r="A65" s="40"/>
    </row>
    <row r="66" spans="1:23" ht="25.5" customHeight="1" x14ac:dyDescent="0.2">
      <c r="A66" s="961" t="s">
        <v>1292</v>
      </c>
      <c r="B66" s="883"/>
      <c r="C66" s="883"/>
      <c r="D66" s="883"/>
      <c r="E66" s="883"/>
      <c r="F66" s="883"/>
      <c r="G66" s="883"/>
      <c r="H66" s="883"/>
      <c r="I66" s="883"/>
      <c r="J66" s="883"/>
      <c r="K66" s="883"/>
      <c r="L66" s="883"/>
      <c r="M66" s="883"/>
      <c r="N66" s="210"/>
      <c r="O66" s="210"/>
      <c r="P66" s="210"/>
      <c r="Q66" s="210"/>
      <c r="R66" s="211"/>
      <c r="S66" s="211"/>
      <c r="T66" s="211"/>
    </row>
    <row r="67" spans="1:23" s="2" customFormat="1" ht="25.5" customHeight="1" x14ac:dyDescent="0.2">
      <c r="A67" s="773" t="s">
        <v>1564</v>
      </c>
      <c r="B67" s="567"/>
      <c r="C67" s="567"/>
      <c r="D67" s="567"/>
      <c r="E67" s="567"/>
      <c r="F67" s="567"/>
      <c r="G67" s="567"/>
      <c r="H67" s="567"/>
      <c r="I67" s="567"/>
      <c r="J67" s="567"/>
      <c r="K67" s="674"/>
      <c r="L67" s="780" t="s">
        <v>2834</v>
      </c>
      <c r="M67" s="781"/>
      <c r="N67" s="1263" t="str">
        <f>IF('2021 HAR'!$D$5&gt;=200,"This section is REQUIRED for Pyschiatric and Specialty hospitals.","")</f>
        <v/>
      </c>
      <c r="O67" s="1263"/>
      <c r="P67" s="1263"/>
      <c r="Q67" s="1263"/>
      <c r="R67" s="1263"/>
    </row>
    <row r="68" spans="1:23" s="2" customFormat="1" ht="25.5" customHeight="1" x14ac:dyDescent="0.2">
      <c r="A68" s="20">
        <v>7245</v>
      </c>
      <c r="B68" s="539" t="s">
        <v>1233</v>
      </c>
      <c r="C68" s="528"/>
      <c r="D68" s="528"/>
      <c r="E68" s="528"/>
      <c r="F68" s="528"/>
      <c r="G68" s="528"/>
      <c r="H68" s="528"/>
      <c r="I68" s="528"/>
      <c r="J68" s="528"/>
      <c r="K68" s="529"/>
      <c r="L68" s="1264">
        <f>J64+M64</f>
        <v>0</v>
      </c>
      <c r="M68" s="1262"/>
      <c r="N68" s="615" t="str">
        <f>IF(ISBLANK(L68),"This item can not be left blank. Please review instructions.","")</f>
        <v/>
      </c>
      <c r="O68" s="616"/>
      <c r="P68" s="616"/>
      <c r="Q68" s="616"/>
      <c r="R68" s="617"/>
    </row>
    <row r="69" spans="1:23" s="2" customFormat="1" ht="25.5" customHeight="1" x14ac:dyDescent="0.2">
      <c r="A69" s="20">
        <v>7248</v>
      </c>
      <c r="B69" s="539" t="s">
        <v>1234</v>
      </c>
      <c r="C69" s="528"/>
      <c r="D69" s="528"/>
      <c r="E69" s="528"/>
      <c r="F69" s="528"/>
      <c r="G69" s="528"/>
      <c r="H69" s="528"/>
      <c r="I69" s="528"/>
      <c r="J69" s="528"/>
      <c r="K69" s="529"/>
      <c r="L69" s="1264">
        <f>P64+S64</f>
        <v>0</v>
      </c>
      <c r="M69" s="1262"/>
      <c r="N69" s="615" t="str">
        <f>IF(ISBLANK(L69),"This item can not be left blank. Please review instructions.","")</f>
        <v/>
      </c>
      <c r="O69" s="616"/>
      <c r="P69" s="616"/>
      <c r="Q69" s="616"/>
      <c r="R69" s="617"/>
    </row>
    <row r="70" spans="1:23" s="2" customFormat="1" ht="25.5" customHeight="1" x14ac:dyDescent="0.2">
      <c r="A70" s="20">
        <v>8014</v>
      </c>
      <c r="B70" s="539" t="s">
        <v>1294</v>
      </c>
      <c r="C70" s="528"/>
      <c r="D70" s="528"/>
      <c r="E70" s="528"/>
      <c r="F70" s="528"/>
      <c r="G70" s="528"/>
      <c r="H70" s="528"/>
      <c r="I70" s="528"/>
      <c r="J70" s="528"/>
      <c r="K70" s="529"/>
      <c r="L70" s="1264">
        <f>G62</f>
        <v>0</v>
      </c>
      <c r="M70" s="1262"/>
      <c r="N70" s="190"/>
      <c r="O70" s="5"/>
      <c r="P70" s="5"/>
      <c r="Q70" s="5"/>
      <c r="R70" s="81"/>
    </row>
    <row r="71" spans="1:23" s="2" customFormat="1" ht="25.5" customHeight="1" x14ac:dyDescent="0.2">
      <c r="A71" s="21">
        <v>7251</v>
      </c>
      <c r="B71" s="522" t="s">
        <v>1226</v>
      </c>
      <c r="C71" s="523"/>
      <c r="D71" s="523"/>
      <c r="E71" s="523"/>
      <c r="F71" s="523"/>
      <c r="G71" s="523"/>
      <c r="H71" s="523"/>
      <c r="I71" s="523"/>
      <c r="J71" s="523"/>
      <c r="K71" s="524"/>
      <c r="L71" s="695">
        <f>G64</f>
        <v>0</v>
      </c>
      <c r="M71" s="696"/>
      <c r="N71" s="615"/>
      <c r="O71" s="616"/>
      <c r="P71" s="616"/>
      <c r="Q71" s="616"/>
      <c r="R71" s="616"/>
    </row>
    <row r="72" spans="1:23" ht="25.5" customHeight="1" x14ac:dyDescent="0.2">
      <c r="A72" s="15" t="str">
        <f>'2021 HAR'!A33</f>
        <v xml:space="preserve"> </v>
      </c>
      <c r="W72" s="237" t="str">
        <f>IF('2021 HAR'!L475&lt;&gt;"",'2021 HAR'!L475,"")</f>
        <v/>
      </c>
    </row>
    <row r="73" spans="1:23" ht="25.5" customHeight="1" x14ac:dyDescent="0.2">
      <c r="A73" s="961" t="s">
        <v>1292</v>
      </c>
      <c r="B73" s="883"/>
      <c r="C73" s="883"/>
      <c r="D73" s="883"/>
      <c r="E73" s="883"/>
      <c r="F73" s="883"/>
      <c r="G73" s="883"/>
      <c r="H73" s="883"/>
      <c r="I73" s="883"/>
      <c r="J73" s="883"/>
      <c r="K73" s="883"/>
      <c r="L73" s="883"/>
      <c r="M73" s="883"/>
      <c r="N73" s="1274" t="s">
        <v>2841</v>
      </c>
      <c r="O73" s="1275"/>
      <c r="P73" s="1275"/>
      <c r="Q73" s="1275"/>
      <c r="R73" s="1275"/>
      <c r="S73" s="1275"/>
      <c r="T73" s="1275"/>
    </row>
    <row r="74" spans="1:23" s="2" customFormat="1" ht="25.5" customHeight="1" x14ac:dyDescent="0.2">
      <c r="A74" s="1268" t="s">
        <v>1565</v>
      </c>
      <c r="B74" s="1269"/>
      <c r="C74" s="1269"/>
      <c r="D74" s="1269"/>
      <c r="E74" s="1269"/>
      <c r="F74" s="1269"/>
      <c r="G74" s="1269"/>
      <c r="H74" s="1269"/>
      <c r="I74" s="1269"/>
      <c r="J74" s="1269"/>
      <c r="K74" s="1270"/>
      <c r="L74" s="871" t="s">
        <v>2834</v>
      </c>
      <c r="M74" s="593"/>
      <c r="N74" s="1275"/>
      <c r="O74" s="1275"/>
      <c r="P74" s="1275"/>
      <c r="Q74" s="1275"/>
      <c r="R74" s="1275"/>
      <c r="S74" s="1275"/>
      <c r="T74" s="1275"/>
    </row>
    <row r="75" spans="1:23" s="2" customFormat="1" ht="25.5" customHeight="1" x14ac:dyDescent="0.2">
      <c r="A75" s="1265" t="s">
        <v>669</v>
      </c>
      <c r="B75" s="1266"/>
      <c r="C75" s="969" t="s">
        <v>670</v>
      </c>
      <c r="D75" s="969"/>
      <c r="E75" s="969"/>
      <c r="F75" s="969"/>
      <c r="G75" s="969"/>
      <c r="H75" s="1267"/>
      <c r="I75" s="1267"/>
      <c r="J75" s="969" t="s">
        <v>2842</v>
      </c>
      <c r="K75" s="1045"/>
      <c r="L75" s="969" t="s">
        <v>2843</v>
      </c>
      <c r="M75" s="1045"/>
      <c r="N75" s="22"/>
      <c r="O75" s="22"/>
      <c r="P75" s="22"/>
      <c r="Q75" s="22"/>
      <c r="R75" s="22"/>
    </row>
    <row r="76" spans="1:23" s="2" customFormat="1" ht="25.5" customHeight="1" x14ac:dyDescent="0.2">
      <c r="A76" s="75">
        <v>1</v>
      </c>
      <c r="B76" s="76"/>
      <c r="C76" s="1271"/>
      <c r="D76" s="1272"/>
      <c r="E76" s="1272"/>
      <c r="F76" s="1272"/>
      <c r="G76" s="1272"/>
      <c r="H76" s="1272"/>
      <c r="I76" s="1273"/>
      <c r="J76" s="782"/>
      <c r="K76" s="783"/>
      <c r="L76" s="782"/>
      <c r="M76" s="783"/>
      <c r="N76" s="615"/>
      <c r="O76" s="616"/>
      <c r="P76" s="616"/>
      <c r="Q76" s="616"/>
      <c r="R76" s="616"/>
    </row>
    <row r="77" spans="1:23" s="2" customFormat="1" ht="25.5" customHeight="1" x14ac:dyDescent="0.2">
      <c r="A77" s="75">
        <v>2</v>
      </c>
      <c r="B77" s="76"/>
      <c r="C77" s="1271"/>
      <c r="D77" s="1272"/>
      <c r="E77" s="1272"/>
      <c r="F77" s="1272"/>
      <c r="G77" s="1272"/>
      <c r="H77" s="1272"/>
      <c r="I77" s="1273"/>
      <c r="J77" s="782"/>
      <c r="K77" s="783"/>
      <c r="L77" s="782"/>
      <c r="M77" s="783"/>
      <c r="N77" s="615"/>
      <c r="O77" s="616"/>
      <c r="P77" s="616"/>
      <c r="Q77" s="616"/>
      <c r="R77" s="616"/>
    </row>
    <row r="78" spans="1:23" s="2" customFormat="1" ht="25.5" customHeight="1" x14ac:dyDescent="0.2">
      <c r="A78" s="75">
        <v>3</v>
      </c>
      <c r="B78" s="76"/>
      <c r="C78" s="1271"/>
      <c r="D78" s="1272"/>
      <c r="E78" s="1272"/>
      <c r="F78" s="1272"/>
      <c r="G78" s="1272"/>
      <c r="H78" s="1272"/>
      <c r="I78" s="1273"/>
      <c r="J78" s="782"/>
      <c r="K78" s="783"/>
      <c r="L78" s="782"/>
      <c r="M78" s="783"/>
      <c r="N78" s="615"/>
      <c r="O78" s="616"/>
      <c r="P78" s="616"/>
      <c r="Q78" s="616"/>
      <c r="R78" s="616"/>
    </row>
    <row r="79" spans="1:23" s="2" customFormat="1" ht="25.5" customHeight="1" x14ac:dyDescent="0.2">
      <c r="A79" s="75">
        <v>4</v>
      </c>
      <c r="B79" s="76"/>
      <c r="C79" s="1271"/>
      <c r="D79" s="1272"/>
      <c r="E79" s="1272"/>
      <c r="F79" s="1272"/>
      <c r="G79" s="1272"/>
      <c r="H79" s="1272"/>
      <c r="I79" s="1273"/>
      <c r="J79" s="782"/>
      <c r="K79" s="783"/>
      <c r="L79" s="782"/>
      <c r="M79" s="783"/>
      <c r="N79" s="615"/>
      <c r="O79" s="616"/>
      <c r="P79" s="616"/>
      <c r="Q79" s="616"/>
      <c r="R79" s="616"/>
    </row>
    <row r="80" spans="1:23" s="2" customFormat="1" ht="25.5" customHeight="1" x14ac:dyDescent="0.2">
      <c r="A80" s="75">
        <v>5</v>
      </c>
      <c r="B80" s="76"/>
      <c r="C80" s="1271"/>
      <c r="D80" s="1272"/>
      <c r="E80" s="1272"/>
      <c r="F80" s="1272"/>
      <c r="G80" s="1272"/>
      <c r="H80" s="1272"/>
      <c r="I80" s="1273"/>
      <c r="J80" s="782"/>
      <c r="K80" s="783"/>
      <c r="L80" s="782"/>
      <c r="M80" s="783"/>
      <c r="N80" s="615"/>
      <c r="O80" s="616"/>
      <c r="P80" s="616"/>
      <c r="Q80" s="616"/>
      <c r="R80" s="616"/>
    </row>
    <row r="81" spans="1:18" s="2" customFormat="1" ht="25.5" customHeight="1" x14ac:dyDescent="0.2">
      <c r="A81" s="75">
        <v>6</v>
      </c>
      <c r="B81" s="76"/>
      <c r="C81" s="1271"/>
      <c r="D81" s="1272"/>
      <c r="E81" s="1272"/>
      <c r="F81" s="1272"/>
      <c r="G81" s="1272"/>
      <c r="H81" s="1272"/>
      <c r="I81" s="1273"/>
      <c r="J81" s="782"/>
      <c r="K81" s="783"/>
      <c r="L81" s="782"/>
      <c r="M81" s="783"/>
      <c r="N81" s="615"/>
      <c r="O81" s="616"/>
      <c r="P81" s="616"/>
      <c r="Q81" s="616"/>
      <c r="R81" s="616"/>
    </row>
    <row r="82" spans="1:18" s="2" customFormat="1" ht="25.5" customHeight="1" x14ac:dyDescent="0.2">
      <c r="A82" s="75">
        <v>7</v>
      </c>
      <c r="B82" s="76"/>
      <c r="C82" s="1271"/>
      <c r="D82" s="1272"/>
      <c r="E82" s="1272"/>
      <c r="F82" s="1272"/>
      <c r="G82" s="1272"/>
      <c r="H82" s="1272"/>
      <c r="I82" s="1273"/>
      <c r="J82" s="782"/>
      <c r="K82" s="783"/>
      <c r="L82" s="782"/>
      <c r="M82" s="783"/>
      <c r="N82" s="615"/>
      <c r="O82" s="616"/>
      <c r="P82" s="616"/>
      <c r="Q82" s="616"/>
      <c r="R82" s="616"/>
    </row>
    <row r="83" spans="1:18" s="2" customFormat="1" ht="25.5" customHeight="1" x14ac:dyDescent="0.2">
      <c r="A83" s="75">
        <v>8</v>
      </c>
      <c r="B83" s="76"/>
      <c r="C83" s="1271"/>
      <c r="D83" s="1272"/>
      <c r="E83" s="1272"/>
      <c r="F83" s="1272"/>
      <c r="G83" s="1272"/>
      <c r="H83" s="1272"/>
      <c r="I83" s="1273"/>
      <c r="J83" s="782"/>
      <c r="K83" s="783"/>
      <c r="L83" s="782"/>
      <c r="M83" s="783"/>
      <c r="N83" s="615"/>
      <c r="O83" s="616"/>
      <c r="P83" s="616"/>
      <c r="Q83" s="616"/>
      <c r="R83" s="616"/>
    </row>
    <row r="84" spans="1:18" s="2" customFormat="1" ht="25.5" customHeight="1" x14ac:dyDescent="0.2">
      <c r="A84" s="75">
        <v>9</v>
      </c>
      <c r="B84" s="76"/>
      <c r="C84" s="1271"/>
      <c r="D84" s="1272"/>
      <c r="E84" s="1272"/>
      <c r="F84" s="1272"/>
      <c r="G84" s="1272"/>
      <c r="H84" s="1272"/>
      <c r="I84" s="1273"/>
      <c r="J84" s="782"/>
      <c r="K84" s="783"/>
      <c r="L84" s="782"/>
      <c r="M84" s="783"/>
      <c r="N84" s="615"/>
      <c r="O84" s="616"/>
      <c r="P84" s="616"/>
      <c r="Q84" s="616"/>
      <c r="R84" s="616"/>
    </row>
    <row r="85" spans="1:18" s="2" customFormat="1" ht="25.5" customHeight="1" x14ac:dyDescent="0.2">
      <c r="A85" s="75">
        <v>10</v>
      </c>
      <c r="B85" s="76"/>
      <c r="C85" s="1271"/>
      <c r="D85" s="1272"/>
      <c r="E85" s="1272"/>
      <c r="F85" s="1272"/>
      <c r="G85" s="1272"/>
      <c r="H85" s="1272"/>
      <c r="I85" s="1273"/>
      <c r="J85" s="782"/>
      <c r="K85" s="783"/>
      <c r="L85" s="782"/>
      <c r="M85" s="783"/>
      <c r="N85" s="615"/>
      <c r="O85" s="616"/>
      <c r="P85" s="616"/>
      <c r="Q85" s="616"/>
      <c r="R85" s="616"/>
    </row>
  </sheetData>
  <sheetProtection algorithmName="SHA-512" hashValue="coziL6B4XHgGZQkPh6C/Nt+OV7GAY9dIwpeRCgYjw3h17nbz3Fwr/W76GiVXzVAsjfZ2P36YHYAkTo5cd6aQqg==" saltValue="K5k/tphwT67nspvE0JsHug==" spinCount="100000" sheet="1" objects="1" scenarios="1"/>
  <mergeCells count="315">
    <mergeCell ref="L85:M85"/>
    <mergeCell ref="C83:I83"/>
    <mergeCell ref="J83:K83"/>
    <mergeCell ref="L83:M83"/>
    <mergeCell ref="C84:I84"/>
    <mergeCell ref="J84:K84"/>
    <mergeCell ref="L84:M84"/>
    <mergeCell ref="M51:N51"/>
    <mergeCell ref="M52:N52"/>
    <mergeCell ref="M60:N60"/>
    <mergeCell ref="L71:M71"/>
    <mergeCell ref="N71:R71"/>
    <mergeCell ref="A67:K67"/>
    <mergeCell ref="L67:M67"/>
    <mergeCell ref="N67:R67"/>
    <mergeCell ref="B68:K68"/>
    <mergeCell ref="L68:M68"/>
    <mergeCell ref="N68:R68"/>
    <mergeCell ref="N69:R69"/>
    <mergeCell ref="B69:K69"/>
    <mergeCell ref="A73:M73"/>
    <mergeCell ref="N73:T74"/>
    <mergeCell ref="B70:K70"/>
    <mergeCell ref="L70:M70"/>
    <mergeCell ref="C76:I76"/>
    <mergeCell ref="J76:K76"/>
    <mergeCell ref="L76:M76"/>
    <mergeCell ref="N76:R85"/>
    <mergeCell ref="C77:I77"/>
    <mergeCell ref="J77:K77"/>
    <mergeCell ref="L77:M77"/>
    <mergeCell ref="C78:I78"/>
    <mergeCell ref="J78:K78"/>
    <mergeCell ref="L78:M78"/>
    <mergeCell ref="C79:I79"/>
    <mergeCell ref="J79:K79"/>
    <mergeCell ref="L79:M79"/>
    <mergeCell ref="C80:I80"/>
    <mergeCell ref="J80:K80"/>
    <mergeCell ref="L80:M80"/>
    <mergeCell ref="C81:I81"/>
    <mergeCell ref="J81:K81"/>
    <mergeCell ref="L81:M81"/>
    <mergeCell ref="C82:I82"/>
    <mergeCell ref="J82:K82"/>
    <mergeCell ref="L82:M82"/>
    <mergeCell ref="C85:I85"/>
    <mergeCell ref="J85:K85"/>
    <mergeCell ref="A75:B75"/>
    <mergeCell ref="C75:I75"/>
    <mergeCell ref="J75:K75"/>
    <mergeCell ref="L75:M75"/>
    <mergeCell ref="L45:M45"/>
    <mergeCell ref="N45:R45"/>
    <mergeCell ref="B59:E59"/>
    <mergeCell ref="P51:Q51"/>
    <mergeCell ref="O50:Q50"/>
    <mergeCell ref="P57:Q57"/>
    <mergeCell ref="L50:N50"/>
    <mergeCell ref="P64:Q64"/>
    <mergeCell ref="P60:Q60"/>
    <mergeCell ref="P52:Q52"/>
    <mergeCell ref="P58:Q58"/>
    <mergeCell ref="P59:Q59"/>
    <mergeCell ref="A66:M66"/>
    <mergeCell ref="B71:K71"/>
    <mergeCell ref="A74:K74"/>
    <mergeCell ref="L74:M74"/>
    <mergeCell ref="G60:H60"/>
    <mergeCell ref="J59:K59"/>
    <mergeCell ref="J60:K60"/>
    <mergeCell ref="B57:E57"/>
    <mergeCell ref="L69:M69"/>
    <mergeCell ref="A48:O48"/>
    <mergeCell ref="B43:K43"/>
    <mergeCell ref="M64:N64"/>
    <mergeCell ref="M57:N57"/>
    <mergeCell ref="M58:N58"/>
    <mergeCell ref="B44:K44"/>
    <mergeCell ref="L44:M44"/>
    <mergeCell ref="I35:T37"/>
    <mergeCell ref="A40:M40"/>
    <mergeCell ref="B42:K42"/>
    <mergeCell ref="L42:M42"/>
    <mergeCell ref="N42:R42"/>
    <mergeCell ref="B38:E38"/>
    <mergeCell ref="G38:H38"/>
    <mergeCell ref="J38:K38"/>
    <mergeCell ref="M38:N38"/>
    <mergeCell ref="G59:H59"/>
    <mergeCell ref="M59:N59"/>
    <mergeCell ref="B60:E60"/>
    <mergeCell ref="P48:T48"/>
    <mergeCell ref="L43:M43"/>
    <mergeCell ref="N43:R43"/>
    <mergeCell ref="L41:M41"/>
    <mergeCell ref="S53:T53"/>
    <mergeCell ref="S34:T34"/>
    <mergeCell ref="S38:T38"/>
    <mergeCell ref="S32:T32"/>
    <mergeCell ref="S33:T33"/>
    <mergeCell ref="N41:R41"/>
    <mergeCell ref="P54:Q54"/>
    <mergeCell ref="J54:K54"/>
    <mergeCell ref="G53:H53"/>
    <mergeCell ref="G37:H37"/>
    <mergeCell ref="I50:K50"/>
    <mergeCell ref="B45:K45"/>
    <mergeCell ref="B34:E34"/>
    <mergeCell ref="G34:H34"/>
    <mergeCell ref="P33:Q33"/>
    <mergeCell ref="G32:H32"/>
    <mergeCell ref="M32:N32"/>
    <mergeCell ref="P32:Q32"/>
    <mergeCell ref="P34:Q34"/>
    <mergeCell ref="M33:N33"/>
    <mergeCell ref="G33:H33"/>
    <mergeCell ref="B17:E17"/>
    <mergeCell ref="G17:H17"/>
    <mergeCell ref="B16:E16"/>
    <mergeCell ref="G16:H16"/>
    <mergeCell ref="P38:Q38"/>
    <mergeCell ref="B36:E36"/>
    <mergeCell ref="G36:H36"/>
    <mergeCell ref="M54:N54"/>
    <mergeCell ref="M53:N53"/>
    <mergeCell ref="P53:Q53"/>
    <mergeCell ref="J53:K53"/>
    <mergeCell ref="J33:K33"/>
    <mergeCell ref="B25:E25"/>
    <mergeCell ref="J51:K51"/>
    <mergeCell ref="J52:K52"/>
    <mergeCell ref="B26:E26"/>
    <mergeCell ref="B37:E37"/>
    <mergeCell ref="G19:H19"/>
    <mergeCell ref="J19:K19"/>
    <mergeCell ref="B19:E19"/>
    <mergeCell ref="G28:H28"/>
    <mergeCell ref="P31:Q31"/>
    <mergeCell ref="M31:N31"/>
    <mergeCell ref="B56:E56"/>
    <mergeCell ref="G56:H56"/>
    <mergeCell ref="M56:N56"/>
    <mergeCell ref="P56:Q56"/>
    <mergeCell ref="B55:E55"/>
    <mergeCell ref="G55:H55"/>
    <mergeCell ref="M55:N55"/>
    <mergeCell ref="P55:Q55"/>
    <mergeCell ref="J55:K55"/>
    <mergeCell ref="B63:E63"/>
    <mergeCell ref="G63:H63"/>
    <mergeCell ref="B29:E29"/>
    <mergeCell ref="G29:H29"/>
    <mergeCell ref="B27:E27"/>
    <mergeCell ref="G27:H27"/>
    <mergeCell ref="B50:E50"/>
    <mergeCell ref="F50:H50"/>
    <mergeCell ref="B54:E54"/>
    <mergeCell ref="B51:E51"/>
    <mergeCell ref="G51:H51"/>
    <mergeCell ref="B52:E52"/>
    <mergeCell ref="G52:H52"/>
    <mergeCell ref="B53:E53"/>
    <mergeCell ref="G54:H54"/>
    <mergeCell ref="G57:H57"/>
    <mergeCell ref="B58:E58"/>
    <mergeCell ref="G58:H58"/>
    <mergeCell ref="B32:E32"/>
    <mergeCell ref="B33:E33"/>
    <mergeCell ref="A47:T47"/>
    <mergeCell ref="M34:N34"/>
    <mergeCell ref="J31:K31"/>
    <mergeCell ref="J29:K29"/>
    <mergeCell ref="J58:K58"/>
    <mergeCell ref="J57:K57"/>
    <mergeCell ref="B9:E9"/>
    <mergeCell ref="G9:H9"/>
    <mergeCell ref="M9:N9"/>
    <mergeCell ref="P9:Q9"/>
    <mergeCell ref="J9:K9"/>
    <mergeCell ref="L24:N24"/>
    <mergeCell ref="G64:H64"/>
    <mergeCell ref="J64:K64"/>
    <mergeCell ref="A41:K41"/>
    <mergeCell ref="J27:K27"/>
    <mergeCell ref="G61:H61"/>
    <mergeCell ref="I61:T63"/>
    <mergeCell ref="B24:E24"/>
    <mergeCell ref="F24:H24"/>
    <mergeCell ref="I24:K24"/>
    <mergeCell ref="S64:T64"/>
    <mergeCell ref="B64:E64"/>
    <mergeCell ref="B62:E62"/>
    <mergeCell ref="G62:H62"/>
    <mergeCell ref="B61:E61"/>
    <mergeCell ref="J28:K28"/>
    <mergeCell ref="J34:K34"/>
    <mergeCell ref="B7:E7"/>
    <mergeCell ref="G7:H7"/>
    <mergeCell ref="J7:K7"/>
    <mergeCell ref="M7:N7"/>
    <mergeCell ref="B8:E8"/>
    <mergeCell ref="G8:H8"/>
    <mergeCell ref="M8:N8"/>
    <mergeCell ref="P8:Q8"/>
    <mergeCell ref="J8:K8"/>
    <mergeCell ref="P7:Q7"/>
    <mergeCell ref="A3:T3"/>
    <mergeCell ref="B6:E6"/>
    <mergeCell ref="G6:H6"/>
    <mergeCell ref="J6:K6"/>
    <mergeCell ref="M6:N6"/>
    <mergeCell ref="P6:Q6"/>
    <mergeCell ref="B5:E5"/>
    <mergeCell ref="F5:H5"/>
    <mergeCell ref="I5:K5"/>
    <mergeCell ref="L5:N5"/>
    <mergeCell ref="O5:Q5"/>
    <mergeCell ref="G10:H10"/>
    <mergeCell ref="B13:E13"/>
    <mergeCell ref="G13:H13"/>
    <mergeCell ref="M11:N11"/>
    <mergeCell ref="B35:E35"/>
    <mergeCell ref="G35:H35"/>
    <mergeCell ref="J10:K10"/>
    <mergeCell ref="A23:Q23"/>
    <mergeCell ref="B12:E12"/>
    <mergeCell ref="G12:H12"/>
    <mergeCell ref="M10:N10"/>
    <mergeCell ref="P10:Q10"/>
    <mergeCell ref="B30:E30"/>
    <mergeCell ref="O24:Q24"/>
    <mergeCell ref="J32:K32"/>
    <mergeCell ref="G26:H26"/>
    <mergeCell ref="J26:K26"/>
    <mergeCell ref="B31:E31"/>
    <mergeCell ref="G31:H31"/>
    <mergeCell ref="B28:E28"/>
    <mergeCell ref="P25:Q25"/>
    <mergeCell ref="M28:N28"/>
    <mergeCell ref="P28:Q28"/>
    <mergeCell ref="M26:N26"/>
    <mergeCell ref="J15:K15"/>
    <mergeCell ref="P15:Q15"/>
    <mergeCell ref="B15:E15"/>
    <mergeCell ref="S29:T29"/>
    <mergeCell ref="S30:T30"/>
    <mergeCell ref="M30:N30"/>
    <mergeCell ref="G15:H15"/>
    <mergeCell ref="G25:H25"/>
    <mergeCell ref="J25:K25"/>
    <mergeCell ref="A21:T21"/>
    <mergeCell ref="M25:N25"/>
    <mergeCell ref="P26:Q26"/>
    <mergeCell ref="M27:N27"/>
    <mergeCell ref="P27:Q27"/>
    <mergeCell ref="G30:H30"/>
    <mergeCell ref="P30:Q30"/>
    <mergeCell ref="M29:N29"/>
    <mergeCell ref="P29:Q29"/>
    <mergeCell ref="B18:E18"/>
    <mergeCell ref="G18:H18"/>
    <mergeCell ref="A22:O22"/>
    <mergeCell ref="P22:T22"/>
    <mergeCell ref="S28:T28"/>
    <mergeCell ref="I16:T18"/>
    <mergeCell ref="S25:T25"/>
    <mergeCell ref="S6:T6"/>
    <mergeCell ref="P19:Q19"/>
    <mergeCell ref="M19:N19"/>
    <mergeCell ref="P13:Q13"/>
    <mergeCell ref="P14:Q14"/>
    <mergeCell ref="M13:N13"/>
    <mergeCell ref="M14:N14"/>
    <mergeCell ref="S10:T10"/>
    <mergeCell ref="M15:N15"/>
    <mergeCell ref="R23:T23"/>
    <mergeCell ref="R24:T24"/>
    <mergeCell ref="J14:K14"/>
    <mergeCell ref="B11:E11"/>
    <mergeCell ref="G11:H11"/>
    <mergeCell ref="J12:K12"/>
    <mergeCell ref="B14:E14"/>
    <mergeCell ref="G14:H14"/>
    <mergeCell ref="J13:K13"/>
    <mergeCell ref="S11:T11"/>
    <mergeCell ref="P11:Q11"/>
    <mergeCell ref="M12:N12"/>
    <mergeCell ref="P12:Q12"/>
    <mergeCell ref="S13:T13"/>
    <mergeCell ref="S14:T14"/>
    <mergeCell ref="B10:E10"/>
    <mergeCell ref="S58:T58"/>
    <mergeCell ref="S59:T59"/>
    <mergeCell ref="S55:T55"/>
    <mergeCell ref="S56:T56"/>
    <mergeCell ref="S60:T60"/>
    <mergeCell ref="S54:T54"/>
    <mergeCell ref="S57:T57"/>
    <mergeCell ref="A2:T2"/>
    <mergeCell ref="R50:T50"/>
    <mergeCell ref="S51:T51"/>
    <mergeCell ref="S52:T52"/>
    <mergeCell ref="R4:T4"/>
    <mergeCell ref="A4:Q4"/>
    <mergeCell ref="R49:T49"/>
    <mergeCell ref="R5:T5"/>
    <mergeCell ref="A49:Q49"/>
    <mergeCell ref="S19:T19"/>
    <mergeCell ref="S7:T7"/>
    <mergeCell ref="S15:T15"/>
    <mergeCell ref="S8:T8"/>
    <mergeCell ref="S9:T9"/>
    <mergeCell ref="S27:T27"/>
    <mergeCell ref="S26:T26"/>
  </mergeCells>
  <phoneticPr fontId="21" type="noConversion"/>
  <conditionalFormatting sqref="A76:A85 C76:I85">
    <cfRule type="expression" dxfId="135" priority="43" stopIfTrue="1">
      <formula>IF(NOT(ISBLANK($L$488)),TRUE,FALSE)</formula>
    </cfRule>
  </conditionalFormatting>
  <conditionalFormatting sqref="N67:R67 N41:R41">
    <cfRule type="expression" dxfId="134" priority="44" stopIfTrue="1">
      <formula>IF($D$5&gt;=200,TRUE,FALSE)</formula>
    </cfRule>
  </conditionalFormatting>
  <conditionalFormatting sqref="U23:V23 U49:V49">
    <cfRule type="expression" dxfId="133" priority="45" stopIfTrue="1">
      <formula>IF($D$6&gt;=200,TRUE,FALSE)</formula>
    </cfRule>
  </conditionalFormatting>
  <conditionalFormatting sqref="A36:E36 A62:B62 B46:Q46 A17:E17 G36:H36">
    <cfRule type="expression" dxfId="132" priority="46" stopIfTrue="1">
      <formula>IF(ISBLANK($P$591),FALSE,TRUE)</formula>
    </cfRule>
  </conditionalFormatting>
  <conditionalFormatting sqref="P22:T22 P48:T48">
    <cfRule type="expression" dxfId="131" priority="47" stopIfTrue="1">
      <formula>IF($T$1&gt;=200,TRUE,FALSE)</formula>
    </cfRule>
  </conditionalFormatting>
  <conditionalFormatting sqref="S38:T38 A25:E34 I30:Q30 R30:T31">
    <cfRule type="expression" dxfId="130" priority="48" stopIfTrue="1">
      <formula>IF(ISBLANK($P$579),FALSE,TRUE)</formula>
    </cfRule>
  </conditionalFormatting>
  <conditionalFormatting sqref="R56:T57 A51:E60 I56:Q56">
    <cfRule type="expression" dxfId="129" priority="49" stopIfTrue="1">
      <formula>IF(ISBLANK($P$527),FALSE,TRUE)</formula>
    </cfRule>
  </conditionalFormatting>
  <conditionalFormatting sqref="S64:T64">
    <cfRule type="expression" dxfId="128" priority="50" stopIfTrue="1">
      <formula>IF(ISBLANK($P$526),FALSE,TRUE)</formula>
    </cfRule>
  </conditionalFormatting>
  <conditionalFormatting sqref="R11:T12 I11:Q11 A6:E15">
    <cfRule type="expression" dxfId="127" priority="51" stopIfTrue="1">
      <formula>IF(ISBLANK($P$234),FALSE,TRUE)</formula>
    </cfRule>
  </conditionalFormatting>
  <conditionalFormatting sqref="G51:H60 J57:K60 J51:K55 M51:N55 M57:N60 P57:Q60 P51:Q55 S51:T55 S58:T60 S32:T34 S25:T29 P25:Q29 P31:Q34 M31:N34 M25:N29 J31:K34 J25:K29 G25:H34 G6:H15 J12:K15 J6:K10 M6:N10 M12:N15 P12:Q15 P6:Q10 S6:T10 S13:T15">
    <cfRule type="expression" dxfId="126" priority="52" stopIfTrue="1">
      <formula>IF($W$1&lt;&gt;"",TRUE,FALSE)</formula>
    </cfRule>
  </conditionalFormatting>
  <conditionalFormatting sqref="B76:B85 J76:M85">
    <cfRule type="expression" dxfId="125" priority="53" stopIfTrue="1">
      <formula>IF($W$72&lt;&gt;"",TRUE,FALSE)</formula>
    </cfRule>
  </conditionalFormatting>
  <conditionalFormatting sqref="N41:R41">
    <cfRule type="expression" dxfId="124" priority="42" stopIfTrue="1">
      <formula>IF($T$1&gt;=200,TRUE,FALSE)</formula>
    </cfRule>
  </conditionalFormatting>
  <conditionalFormatting sqref="N67:R67">
    <cfRule type="expression" dxfId="123" priority="41" stopIfTrue="1">
      <formula>IF($T$1&gt;=200,TRUE,FALSE)</formula>
    </cfRule>
  </conditionalFormatting>
  <conditionalFormatting sqref="F6">
    <cfRule type="expression" dxfId="122" priority="40" stopIfTrue="1">
      <formula>IF(ISBLANK($P$234),FALSE,TRUE)</formula>
    </cfRule>
  </conditionalFormatting>
  <conditionalFormatting sqref="F7:F19">
    <cfRule type="expression" dxfId="121" priority="39" stopIfTrue="1">
      <formula>IF(ISBLANK($P$234),FALSE,TRUE)</formula>
    </cfRule>
  </conditionalFormatting>
  <conditionalFormatting sqref="I6:I10">
    <cfRule type="expression" dxfId="120" priority="38" stopIfTrue="1">
      <formula>IF(ISBLANK($P$234),FALSE,TRUE)</formula>
    </cfRule>
  </conditionalFormatting>
  <conditionalFormatting sqref="L6:L10">
    <cfRule type="expression" dxfId="119" priority="37" stopIfTrue="1">
      <formula>IF(ISBLANK($P$234),FALSE,TRUE)</formula>
    </cfRule>
  </conditionalFormatting>
  <conditionalFormatting sqref="O6:O10">
    <cfRule type="expression" dxfId="118" priority="36" stopIfTrue="1">
      <formula>IF(ISBLANK($P$234),FALSE,TRUE)</formula>
    </cfRule>
  </conditionalFormatting>
  <conditionalFormatting sqref="R6:R10">
    <cfRule type="expression" dxfId="117" priority="35" stopIfTrue="1">
      <formula>IF(ISBLANK($P$234),FALSE,TRUE)</formula>
    </cfRule>
  </conditionalFormatting>
  <conditionalFormatting sqref="I12:I15">
    <cfRule type="expression" dxfId="116" priority="34" stopIfTrue="1">
      <formula>IF(ISBLANK($P$234),FALSE,TRUE)</formula>
    </cfRule>
  </conditionalFormatting>
  <conditionalFormatting sqref="L12:L15">
    <cfRule type="expression" dxfId="115" priority="33" stopIfTrue="1">
      <formula>IF(ISBLANK($P$234),FALSE,TRUE)</formula>
    </cfRule>
  </conditionalFormatting>
  <conditionalFormatting sqref="O12:O15">
    <cfRule type="expression" dxfId="114" priority="32" stopIfTrue="1">
      <formula>IF(ISBLANK($P$234),FALSE,TRUE)</formula>
    </cfRule>
  </conditionalFormatting>
  <conditionalFormatting sqref="R13:R15">
    <cfRule type="expression" dxfId="113" priority="31" stopIfTrue="1">
      <formula>IF(ISBLANK($P$234),FALSE,TRUE)</formula>
    </cfRule>
  </conditionalFormatting>
  <conditionalFormatting sqref="I19">
    <cfRule type="expression" dxfId="112" priority="30" stopIfTrue="1">
      <formula>IF(ISBLANK($P$234),FALSE,TRUE)</formula>
    </cfRule>
  </conditionalFormatting>
  <conditionalFormatting sqref="L19">
    <cfRule type="expression" dxfId="111" priority="29" stopIfTrue="1">
      <formula>IF(ISBLANK($P$234),FALSE,TRUE)</formula>
    </cfRule>
  </conditionalFormatting>
  <conditionalFormatting sqref="O19">
    <cfRule type="expression" dxfId="110" priority="28" stopIfTrue="1">
      <formula>IF(ISBLANK($P$234),FALSE,TRUE)</formula>
    </cfRule>
  </conditionalFormatting>
  <conditionalFormatting sqref="R19">
    <cfRule type="expression" dxfId="109" priority="27" stopIfTrue="1">
      <formula>IF(ISBLANK($P$234),FALSE,TRUE)</formula>
    </cfRule>
  </conditionalFormatting>
  <conditionalFormatting sqref="I38">
    <cfRule type="expression" dxfId="108" priority="26" stopIfTrue="1">
      <formula>IF(ISBLANK($P$234),FALSE,TRUE)</formula>
    </cfRule>
  </conditionalFormatting>
  <conditionalFormatting sqref="L38">
    <cfRule type="expression" dxfId="107" priority="25" stopIfTrue="1">
      <formula>IF(ISBLANK($P$234),FALSE,TRUE)</formula>
    </cfRule>
  </conditionalFormatting>
  <conditionalFormatting sqref="O38">
    <cfRule type="expression" dxfId="106" priority="24" stopIfTrue="1">
      <formula>IF(ISBLANK($P$234),FALSE,TRUE)</formula>
    </cfRule>
  </conditionalFormatting>
  <conditionalFormatting sqref="R38">
    <cfRule type="expression" dxfId="105" priority="23" stopIfTrue="1">
      <formula>IF(ISBLANK($P$234),FALSE,TRUE)</formula>
    </cfRule>
  </conditionalFormatting>
  <conditionalFormatting sqref="I64">
    <cfRule type="expression" dxfId="104" priority="22" stopIfTrue="1">
      <formula>IF(ISBLANK($P$234),FALSE,TRUE)</formula>
    </cfRule>
  </conditionalFormatting>
  <conditionalFormatting sqref="L64">
    <cfRule type="expression" dxfId="103" priority="21" stopIfTrue="1">
      <formula>IF(ISBLANK($P$234),FALSE,TRUE)</formula>
    </cfRule>
  </conditionalFormatting>
  <conditionalFormatting sqref="O64">
    <cfRule type="expression" dxfId="102" priority="20" stopIfTrue="1">
      <formula>IF(ISBLANK($P$234),FALSE,TRUE)</formula>
    </cfRule>
  </conditionalFormatting>
  <conditionalFormatting sqref="R64">
    <cfRule type="expression" dxfId="101" priority="19" stopIfTrue="1">
      <formula>IF(ISBLANK($P$234),FALSE,TRUE)</formula>
    </cfRule>
  </conditionalFormatting>
  <conditionalFormatting sqref="F25:F38">
    <cfRule type="expression" dxfId="100" priority="18" stopIfTrue="1">
      <formula>IF(ISBLANK($P$234),FALSE,TRUE)</formula>
    </cfRule>
  </conditionalFormatting>
  <conditionalFormatting sqref="I25:I29">
    <cfRule type="expression" dxfId="99" priority="17" stopIfTrue="1">
      <formula>IF(ISBLANK($P$234),FALSE,TRUE)</formula>
    </cfRule>
  </conditionalFormatting>
  <conditionalFormatting sqref="L25:L29">
    <cfRule type="expression" dxfId="98" priority="16" stopIfTrue="1">
      <formula>IF(ISBLANK($P$234),FALSE,TRUE)</formula>
    </cfRule>
  </conditionalFormatting>
  <conditionalFormatting sqref="O25:O29">
    <cfRule type="expression" dxfId="97" priority="15" stopIfTrue="1">
      <formula>IF(ISBLANK($P$234),FALSE,TRUE)</formula>
    </cfRule>
  </conditionalFormatting>
  <conditionalFormatting sqref="R25:R29">
    <cfRule type="expression" dxfId="96" priority="14" stopIfTrue="1">
      <formula>IF(ISBLANK($P$234),FALSE,TRUE)</formula>
    </cfRule>
  </conditionalFormatting>
  <conditionalFormatting sqref="I31:I34">
    <cfRule type="expression" dxfId="95" priority="13" stopIfTrue="1">
      <formula>IF(ISBLANK($P$234),FALSE,TRUE)</formula>
    </cfRule>
  </conditionalFormatting>
  <conditionalFormatting sqref="L31:L34">
    <cfRule type="expression" dxfId="94" priority="12" stopIfTrue="1">
      <formula>IF(ISBLANK($P$234),FALSE,TRUE)</formula>
    </cfRule>
  </conditionalFormatting>
  <conditionalFormatting sqref="O31:O34">
    <cfRule type="expression" dxfId="93" priority="11" stopIfTrue="1">
      <formula>IF(ISBLANK($P$234),FALSE,TRUE)</formula>
    </cfRule>
  </conditionalFormatting>
  <conditionalFormatting sqref="R32:R34">
    <cfRule type="expression" dxfId="92" priority="10" stopIfTrue="1">
      <formula>IF(ISBLANK($P$234),FALSE,TRUE)</formula>
    </cfRule>
  </conditionalFormatting>
  <conditionalFormatting sqref="F51:F64">
    <cfRule type="expression" dxfId="91" priority="9" stopIfTrue="1">
      <formula>IF(ISBLANK($P$234),FALSE,TRUE)</formula>
    </cfRule>
  </conditionalFormatting>
  <conditionalFormatting sqref="I51:I55">
    <cfRule type="expression" dxfId="90" priority="8" stopIfTrue="1">
      <formula>IF(ISBLANK($P$234),FALSE,TRUE)</formula>
    </cfRule>
  </conditionalFormatting>
  <conditionalFormatting sqref="L51:L55">
    <cfRule type="expression" dxfId="89" priority="7" stopIfTrue="1">
      <formula>IF(ISBLANK($P$234),FALSE,TRUE)</formula>
    </cfRule>
  </conditionalFormatting>
  <conditionalFormatting sqref="O51:O55">
    <cfRule type="expression" dxfId="88" priority="6" stopIfTrue="1">
      <formula>IF(ISBLANK($P$234),FALSE,TRUE)</formula>
    </cfRule>
  </conditionalFormatting>
  <conditionalFormatting sqref="R51:R55">
    <cfRule type="expression" dxfId="87" priority="5" stopIfTrue="1">
      <formula>IF(ISBLANK($P$234),FALSE,TRUE)</formula>
    </cfRule>
  </conditionalFormatting>
  <conditionalFormatting sqref="I57:I60">
    <cfRule type="expression" dxfId="86" priority="4" stopIfTrue="1">
      <formula>IF(ISBLANK($P$234),FALSE,TRUE)</formula>
    </cfRule>
  </conditionalFormatting>
  <conditionalFormatting sqref="L57:L60">
    <cfRule type="expression" dxfId="85" priority="3" stopIfTrue="1">
      <formula>IF(ISBLANK($P$234),FALSE,TRUE)</formula>
    </cfRule>
  </conditionalFormatting>
  <conditionalFormatting sqref="O57:O60">
    <cfRule type="expression" dxfId="84" priority="2" stopIfTrue="1">
      <formula>IF(ISBLANK($P$234),FALSE,TRUE)</formula>
    </cfRule>
  </conditionalFormatting>
  <conditionalFormatting sqref="R58:R60">
    <cfRule type="expression" dxfId="83" priority="1" stopIfTrue="1">
      <formula>IF(ISBLANK($P$234),FALSE,TRUE)</formula>
    </cfRule>
  </conditionalFormatting>
  <hyperlinks>
    <hyperlink ref="B19:E19" location="Code_0730" display="Routine Care Charges (ties to account 730)" xr:uid="{00000000-0004-0000-0200-000000000000}"/>
    <hyperlink ref="B63:E63" location="Code_4320" display="Code_4320" xr:uid="{00000000-0004-0000-0200-000001000000}"/>
    <hyperlink ref="B37:E37" location="Code_4320" display="Code_4320" xr:uid="{00000000-0004-0000-0200-000002000000}"/>
    <hyperlink ref="I16:T18" location="Code_7133" display="Click Here to return to the Charge Summary Section in the 2008 HAR" xr:uid="{00000000-0004-0000-0200-000003000000}"/>
    <hyperlink ref="I61:T63" location="Code_4030" display="Click here to return to the Patient Days Summary Section in the 2008 HAR." xr:uid="{00000000-0004-0000-0200-000004000000}"/>
    <hyperlink ref="N73:T74" location="Code_4030" display="Click here to return to the next section in the 2008 HAR." xr:uid="{00000000-0004-0000-0200-000005000000}"/>
    <hyperlink ref="I35:T37" location="Code_4320" display="Click Here to return to the Charge Summary Section in the 2008 HAR" xr:uid="{00000000-0004-0000-0200-000006000000}"/>
  </hyperlinks>
  <pageMargins left="0.75" right="0.75" top="1" bottom="1" header="0.5" footer="0.5"/>
  <pageSetup scale="56" orientation="landscape" r:id="rId1"/>
  <headerFooter alignWithMargins="0">
    <oddFooter xml:space="preserve">&amp;LMDH
www.health.state.mn.us/data/economics/hccis/index.html
Phone: 651-201-3572
Fax: 651-201-5179
&amp;CPage &amp;P
2021 Hospital Annual Report
Health Care Cost  Information System (HCCIS)
&amp;RMHA
Jsanislo@mnhospitals.org
Phone: 651-659-1440 
Fax: 651-659-1477
</oddFooter>
  </headerFooter>
  <rowBreaks count="3" manualBreakCount="3">
    <brk id="19" min="1" max="19" man="1"/>
    <brk id="45" min="1" max="19" man="1"/>
    <brk id="71" min="1" max="1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Z616"/>
  <sheetViews>
    <sheetView view="pageBreakPreview" zoomScaleNormal="100" zoomScaleSheetLayoutView="100" workbookViewId="0"/>
  </sheetViews>
  <sheetFormatPr defaultColWidth="7.85546875" defaultRowHeight="26.25" customHeight="1" x14ac:dyDescent="0.2"/>
  <cols>
    <col min="1" max="1" width="8" style="267" bestFit="1" customWidth="1"/>
    <col min="2" max="14" width="7.85546875" style="267"/>
    <col min="15" max="15" width="8.42578125" style="267" bestFit="1" customWidth="1"/>
    <col min="16" max="17" width="7.85546875" style="267"/>
    <col min="18" max="18" width="25" style="267" bestFit="1" customWidth="1"/>
    <col min="19" max="26" width="7.85546875" style="267" hidden="1" customWidth="1"/>
    <col min="27" max="48" width="7.85546875" style="267" customWidth="1"/>
    <col min="49" max="16384" width="7.85546875" style="267"/>
  </cols>
  <sheetData>
    <row r="1" spans="1:22" ht="26.25" customHeight="1" thickBot="1" x14ac:dyDescent="0.25">
      <c r="A1" s="382" t="str">
        <f>'2021 HAR'!$A$33</f>
        <v xml:space="preserve"> </v>
      </c>
      <c r="B1" s="289"/>
      <c r="C1" s="289"/>
      <c r="D1" s="289"/>
      <c r="E1" s="289"/>
      <c r="F1" s="289"/>
      <c r="G1" s="289"/>
      <c r="H1" s="290"/>
      <c r="I1" s="289" t="s">
        <v>1340</v>
      </c>
      <c r="J1" s="289"/>
      <c r="K1" s="291">
        <f>SUM(S1:S433)</f>
        <v>0</v>
      </c>
      <c r="L1" s="289" t="s">
        <v>1339</v>
      </c>
      <c r="M1" s="289"/>
      <c r="N1" s="289"/>
      <c r="O1" s="292"/>
      <c r="P1" s="1276">
        <f>SUM(E11,E54,E97,E140,E183,E226,E269,E312,E355,E398)</f>
        <v>0</v>
      </c>
      <c r="Q1" s="1277"/>
      <c r="R1" s="1440" t="s">
        <v>1980</v>
      </c>
      <c r="T1" s="267">
        <f>Code_7595</f>
        <v>0</v>
      </c>
      <c r="U1" s="267">
        <f>Code_7596</f>
        <v>0</v>
      </c>
    </row>
    <row r="2" spans="1:22" ht="26.25" customHeight="1" x14ac:dyDescent="0.2">
      <c r="A2" s="1278" t="s">
        <v>673</v>
      </c>
      <c r="B2" s="1279"/>
      <c r="C2" s="1279"/>
      <c r="D2" s="1279"/>
      <c r="E2" s="1279"/>
      <c r="F2" s="1279"/>
      <c r="G2" s="1279"/>
      <c r="H2" s="1279"/>
      <c r="I2" s="1280" t="s">
        <v>1341</v>
      </c>
      <c r="J2" s="1280"/>
      <c r="K2" s="1280"/>
      <c r="L2" s="1280"/>
      <c r="M2" s="1280"/>
      <c r="N2" s="1281" t="s">
        <v>2844</v>
      </c>
      <c r="O2" s="1281"/>
      <c r="P2" s="1281"/>
      <c r="Q2" s="1282"/>
      <c r="R2" s="1440"/>
      <c r="S2" s="293"/>
      <c r="T2" s="293"/>
      <c r="U2" s="293"/>
      <c r="V2" s="293"/>
    </row>
    <row r="3" spans="1:22" ht="26.25" customHeight="1" x14ac:dyDescent="0.2">
      <c r="A3" s="1283" t="s">
        <v>1726</v>
      </c>
      <c r="B3" s="1284"/>
      <c r="C3" s="1284"/>
      <c r="D3" s="1284"/>
      <c r="E3" s="1284"/>
      <c r="F3" s="1284"/>
      <c r="G3" s="1284"/>
      <c r="H3" s="1284"/>
      <c r="I3" s="1284"/>
      <c r="J3" s="1284"/>
      <c r="K3" s="1284"/>
      <c r="L3" s="1284"/>
      <c r="M3" s="1284"/>
      <c r="N3" s="1284"/>
      <c r="O3" s="1284"/>
      <c r="P3" s="1284"/>
      <c r="Q3" s="1285"/>
      <c r="R3" s="1440"/>
    </row>
    <row r="4" spans="1:22" ht="26.25" customHeight="1" x14ac:dyDescent="0.2">
      <c r="A4" s="1286"/>
      <c r="B4" s="1287"/>
      <c r="C4" s="1287"/>
      <c r="D4" s="1287"/>
      <c r="E4" s="1287"/>
      <c r="F4" s="1287"/>
      <c r="G4" s="1287"/>
      <c r="H4" s="1287"/>
      <c r="I4" s="1287"/>
      <c r="J4" s="1287"/>
      <c r="K4" s="1287"/>
      <c r="L4" s="1287"/>
      <c r="M4" s="1287"/>
      <c r="N4" s="1288"/>
      <c r="O4" s="1288"/>
      <c r="P4" s="1288"/>
      <c r="Q4" s="1289"/>
      <c r="R4" s="1440"/>
    </row>
    <row r="5" spans="1:22" ht="27" customHeight="1" x14ac:dyDescent="0.2">
      <c r="A5" s="1290" t="s">
        <v>674</v>
      </c>
      <c r="B5" s="1291"/>
      <c r="C5" s="1291"/>
      <c r="D5" s="1291"/>
      <c r="E5" s="1291"/>
      <c r="F5" s="1291"/>
      <c r="G5" s="1291"/>
      <c r="H5" s="1291"/>
      <c r="I5" s="1291"/>
      <c r="J5" s="1291"/>
      <c r="K5" s="1291"/>
      <c r="L5" s="1291"/>
      <c r="M5" s="1291"/>
      <c r="N5" s="1292" t="s">
        <v>2844</v>
      </c>
      <c r="O5" s="1292"/>
      <c r="P5" s="1292"/>
      <c r="Q5" s="1293"/>
      <c r="R5" s="294"/>
    </row>
    <row r="6" spans="1:22" ht="24" customHeight="1" x14ac:dyDescent="0.2">
      <c r="A6" s="1294" t="str">
        <f>IF(ISBLANK(Cap_Expend_Name),"The Capital Expenditure Contact information has NOT been provided.  Click here to go to Capital Expenditure Contact Section to fill in this information now.","")</f>
        <v/>
      </c>
      <c r="B6" s="1295"/>
      <c r="C6" s="1295"/>
      <c r="D6" s="1295"/>
      <c r="E6" s="1295"/>
      <c r="F6" s="1295"/>
      <c r="G6" s="1295"/>
      <c r="H6" s="1295"/>
      <c r="I6" s="1295"/>
      <c r="J6" s="1295"/>
      <c r="K6" s="1295"/>
      <c r="L6" s="1295"/>
      <c r="M6" s="1295"/>
      <c r="N6" s="407" t="s">
        <v>1727</v>
      </c>
      <c r="O6" s="408"/>
      <c r="P6" s="1296"/>
      <c r="Q6" s="1297"/>
      <c r="R6" s="2"/>
    </row>
    <row r="7" spans="1:22" ht="24" customHeight="1" thickBot="1" x14ac:dyDescent="0.25">
      <c r="A7" s="1298" t="s">
        <v>1338</v>
      </c>
      <c r="B7" s="1299"/>
      <c r="C7" s="1299"/>
      <c r="D7" s="1299"/>
      <c r="E7" s="1300"/>
      <c r="F7" s="1301"/>
      <c r="G7" s="1301"/>
      <c r="H7" s="1301"/>
      <c r="I7" s="1301"/>
      <c r="J7" s="1301"/>
      <c r="K7" s="1301"/>
      <c r="L7" s="1302"/>
      <c r="M7" s="295"/>
      <c r="N7" s="1303" t="s">
        <v>1728</v>
      </c>
      <c r="O7" s="1304"/>
      <c r="P7" s="1304"/>
      <c r="Q7" s="1305"/>
      <c r="R7" s="2"/>
    </row>
    <row r="8" spans="1:22" ht="24" customHeight="1" x14ac:dyDescent="0.2">
      <c r="A8" s="1306" t="s">
        <v>1729</v>
      </c>
      <c r="B8" s="1307"/>
      <c r="C8" s="1307"/>
      <c r="D8" s="1308"/>
      <c r="E8" s="1309"/>
      <c r="F8" s="1310"/>
      <c r="G8" s="1310"/>
      <c r="H8" s="1310"/>
      <c r="I8" s="1310"/>
      <c r="J8" s="1310"/>
      <c r="K8" s="1310"/>
      <c r="L8" s="1311"/>
      <c r="M8" s="1312" t="str">
        <f>IF(AND(ISBLANK(E8),OR(NOT(ISBLANK(E9)),NOT(ISBLANK(E10)),NOT(ISBLANK(E11)),NOT(ISBLANK(I12)),NOT(ISBLANK(E7)))),"This information is required.","")</f>
        <v/>
      </c>
      <c r="N8" s="1313"/>
      <c r="O8" s="1313"/>
      <c r="P8" s="1313"/>
      <c r="Q8" s="296"/>
      <c r="R8" s="2"/>
    </row>
    <row r="9" spans="1:22" ht="24" customHeight="1" x14ac:dyDescent="0.2">
      <c r="A9" s="1314" t="s">
        <v>1730</v>
      </c>
      <c r="B9" s="1315"/>
      <c r="C9" s="1315"/>
      <c r="D9" s="1316"/>
      <c r="E9" s="1309"/>
      <c r="F9" s="1310"/>
      <c r="G9" s="1310"/>
      <c r="H9" s="1310"/>
      <c r="I9" s="1310"/>
      <c r="J9" s="1310"/>
      <c r="K9" s="1310"/>
      <c r="L9" s="1311"/>
      <c r="M9" s="1312" t="str">
        <f>IF(AND(ISBLANK(E9),OR(NOT(ISBLANK(E8)),NOT(ISBLANK(E10)),NOT(ISBLANK(E11)),NOT(ISBLANK(I12)),NOT(ISBLANK(E7)))),"This information is required.","")</f>
        <v/>
      </c>
      <c r="N9" s="1313"/>
      <c r="O9" s="1313"/>
      <c r="P9" s="1313"/>
      <c r="Q9" s="296"/>
      <c r="R9" s="2"/>
    </row>
    <row r="10" spans="1:22" ht="24" customHeight="1" x14ac:dyDescent="0.2">
      <c r="A10" s="1317" t="s">
        <v>1731</v>
      </c>
      <c r="B10" s="1318"/>
      <c r="C10" s="1318"/>
      <c r="D10" s="1319"/>
      <c r="E10" s="1320"/>
      <c r="F10" s="1310"/>
      <c r="G10" s="1321" t="s">
        <v>1732</v>
      </c>
      <c r="H10" s="1321"/>
      <c r="I10" s="1321"/>
      <c r="J10" s="1321"/>
      <c r="K10" s="1321"/>
      <c r="L10" s="1321"/>
      <c r="M10" s="615" t="str">
        <f>IF(AND(ISBLANK(E10),OR(NOT(ISBLANK(E8)),NOT(ISBLANK(E9)),NOT(ISBLANK(E11)),NOT(ISBLANK(I12)),NOT(ISBLANK(E7)))),"This information is required.","")</f>
        <v/>
      </c>
      <c r="N10" s="616"/>
      <c r="O10" s="616"/>
      <c r="P10" s="616"/>
      <c r="Q10" s="297"/>
      <c r="R10" s="298"/>
    </row>
    <row r="11" spans="1:22" ht="24" customHeight="1" x14ac:dyDescent="0.2">
      <c r="A11" s="1314" t="s">
        <v>1733</v>
      </c>
      <c r="B11" s="1315"/>
      <c r="C11" s="1315"/>
      <c r="D11" s="1316"/>
      <c r="E11" s="1322"/>
      <c r="F11" s="1323"/>
      <c r="G11" s="299"/>
      <c r="H11" s="300"/>
      <c r="I11" s="301"/>
      <c r="J11" s="298"/>
      <c r="K11" s="298"/>
      <c r="L11" s="298"/>
      <c r="M11" s="616" t="str">
        <f>IF(AND(ISBLANK(E11),OR(NOT(ISBLANK(E8)),NOT(ISBLANK(E9)),NOT(ISBLANK(E10)),NOT(ISBLANK(I12)),NOT(ISBLANK(E7)))),"This information is required.","")</f>
        <v/>
      </c>
      <c r="N11" s="616"/>
      <c r="O11" s="616"/>
      <c r="P11" s="616"/>
      <c r="Q11" s="297"/>
      <c r="R11" s="5"/>
      <c r="S11" s="267">
        <f>IF(ISBLANK(E11),0,1)</f>
        <v>0</v>
      </c>
    </row>
    <row r="12" spans="1:22" ht="24" customHeight="1" thickBot="1" x14ac:dyDescent="0.25">
      <c r="A12" s="1324" t="s">
        <v>1734</v>
      </c>
      <c r="B12" s="1325"/>
      <c r="C12" s="1325"/>
      <c r="D12" s="1325"/>
      <c r="E12" s="1326"/>
      <c r="F12" s="1326"/>
      <c r="G12" s="1326"/>
      <c r="H12" s="1326"/>
      <c r="I12" s="1327"/>
      <c r="J12" s="1328"/>
      <c r="K12" s="1329" t="s">
        <v>1735</v>
      </c>
      <c r="L12" s="1330"/>
      <c r="M12" s="1331" t="str">
        <f>IF(AND(ISBLANK(I12),OR(NOT(ISBLANK(E8)),NOT(ISBLANK(E9)),NOT(ISBLANK(E10)),NOT(ISBLANK(E11)),NOT(ISBLANK(E7)))),"This information is required!","")</f>
        <v/>
      </c>
      <c r="N12" s="1331"/>
      <c r="O12" s="1331"/>
      <c r="P12" s="1331"/>
      <c r="Q12" s="302"/>
      <c r="R12" s="5"/>
    </row>
    <row r="13" spans="1:22" s="304" customFormat="1" ht="27" customHeight="1" x14ac:dyDescent="0.2">
      <c r="A13" s="1332" t="s">
        <v>1736</v>
      </c>
      <c r="B13" s="1333"/>
      <c r="C13" s="1333"/>
      <c r="D13" s="1333"/>
      <c r="E13" s="1333"/>
      <c r="F13" s="1333"/>
      <c r="G13" s="1333"/>
      <c r="H13" s="1333"/>
      <c r="I13" s="1333"/>
      <c r="J13" s="1334"/>
      <c r="K13" s="1335" t="s">
        <v>1737</v>
      </c>
      <c r="L13" s="1335"/>
      <c r="M13" s="1335"/>
      <c r="N13" s="1335"/>
      <c r="O13" s="1337" t="s">
        <v>1738</v>
      </c>
      <c r="P13" s="1337"/>
      <c r="Q13" s="1338"/>
      <c r="R13" s="303" t="str">
        <f>IF(AND(ISBLANK(A14),OR(NOT(ISBLANK(I12)),NOT(ISBLANK(E8)),NOT(ISBLANK(E9)),NOT(ISBLANK(E10)),NOT(ISBLANK(E11)),NOT(ISBLANK(E7)))),"General Description is required!","")</f>
        <v/>
      </c>
      <c r="T13" s="267"/>
    </row>
    <row r="14" spans="1:22" s="304" customFormat="1" ht="45" customHeight="1" x14ac:dyDescent="0.2">
      <c r="A14" s="1339"/>
      <c r="B14" s="1340"/>
      <c r="C14" s="1340"/>
      <c r="D14" s="1340"/>
      <c r="E14" s="1340"/>
      <c r="F14" s="1340"/>
      <c r="G14" s="1340"/>
      <c r="H14" s="1340"/>
      <c r="I14" s="1340"/>
      <c r="J14" s="1341"/>
      <c r="K14" s="1336"/>
      <c r="L14" s="1336"/>
      <c r="M14" s="1336"/>
      <c r="N14" s="1336"/>
      <c r="O14" s="305"/>
      <c r="P14" s="306" t="s">
        <v>91</v>
      </c>
      <c r="Q14" s="307" t="s">
        <v>92</v>
      </c>
      <c r="R14" s="303"/>
      <c r="T14" s="267"/>
    </row>
    <row r="15" spans="1:22" ht="24" customHeight="1" x14ac:dyDescent="0.2">
      <c r="A15" s="1342"/>
      <c r="B15" s="1343"/>
      <c r="C15" s="1343"/>
      <c r="D15" s="1343"/>
      <c r="E15" s="1343"/>
      <c r="F15" s="1343"/>
      <c r="G15" s="1343"/>
      <c r="H15" s="1343"/>
      <c r="I15" s="1343"/>
      <c r="J15" s="1344"/>
      <c r="K15" s="1345" t="s">
        <v>1739</v>
      </c>
      <c r="L15" s="1346"/>
      <c r="M15" s="1346"/>
      <c r="N15" s="1346"/>
      <c r="O15" s="1347"/>
      <c r="P15" s="308"/>
      <c r="Q15" s="309"/>
      <c r="R15" s="288" t="str">
        <f>IF(NOT(AND(ISBLANK(E7),ISBLANK(E8),ISBLANK(E9),ISBLANK(E10),ISBLANK(E11),ISBLANK(I12))),IF(COUNTBLANK(P15:Q15)=2,"Please enter response.",IF(COUNTBLANK(P15:Q15)&lt;&gt;1,"Please VERIFY response.","")),"")</f>
        <v/>
      </c>
    </row>
    <row r="16" spans="1:22" s="304" customFormat="1" ht="24" customHeight="1" x14ac:dyDescent="0.2">
      <c r="A16" s="1348" t="s">
        <v>1740</v>
      </c>
      <c r="B16" s="1349"/>
      <c r="C16" s="1349"/>
      <c r="D16" s="1349"/>
      <c r="E16" s="1349"/>
      <c r="F16" s="1349"/>
      <c r="G16" s="1349"/>
      <c r="H16" s="1349"/>
      <c r="I16" s="1349"/>
      <c r="J16" s="1350"/>
      <c r="K16" s="1345" t="s">
        <v>1741</v>
      </c>
      <c r="L16" s="1346"/>
      <c r="M16" s="1346"/>
      <c r="N16" s="1346"/>
      <c r="O16" s="1347"/>
      <c r="P16" s="308"/>
      <c r="Q16" s="309"/>
      <c r="R16" s="461" t="str">
        <f>IF(NOT(AND(ISBLANK(E7),ISBLANK(E8),ISBLANK(E9),ISBLANK(E10),ISBLANK(E11),ISBLANK(I12))),IF(COUNTBLANK(P16:Q16)=2,"Please enter response.",IF(COUNTBLANK(P16:Q16)&lt;&gt;1,"Please VERIFY response.","")),"")</f>
        <v/>
      </c>
      <c r="T16" s="267"/>
    </row>
    <row r="17" spans="1:20" s="304" customFormat="1" ht="23.45" customHeight="1" x14ac:dyDescent="0.2">
      <c r="A17" s="1351"/>
      <c r="B17" s="1340"/>
      <c r="C17" s="1340"/>
      <c r="D17" s="1340"/>
      <c r="E17" s="1340"/>
      <c r="F17" s="1340"/>
      <c r="G17" s="1340"/>
      <c r="H17" s="1340"/>
      <c r="I17" s="1340"/>
      <c r="J17" s="1341"/>
      <c r="K17" s="1345" t="s">
        <v>1742</v>
      </c>
      <c r="L17" s="1346"/>
      <c r="M17" s="1346"/>
      <c r="N17" s="1346"/>
      <c r="O17" s="1347"/>
      <c r="P17" s="308"/>
      <c r="Q17" s="309"/>
      <c r="R17" s="461" t="str">
        <f>IF(NOT(AND(ISBLANK(E7),ISBLANK(E8),ISBLANK(E9),ISBLANK(E10),ISBLANK(E11),ISBLANK(I12))),IF(COUNTBLANK(P17:Q17)=2,"Please enter response.",IF(COUNTBLANK(P17:Q17)&lt;&gt;1,"Please VERIFY response.","")),"")</f>
        <v/>
      </c>
      <c r="T17" s="267"/>
    </row>
    <row r="18" spans="1:20" s="304" customFormat="1" ht="24" customHeight="1" x14ac:dyDescent="0.2">
      <c r="A18" s="1342"/>
      <c r="B18" s="1343"/>
      <c r="C18" s="1343"/>
      <c r="D18" s="1343"/>
      <c r="E18" s="1343"/>
      <c r="F18" s="1343"/>
      <c r="G18" s="1343"/>
      <c r="H18" s="1343"/>
      <c r="I18" s="1343"/>
      <c r="J18" s="1344"/>
      <c r="K18" s="1345" t="s">
        <v>1743</v>
      </c>
      <c r="L18" s="1346"/>
      <c r="M18" s="1346"/>
      <c r="N18" s="1346"/>
      <c r="O18" s="1347"/>
      <c r="P18" s="308"/>
      <c r="Q18" s="309"/>
      <c r="R18" s="461" t="str">
        <f>IF(NOT(AND(ISBLANK(E7),ISBLANK(E8),ISBLANK(E9),ISBLANK(E10),ISBLANK(E11),ISBLANK(I12))),IF(COUNTBLANK(P18:Q18)=2,"Please enter response.",IF(COUNTBLANK(P18:Q18)&lt;&gt;1,"Please VERIFY response.","")),"")</f>
        <v/>
      </c>
      <c r="T18" s="267"/>
    </row>
    <row r="19" spans="1:20" ht="24" customHeight="1" x14ac:dyDescent="0.2">
      <c r="A19" s="1352" t="s">
        <v>1744</v>
      </c>
      <c r="B19" s="1353"/>
      <c r="C19" s="1353"/>
      <c r="D19" s="1353"/>
      <c r="E19" s="1353"/>
      <c r="F19" s="1353"/>
      <c r="G19" s="1353"/>
      <c r="H19" s="1353"/>
      <c r="I19" s="1353"/>
      <c r="J19" s="1353"/>
      <c r="K19" s="1353"/>
      <c r="L19" s="1353"/>
      <c r="M19" s="1353"/>
      <c r="N19" s="1353"/>
      <c r="O19" s="1353"/>
      <c r="P19" s="1353"/>
      <c r="Q19" s="1354"/>
      <c r="R19" s="310"/>
    </row>
    <row r="20" spans="1:20" ht="24" customHeight="1" x14ac:dyDescent="0.2">
      <c r="A20" s="1355" t="s">
        <v>1745</v>
      </c>
      <c r="B20" s="1356"/>
      <c r="C20" s="1356"/>
      <c r="D20" s="1356"/>
      <c r="E20" s="1356" t="s">
        <v>1746</v>
      </c>
      <c r="F20" s="1356"/>
      <c r="G20" s="1356"/>
      <c r="H20" s="1356"/>
      <c r="I20" s="1356" t="s">
        <v>1747</v>
      </c>
      <c r="J20" s="1356"/>
      <c r="K20" s="1356"/>
      <c r="L20" s="1356"/>
      <c r="M20" s="1357" t="s">
        <v>1748</v>
      </c>
      <c r="N20" s="1356"/>
      <c r="O20" s="1356"/>
      <c r="P20" s="1356"/>
      <c r="Q20" s="1358"/>
      <c r="R20" s="311"/>
    </row>
    <row r="21" spans="1:20" s="304" customFormat="1" ht="24" customHeight="1" thickBot="1" x14ac:dyDescent="0.25">
      <c r="A21" s="1359"/>
      <c r="B21" s="1360"/>
      <c r="C21" s="1360"/>
      <c r="D21" s="1360"/>
      <c r="E21" s="1361"/>
      <c r="F21" s="1362"/>
      <c r="G21" s="1362"/>
      <c r="H21" s="1363"/>
      <c r="I21" s="1361"/>
      <c r="J21" s="1362"/>
      <c r="K21" s="1362"/>
      <c r="L21" s="1363"/>
      <c r="M21" s="1364"/>
      <c r="N21" s="1364"/>
      <c r="O21" s="1364"/>
      <c r="P21" s="1364"/>
      <c r="Q21" s="1365"/>
      <c r="R21" s="310"/>
    </row>
    <row r="22" spans="1:20" ht="24" customHeight="1" x14ac:dyDescent="0.2">
      <c r="A22" s="1366" t="s">
        <v>1749</v>
      </c>
      <c r="B22" s="1367"/>
      <c r="C22" s="1367"/>
      <c r="D22" s="1367"/>
      <c r="E22" s="1367"/>
      <c r="F22" s="1367"/>
      <c r="G22" s="1367"/>
      <c r="H22" s="1367"/>
      <c r="I22" s="1367"/>
      <c r="J22" s="1367"/>
      <c r="K22" s="1367"/>
      <c r="L22" s="1367"/>
      <c r="M22" s="1367"/>
      <c r="N22" s="1367"/>
      <c r="O22" s="1367"/>
      <c r="P22" s="1367"/>
      <c r="Q22" s="1368"/>
      <c r="R22" s="312"/>
    </row>
    <row r="23" spans="1:20" ht="24" customHeight="1" x14ac:dyDescent="0.2">
      <c r="A23" s="1369" t="s">
        <v>1750</v>
      </c>
      <c r="B23" s="1370"/>
      <c r="C23" s="1370"/>
      <c r="D23" s="1370"/>
      <c r="E23" s="1370"/>
      <c r="F23" s="1370"/>
      <c r="G23" s="1370"/>
      <c r="H23" s="1370"/>
      <c r="I23" s="1370"/>
      <c r="J23" s="1370"/>
      <c r="K23" s="1370"/>
      <c r="L23" s="1371"/>
      <c r="M23" s="1372"/>
      <c r="N23" s="1373"/>
      <c r="O23" s="1373"/>
      <c r="P23" s="1373"/>
      <c r="Q23" s="1374"/>
      <c r="R23" s="312"/>
    </row>
    <row r="24" spans="1:20" ht="24" customHeight="1" x14ac:dyDescent="0.2">
      <c r="A24" s="1369" t="s">
        <v>1751</v>
      </c>
      <c r="B24" s="1375"/>
      <c r="C24" s="1375"/>
      <c r="D24" s="1375"/>
      <c r="E24" s="1375"/>
      <c r="F24" s="1375"/>
      <c r="G24" s="1375"/>
      <c r="H24" s="1375"/>
      <c r="I24" s="1375"/>
      <c r="J24" s="1375"/>
      <c r="K24" s="1375"/>
      <c r="L24" s="1375"/>
      <c r="M24" s="1376"/>
      <c r="N24" s="1377"/>
      <c r="O24" s="1377"/>
      <c r="P24" s="1377"/>
      <c r="Q24" s="1378"/>
      <c r="R24" s="390"/>
    </row>
    <row r="25" spans="1:20" ht="24" customHeight="1" x14ac:dyDescent="0.2">
      <c r="A25" s="1369" t="s">
        <v>1752</v>
      </c>
      <c r="B25" s="1375"/>
      <c r="C25" s="1375"/>
      <c r="D25" s="1375"/>
      <c r="E25" s="1375"/>
      <c r="F25" s="1375"/>
      <c r="G25" s="1375"/>
      <c r="H25" s="1375"/>
      <c r="I25" s="1375"/>
      <c r="J25" s="1375"/>
      <c r="K25" s="1375"/>
      <c r="L25" s="1375"/>
      <c r="M25" s="1376"/>
      <c r="N25" s="1377"/>
      <c r="O25" s="1377"/>
      <c r="P25" s="1377"/>
      <c r="Q25" s="1378"/>
      <c r="R25" s="390"/>
    </row>
    <row r="26" spans="1:20" ht="24" customHeight="1" x14ac:dyDescent="0.2">
      <c r="A26" s="1379" t="s">
        <v>1753</v>
      </c>
      <c r="B26" s="1380"/>
      <c r="C26" s="1380"/>
      <c r="D26" s="1380"/>
      <c r="E26" s="1380"/>
      <c r="F26" s="1380"/>
      <c r="G26" s="1380"/>
      <c r="H26" s="1380"/>
      <c r="I26" s="1380"/>
      <c r="J26" s="1380"/>
      <c r="K26" s="1380"/>
      <c r="L26" s="1380"/>
      <c r="M26" s="1380"/>
      <c r="N26" s="1380"/>
      <c r="O26" s="1380"/>
      <c r="P26" s="1380"/>
      <c r="Q26" s="1381"/>
      <c r="R26" s="390"/>
    </row>
    <row r="27" spans="1:20" ht="24" customHeight="1" x14ac:dyDescent="0.2">
      <c r="A27" s="1382"/>
      <c r="B27" s="1383"/>
      <c r="C27" s="1383"/>
      <c r="D27" s="1383"/>
      <c r="E27" s="1383"/>
      <c r="F27" s="1383"/>
      <c r="G27" s="1383"/>
      <c r="H27" s="1383"/>
      <c r="I27" s="1383"/>
      <c r="J27" s="1383"/>
      <c r="K27" s="1383"/>
      <c r="L27" s="1383"/>
      <c r="M27" s="1383"/>
      <c r="N27" s="1383"/>
      <c r="O27" s="1383"/>
      <c r="P27" s="1383"/>
      <c r="Q27" s="1384"/>
      <c r="R27" s="390"/>
    </row>
    <row r="28" spans="1:20" ht="24" customHeight="1" x14ac:dyDescent="0.2">
      <c r="A28" s="1385"/>
      <c r="B28" s="1386"/>
      <c r="C28" s="1386"/>
      <c r="D28" s="1386"/>
      <c r="E28" s="1386"/>
      <c r="F28" s="1386"/>
      <c r="G28" s="1386"/>
      <c r="H28" s="1386"/>
      <c r="I28" s="1386"/>
      <c r="J28" s="1386"/>
      <c r="K28" s="1386"/>
      <c r="L28" s="1386"/>
      <c r="M28" s="1386"/>
      <c r="N28" s="1386"/>
      <c r="O28" s="1386"/>
      <c r="P28" s="1386"/>
      <c r="Q28" s="1387"/>
      <c r="R28" s="390"/>
    </row>
    <row r="29" spans="1:20" s="304" customFormat="1" ht="24" customHeight="1" x14ac:dyDescent="0.2">
      <c r="A29" s="1388" t="s">
        <v>1754</v>
      </c>
      <c r="B29" s="1389"/>
      <c r="C29" s="1389"/>
      <c r="D29" s="1389"/>
      <c r="E29" s="1389"/>
      <c r="F29" s="1389"/>
      <c r="G29" s="1389"/>
      <c r="H29" s="1389"/>
      <c r="I29" s="1389"/>
      <c r="J29" s="1389"/>
      <c r="K29" s="1389"/>
      <c r="L29" s="1389"/>
      <c r="M29" s="1389"/>
      <c r="N29" s="1389"/>
      <c r="O29" s="1389"/>
      <c r="P29" s="1389"/>
      <c r="Q29" s="1390"/>
      <c r="R29" s="390"/>
    </row>
    <row r="30" spans="1:20" s="304" customFormat="1" ht="24" customHeight="1" x14ac:dyDescent="0.2">
      <c r="A30" s="1382"/>
      <c r="B30" s="1391"/>
      <c r="C30" s="1391"/>
      <c r="D30" s="1391"/>
      <c r="E30" s="1391"/>
      <c r="F30" s="1391"/>
      <c r="G30" s="1391"/>
      <c r="H30" s="1391"/>
      <c r="I30" s="1391"/>
      <c r="J30" s="1391"/>
      <c r="K30" s="1391"/>
      <c r="L30" s="1391"/>
      <c r="M30" s="1391"/>
      <c r="N30" s="1391"/>
      <c r="O30" s="1391"/>
      <c r="P30" s="1391"/>
      <c r="Q30" s="1392"/>
      <c r="R30" s="390"/>
    </row>
    <row r="31" spans="1:20" ht="24" customHeight="1" thickBot="1" x14ac:dyDescent="0.25">
      <c r="A31" s="1393"/>
      <c r="B31" s="1394"/>
      <c r="C31" s="1394"/>
      <c r="D31" s="1394"/>
      <c r="E31" s="1394"/>
      <c r="F31" s="1394"/>
      <c r="G31" s="1394"/>
      <c r="H31" s="1394"/>
      <c r="I31" s="1394"/>
      <c r="J31" s="1394"/>
      <c r="K31" s="1394"/>
      <c r="L31" s="1394"/>
      <c r="M31" s="1394"/>
      <c r="N31" s="1394"/>
      <c r="O31" s="1394"/>
      <c r="P31" s="1394"/>
      <c r="Q31" s="1395"/>
      <c r="R31" s="313"/>
    </row>
    <row r="32" spans="1:20" ht="24" customHeight="1" x14ac:dyDescent="0.2">
      <c r="A32" s="1396" t="s">
        <v>1755</v>
      </c>
      <c r="B32" s="1397"/>
      <c r="C32" s="1397"/>
      <c r="D32" s="1397"/>
      <c r="E32" s="1397"/>
      <c r="F32" s="1397"/>
      <c r="G32" s="1397"/>
      <c r="H32" s="1397"/>
      <c r="I32" s="1397"/>
      <c r="J32" s="1397"/>
      <c r="K32" s="1397"/>
      <c r="L32" s="1397"/>
      <c r="M32" s="1397"/>
      <c r="N32" s="1397"/>
      <c r="O32" s="1397"/>
      <c r="P32" s="1397"/>
      <c r="Q32" s="1398"/>
      <c r="R32" s="312"/>
    </row>
    <row r="33" spans="1:18" ht="24" customHeight="1" x14ac:dyDescent="0.2">
      <c r="A33" s="1399" t="s">
        <v>1756</v>
      </c>
      <c r="B33" s="1400"/>
      <c r="C33" s="1400"/>
      <c r="D33" s="1400"/>
      <c r="E33" s="1400"/>
      <c r="F33" s="1400"/>
      <c r="G33" s="1400"/>
      <c r="H33" s="1400"/>
      <c r="I33" s="1400"/>
      <c r="J33" s="1400"/>
      <c r="K33" s="1400"/>
      <c r="L33" s="1401"/>
      <c r="M33" s="1372"/>
      <c r="N33" s="1373"/>
      <c r="O33" s="1373"/>
      <c r="P33" s="1373"/>
      <c r="Q33" s="1374"/>
      <c r="R33" s="313"/>
    </row>
    <row r="34" spans="1:18" ht="24" customHeight="1" x14ac:dyDescent="0.2">
      <c r="A34" s="1369" t="s">
        <v>1757</v>
      </c>
      <c r="B34" s="1370"/>
      <c r="C34" s="1370"/>
      <c r="D34" s="1370"/>
      <c r="E34" s="1370"/>
      <c r="F34" s="1370"/>
      <c r="G34" s="1370"/>
      <c r="H34" s="1370"/>
      <c r="I34" s="1370"/>
      <c r="J34" s="1370"/>
      <c r="K34" s="1370"/>
      <c r="L34" s="1371"/>
      <c r="M34" s="1376"/>
      <c r="N34" s="1377"/>
      <c r="O34" s="1377"/>
      <c r="P34" s="1377"/>
      <c r="Q34" s="1378"/>
      <c r="R34" s="313"/>
    </row>
    <row r="35" spans="1:18" ht="24" customHeight="1" x14ac:dyDescent="0.2">
      <c r="A35" s="1402" t="s">
        <v>1758</v>
      </c>
      <c r="B35" s="1403"/>
      <c r="C35" s="1403"/>
      <c r="D35" s="1403"/>
      <c r="E35" s="1403"/>
      <c r="F35" s="1403"/>
      <c r="G35" s="1403"/>
      <c r="H35" s="1403"/>
      <c r="I35" s="1403"/>
      <c r="J35" s="1403"/>
      <c r="K35" s="1403"/>
      <c r="L35" s="1403"/>
      <c r="M35" s="1403"/>
      <c r="N35" s="1403"/>
      <c r="O35" s="1403"/>
      <c r="P35" s="1403"/>
      <c r="Q35" s="1404"/>
      <c r="R35" s="313"/>
    </row>
    <row r="36" spans="1:18" ht="24" customHeight="1" x14ac:dyDescent="0.2">
      <c r="A36" s="1382"/>
      <c r="B36" s="1383"/>
      <c r="C36" s="1383"/>
      <c r="D36" s="1383"/>
      <c r="E36" s="1383"/>
      <c r="F36" s="1383"/>
      <c r="G36" s="1383"/>
      <c r="H36" s="1383"/>
      <c r="I36" s="1383"/>
      <c r="J36" s="1383"/>
      <c r="K36" s="1383"/>
      <c r="L36" s="1383"/>
      <c r="M36" s="1383"/>
      <c r="N36" s="1383"/>
      <c r="O36" s="1383"/>
      <c r="P36" s="1383"/>
      <c r="Q36" s="1405"/>
      <c r="R36" s="313"/>
    </row>
    <row r="37" spans="1:18" ht="24" customHeight="1" x14ac:dyDescent="0.2">
      <c r="A37" s="1406"/>
      <c r="B37" s="1407"/>
      <c r="C37" s="1407"/>
      <c r="D37" s="1407"/>
      <c r="E37" s="1407"/>
      <c r="F37" s="1407"/>
      <c r="G37" s="1407"/>
      <c r="H37" s="1407"/>
      <c r="I37" s="1407"/>
      <c r="J37" s="1407"/>
      <c r="K37" s="1407"/>
      <c r="L37" s="1407"/>
      <c r="M37" s="1407"/>
      <c r="N37" s="1407"/>
      <c r="O37" s="1407"/>
      <c r="P37" s="1407"/>
      <c r="Q37" s="1408"/>
      <c r="R37" s="313"/>
    </row>
    <row r="38" spans="1:18" ht="29.45" customHeight="1" x14ac:dyDescent="0.2">
      <c r="A38" s="1409" t="s">
        <v>1759</v>
      </c>
      <c r="B38" s="1410"/>
      <c r="C38" s="1410"/>
      <c r="D38" s="1410"/>
      <c r="E38" s="1410"/>
      <c r="F38" s="1410"/>
      <c r="G38" s="1410"/>
      <c r="H38" s="1410"/>
      <c r="I38" s="1410"/>
      <c r="J38" s="1410"/>
      <c r="K38" s="1410"/>
      <c r="L38" s="1410"/>
      <c r="M38" s="1410"/>
      <c r="N38" s="1410"/>
      <c r="O38" s="1410"/>
      <c r="P38" s="1410"/>
      <c r="Q38" s="1411"/>
      <c r="R38" s="313"/>
    </row>
    <row r="39" spans="1:18" ht="24" customHeight="1" x14ac:dyDescent="0.2">
      <c r="A39" s="1382"/>
      <c r="B39" s="1383"/>
      <c r="C39" s="1383"/>
      <c r="D39" s="1383"/>
      <c r="E39" s="1383"/>
      <c r="F39" s="1383"/>
      <c r="G39" s="1383"/>
      <c r="H39" s="1383"/>
      <c r="I39" s="1383"/>
      <c r="J39" s="1383"/>
      <c r="K39" s="1383"/>
      <c r="L39" s="1383"/>
      <c r="M39" s="1383"/>
      <c r="N39" s="1383"/>
      <c r="O39" s="1383"/>
      <c r="P39" s="1383"/>
      <c r="Q39" s="1384"/>
      <c r="R39" s="313"/>
    </row>
    <row r="40" spans="1:18" ht="24" customHeight="1" thickBot="1" x14ac:dyDescent="0.25">
      <c r="A40" s="1412"/>
      <c r="B40" s="1413"/>
      <c r="C40" s="1413"/>
      <c r="D40" s="1413"/>
      <c r="E40" s="1413"/>
      <c r="F40" s="1413"/>
      <c r="G40" s="1413"/>
      <c r="H40" s="1413"/>
      <c r="I40" s="1413"/>
      <c r="J40" s="1413"/>
      <c r="K40" s="1413"/>
      <c r="L40" s="1413"/>
      <c r="M40" s="1413"/>
      <c r="N40" s="1413"/>
      <c r="O40" s="1413"/>
      <c r="P40" s="1413"/>
      <c r="Q40" s="1414"/>
      <c r="R40" s="313"/>
    </row>
    <row r="41" spans="1:18" ht="25.9" customHeight="1" x14ac:dyDescent="0.2">
      <c r="A41" s="1332" t="s">
        <v>1760</v>
      </c>
      <c r="B41" s="1333"/>
      <c r="C41" s="1333"/>
      <c r="D41" s="1333"/>
      <c r="E41" s="1333"/>
      <c r="F41" s="1333"/>
      <c r="G41" s="1333"/>
      <c r="H41" s="1333"/>
      <c r="I41" s="1333"/>
      <c r="J41" s="1333"/>
      <c r="K41" s="1333"/>
      <c r="L41" s="1333"/>
      <c r="M41" s="1333"/>
      <c r="N41" s="1333"/>
      <c r="O41" s="1333"/>
      <c r="P41" s="1333"/>
      <c r="Q41" s="1415"/>
    </row>
    <row r="42" spans="1:18" ht="24" customHeight="1" x14ac:dyDescent="0.2">
      <c r="A42" s="1416"/>
      <c r="B42" s="1383"/>
      <c r="C42" s="1383"/>
      <c r="D42" s="1383"/>
      <c r="E42" s="1383"/>
      <c r="F42" s="1383"/>
      <c r="G42" s="1383"/>
      <c r="H42" s="1383"/>
      <c r="I42" s="1383"/>
      <c r="J42" s="1383"/>
      <c r="K42" s="1383"/>
      <c r="L42" s="1383"/>
      <c r="M42" s="1383"/>
      <c r="N42" s="1383"/>
      <c r="O42" s="1383"/>
      <c r="P42" s="1383"/>
      <c r="Q42" s="1405"/>
    </row>
    <row r="43" spans="1:18" s="315" customFormat="1" ht="24" customHeight="1" thickBot="1" x14ac:dyDescent="0.25">
      <c r="A43" s="1412"/>
      <c r="B43" s="1413"/>
      <c r="C43" s="1413"/>
      <c r="D43" s="1413"/>
      <c r="E43" s="1413"/>
      <c r="F43" s="1413"/>
      <c r="G43" s="1413"/>
      <c r="H43" s="1413"/>
      <c r="I43" s="1413"/>
      <c r="J43" s="1413"/>
      <c r="K43" s="1413"/>
      <c r="L43" s="1413"/>
      <c r="M43" s="1413"/>
      <c r="N43" s="1413"/>
      <c r="O43" s="1413"/>
      <c r="P43" s="1413"/>
      <c r="Q43" s="1414"/>
    </row>
    <row r="44" spans="1:18" s="315" customFormat="1" ht="32.450000000000003" customHeight="1" x14ac:dyDescent="0.2">
      <c r="A44" s="1396" t="s">
        <v>1761</v>
      </c>
      <c r="B44" s="1397"/>
      <c r="C44" s="1397"/>
      <c r="D44" s="1397"/>
      <c r="E44" s="1397"/>
      <c r="F44" s="1397"/>
      <c r="G44" s="1397"/>
      <c r="H44" s="1397"/>
      <c r="I44" s="1397"/>
      <c r="J44" s="1397"/>
      <c r="K44" s="1397"/>
      <c r="L44" s="1397"/>
      <c r="M44" s="1397"/>
      <c r="N44" s="1397"/>
      <c r="O44" s="1397"/>
      <c r="P44" s="1397"/>
      <c r="Q44" s="1398"/>
      <c r="R44" s="316"/>
    </row>
    <row r="45" spans="1:18" s="315" customFormat="1" ht="24" customHeight="1" x14ac:dyDescent="0.2">
      <c r="A45" s="1351"/>
      <c r="B45" s="1340"/>
      <c r="C45" s="1340"/>
      <c r="D45" s="1340"/>
      <c r="E45" s="1340"/>
      <c r="F45" s="1340"/>
      <c r="G45" s="1340"/>
      <c r="H45" s="1340"/>
      <c r="I45" s="1340"/>
      <c r="J45" s="1340"/>
      <c r="K45" s="1340"/>
      <c r="L45" s="1340"/>
      <c r="M45" s="1340"/>
      <c r="N45" s="1340"/>
      <c r="O45" s="1340"/>
      <c r="P45" s="1340"/>
      <c r="Q45" s="1417"/>
      <c r="R45" s="22"/>
    </row>
    <row r="46" spans="1:18" s="315" customFormat="1" ht="24" customHeight="1" thickBot="1" x14ac:dyDescent="0.25">
      <c r="A46" s="1393"/>
      <c r="B46" s="1394"/>
      <c r="C46" s="1394"/>
      <c r="D46" s="1394"/>
      <c r="E46" s="1394"/>
      <c r="F46" s="1394"/>
      <c r="G46" s="1394"/>
      <c r="H46" s="1394"/>
      <c r="I46" s="1394"/>
      <c r="J46" s="1394"/>
      <c r="K46" s="1394"/>
      <c r="L46" s="1394"/>
      <c r="M46" s="1394"/>
      <c r="N46" s="1394"/>
      <c r="O46" s="1394"/>
      <c r="P46" s="1394"/>
      <c r="Q46" s="1395"/>
      <c r="R46" s="22"/>
    </row>
    <row r="47" spans="1:18" s="315" customFormat="1" ht="20.45" customHeight="1" x14ac:dyDescent="0.2">
      <c r="A47" s="436" t="str">
        <f>$A$1</f>
        <v xml:space="preserve"> </v>
      </c>
      <c r="B47" s="318"/>
      <c r="C47" s="318"/>
      <c r="D47" s="318"/>
      <c r="E47" s="318"/>
      <c r="F47" s="318"/>
      <c r="G47" s="318"/>
      <c r="H47" s="318"/>
      <c r="I47" s="318"/>
      <c r="J47" s="318"/>
      <c r="K47" s="318"/>
      <c r="L47" s="318"/>
      <c r="M47" s="318"/>
      <c r="N47" s="318"/>
      <c r="O47" s="318"/>
      <c r="P47" s="1418"/>
      <c r="Q47" s="1418"/>
      <c r="R47" s="319"/>
    </row>
    <row r="48" spans="1:18" s="315" customFormat="1" ht="20.45" customHeight="1" x14ac:dyDescent="0.2">
      <c r="A48" s="1290" t="s">
        <v>774</v>
      </c>
      <c r="B48" s="1291"/>
      <c r="C48" s="1291"/>
      <c r="D48" s="1291"/>
      <c r="E48" s="1291"/>
      <c r="F48" s="1291"/>
      <c r="G48" s="1291"/>
      <c r="H48" s="1291"/>
      <c r="I48" s="1291"/>
      <c r="J48" s="1291"/>
      <c r="K48" s="1291"/>
      <c r="L48" s="1291"/>
      <c r="M48" s="1291"/>
      <c r="N48" s="1419" t="s">
        <v>2844</v>
      </c>
      <c r="O48" s="1419"/>
      <c r="P48" s="1419"/>
      <c r="Q48" s="1420"/>
      <c r="R48" s="392"/>
    </row>
    <row r="49" spans="1:19" s="315" customFormat="1" ht="26.25" customHeight="1" x14ac:dyDescent="0.2">
      <c r="A49" s="1294" t="str">
        <f>IF(ISBLANK(Cap_Expend_Name),"The Capital Expenditure Contact information has NOT been provided.  Click here to go to Capital Expenditure Contact Section to fill in this information now.","")</f>
        <v/>
      </c>
      <c r="B49" s="1295"/>
      <c r="C49" s="1295"/>
      <c r="D49" s="1295"/>
      <c r="E49" s="1295"/>
      <c r="F49" s="1295"/>
      <c r="G49" s="1295"/>
      <c r="H49" s="1295"/>
      <c r="I49" s="1295"/>
      <c r="J49" s="1295"/>
      <c r="K49" s="1295"/>
      <c r="L49" s="1295"/>
      <c r="M49" s="1295"/>
      <c r="N49" s="407" t="s">
        <v>1727</v>
      </c>
      <c r="O49" s="408"/>
      <c r="P49" s="1296"/>
      <c r="Q49" s="1297"/>
      <c r="R49" s="2"/>
    </row>
    <row r="50" spans="1:19" s="315" customFormat="1" ht="26.25" customHeight="1" thickBot="1" x14ac:dyDescent="0.25">
      <c r="A50" s="1298" t="s">
        <v>1338</v>
      </c>
      <c r="B50" s="1299"/>
      <c r="C50" s="1299"/>
      <c r="D50" s="1299"/>
      <c r="E50" s="1300"/>
      <c r="F50" s="1301"/>
      <c r="G50" s="1301"/>
      <c r="H50" s="1301"/>
      <c r="I50" s="1301"/>
      <c r="J50" s="1301"/>
      <c r="K50" s="1301"/>
      <c r="L50" s="1302"/>
      <c r="M50" s="295"/>
      <c r="N50" s="1303" t="s">
        <v>1728</v>
      </c>
      <c r="O50" s="1304"/>
      <c r="P50" s="1304"/>
      <c r="Q50" s="1305"/>
      <c r="R50" s="2"/>
    </row>
    <row r="51" spans="1:19" s="315" customFormat="1" ht="26.25" customHeight="1" x14ac:dyDescent="0.2">
      <c r="A51" s="1306" t="s">
        <v>1729</v>
      </c>
      <c r="B51" s="1307"/>
      <c r="C51" s="1307"/>
      <c r="D51" s="1308"/>
      <c r="E51" s="1320"/>
      <c r="F51" s="1310"/>
      <c r="G51" s="1310"/>
      <c r="H51" s="1310"/>
      <c r="I51" s="1310"/>
      <c r="J51" s="1310"/>
      <c r="K51" s="1310"/>
      <c r="L51" s="1311"/>
      <c r="M51" s="1312" t="str">
        <f>IF(AND(ISBLANK(E51),OR(NOT(ISBLANK(E52)),NOT(ISBLANK(E53)),NOT(ISBLANK(E54)),NOT(ISBLANK(I55)),NOT(ISBLANK(E50)))),"This information is required.","")</f>
        <v/>
      </c>
      <c r="N51" s="1313"/>
      <c r="O51" s="1313"/>
      <c r="P51" s="1313"/>
      <c r="Q51" s="296"/>
      <c r="R51" s="2"/>
    </row>
    <row r="52" spans="1:19" s="315" customFormat="1" ht="26.25" customHeight="1" x14ac:dyDescent="0.2">
      <c r="A52" s="1314" t="s">
        <v>1730</v>
      </c>
      <c r="B52" s="1315"/>
      <c r="C52" s="1315"/>
      <c r="D52" s="1316"/>
      <c r="E52" s="1320"/>
      <c r="F52" s="1310"/>
      <c r="G52" s="1310"/>
      <c r="H52" s="1310"/>
      <c r="I52" s="1310"/>
      <c r="J52" s="1310"/>
      <c r="K52" s="1310"/>
      <c r="L52" s="1311"/>
      <c r="M52" s="1312" t="str">
        <f>IF(AND(ISBLANK(E52),OR(NOT(ISBLANK(E51)),NOT(ISBLANK(E53)),NOT(ISBLANK(E54)),NOT(ISBLANK(I55)),NOT(ISBLANK(E50)))),"This information is required.","")</f>
        <v/>
      </c>
      <c r="N52" s="1313"/>
      <c r="O52" s="1313"/>
      <c r="P52" s="1313"/>
      <c r="Q52" s="296"/>
      <c r="R52" s="2"/>
    </row>
    <row r="53" spans="1:19" s="315" customFormat="1" ht="26.25" customHeight="1" x14ac:dyDescent="0.2">
      <c r="A53" s="1317" t="s">
        <v>1731</v>
      </c>
      <c r="B53" s="1318"/>
      <c r="C53" s="1318"/>
      <c r="D53" s="1319"/>
      <c r="E53" s="1320"/>
      <c r="F53" s="1310"/>
      <c r="G53" s="1321" t="s">
        <v>1732</v>
      </c>
      <c r="H53" s="1321"/>
      <c r="I53" s="1321"/>
      <c r="J53" s="1321"/>
      <c r="K53" s="1321"/>
      <c r="L53" s="1321"/>
      <c r="M53" s="615" t="str">
        <f>IF(AND(ISBLANK(E53),OR(NOT(ISBLANK(E51)),NOT(ISBLANK(E52)),NOT(ISBLANK(E54)),NOT(ISBLANK(I55)),NOT(ISBLANK(E50)))),"This information is required.","")</f>
        <v/>
      </c>
      <c r="N53" s="616"/>
      <c r="O53" s="616"/>
      <c r="P53" s="616"/>
      <c r="Q53" s="297"/>
      <c r="R53" s="298"/>
    </row>
    <row r="54" spans="1:19" s="315" customFormat="1" ht="26.25" customHeight="1" x14ac:dyDescent="0.2">
      <c r="A54" s="1314" t="s">
        <v>1733</v>
      </c>
      <c r="B54" s="1315"/>
      <c r="C54" s="1315"/>
      <c r="D54" s="1316"/>
      <c r="E54" s="1322"/>
      <c r="F54" s="1323"/>
      <c r="G54" s="299"/>
      <c r="H54" s="300"/>
      <c r="I54" s="301"/>
      <c r="J54" s="298"/>
      <c r="K54" s="298"/>
      <c r="L54" s="298"/>
      <c r="M54" s="616" t="str">
        <f>IF(AND(ISBLANK(E54),OR(NOT(ISBLANK(E51)),NOT(ISBLANK(E52)),NOT(ISBLANK(E53)),NOT(ISBLANK(I55)),NOT(ISBLANK(E50)))),"This information is required.","")</f>
        <v/>
      </c>
      <c r="N54" s="616"/>
      <c r="O54" s="616"/>
      <c r="P54" s="616"/>
      <c r="Q54" s="297"/>
      <c r="R54" s="5"/>
      <c r="S54" s="267">
        <f>IF(ISBLANK(E54),0,1)</f>
        <v>0</v>
      </c>
    </row>
    <row r="55" spans="1:19" s="315" customFormat="1" ht="26.25" customHeight="1" thickBot="1" x14ac:dyDescent="0.25">
      <c r="A55" s="1324" t="s">
        <v>1734</v>
      </c>
      <c r="B55" s="1325"/>
      <c r="C55" s="1325"/>
      <c r="D55" s="1325"/>
      <c r="E55" s="1326"/>
      <c r="F55" s="1326"/>
      <c r="G55" s="1326"/>
      <c r="H55" s="1326"/>
      <c r="I55" s="1327"/>
      <c r="J55" s="1328"/>
      <c r="K55" s="1329" t="s">
        <v>1735</v>
      </c>
      <c r="L55" s="1330"/>
      <c r="M55" s="1331" t="str">
        <f>IF(AND(ISBLANK(I55),OR(NOT(ISBLANK(E51)),NOT(ISBLANK(E52)),NOT(ISBLANK(E53)),NOT(ISBLANK(E54)),NOT(ISBLANK(E50)))),"This information is required!","")</f>
        <v/>
      </c>
      <c r="N55" s="1331"/>
      <c r="O55" s="1331"/>
      <c r="P55" s="1331"/>
      <c r="Q55" s="302"/>
      <c r="R55" s="5"/>
    </row>
    <row r="56" spans="1:19" s="315" customFormat="1" ht="27" customHeight="1" x14ac:dyDescent="0.2">
      <c r="A56" s="1332" t="s">
        <v>1736</v>
      </c>
      <c r="B56" s="1333"/>
      <c r="C56" s="1333"/>
      <c r="D56" s="1333"/>
      <c r="E56" s="1333"/>
      <c r="F56" s="1333"/>
      <c r="G56" s="1333"/>
      <c r="H56" s="1333"/>
      <c r="I56" s="1333"/>
      <c r="J56" s="1334"/>
      <c r="K56" s="1335" t="s">
        <v>1737</v>
      </c>
      <c r="L56" s="1335"/>
      <c r="M56" s="1335"/>
      <c r="N56" s="1335"/>
      <c r="O56" s="1337" t="s">
        <v>1738</v>
      </c>
      <c r="P56" s="1337"/>
      <c r="Q56" s="1338"/>
      <c r="R56" s="463" t="str">
        <f>IF(AND(ISBLANK(A57),OR(NOT(ISBLANK(I55)),NOT(ISBLANK(E54)),NOT(ISBLANK(E53)),NOT(ISBLANK(E52)),NOT(ISBLANK(E51)),NOT(ISBLANK(E50)))),"General Description is required!","")</f>
        <v/>
      </c>
    </row>
    <row r="57" spans="1:19" s="315" customFormat="1" ht="45" customHeight="1" x14ac:dyDescent="0.2">
      <c r="A57" s="1351"/>
      <c r="B57" s="1340"/>
      <c r="C57" s="1340"/>
      <c r="D57" s="1340"/>
      <c r="E57" s="1340"/>
      <c r="F57" s="1340"/>
      <c r="G57" s="1340"/>
      <c r="H57" s="1340"/>
      <c r="I57" s="1340"/>
      <c r="J57" s="1341"/>
      <c r="K57" s="1336"/>
      <c r="L57" s="1336"/>
      <c r="M57" s="1336"/>
      <c r="N57" s="1336"/>
      <c r="O57" s="305"/>
      <c r="P57" s="306" t="s">
        <v>91</v>
      </c>
      <c r="Q57" s="307" t="s">
        <v>92</v>
      </c>
      <c r="R57" s="393"/>
    </row>
    <row r="58" spans="1:19" s="315" customFormat="1" ht="26.25" customHeight="1" x14ac:dyDescent="0.2">
      <c r="A58" s="1342"/>
      <c r="B58" s="1343"/>
      <c r="C58" s="1343"/>
      <c r="D58" s="1343"/>
      <c r="E58" s="1343"/>
      <c r="F58" s="1343"/>
      <c r="G58" s="1343"/>
      <c r="H58" s="1343"/>
      <c r="I58" s="1343"/>
      <c r="J58" s="1344"/>
      <c r="K58" s="1345" t="s">
        <v>1739</v>
      </c>
      <c r="L58" s="1346"/>
      <c r="M58" s="1346"/>
      <c r="N58" s="1346"/>
      <c r="O58" s="1347"/>
      <c r="P58" s="388"/>
      <c r="Q58" s="309"/>
      <c r="R58" s="461" t="str">
        <f>IF(NOT(AND(ISBLANK(E50),ISBLANK(E51),ISBLANK(E52),ISBLANK(E53),ISBLANK(E54),ISBLANK(I55))),IF(COUNTBLANK(P58:Q58)=2,"Please enter response.",IF(COUNTBLANK(P58:Q58)&lt;&gt;1,"Please VERIFY response.","")),"")</f>
        <v/>
      </c>
    </row>
    <row r="59" spans="1:19" s="315" customFormat="1" ht="26.25" customHeight="1" x14ac:dyDescent="0.2">
      <c r="A59" s="1348" t="s">
        <v>1740</v>
      </c>
      <c r="B59" s="1349"/>
      <c r="C59" s="1349"/>
      <c r="D59" s="1349"/>
      <c r="E59" s="1349"/>
      <c r="F59" s="1349"/>
      <c r="G59" s="1349"/>
      <c r="H59" s="1349"/>
      <c r="I59" s="1349"/>
      <c r="J59" s="1350"/>
      <c r="K59" s="1345" t="s">
        <v>1741</v>
      </c>
      <c r="L59" s="1346"/>
      <c r="M59" s="1346"/>
      <c r="N59" s="1346"/>
      <c r="O59" s="1347"/>
      <c r="P59" s="388"/>
      <c r="Q59" s="309"/>
      <c r="R59" s="461" t="str">
        <f>IF(NOT(AND(ISBLANK(E50),ISBLANK(E51),ISBLANK(E52),ISBLANK(E53),ISBLANK(E54),ISBLANK(I55))),IF(COUNTBLANK(P59:Q59)=2,"Please enter response.",IF(COUNTBLANK(P59:Q59)&lt;&gt;1,"Please VERIFY response.","")),"")</f>
        <v/>
      </c>
    </row>
    <row r="60" spans="1:19" s="315" customFormat="1" ht="26.25" customHeight="1" x14ac:dyDescent="0.2">
      <c r="A60" s="1351"/>
      <c r="B60" s="1340"/>
      <c r="C60" s="1340"/>
      <c r="D60" s="1340"/>
      <c r="E60" s="1340"/>
      <c r="F60" s="1340"/>
      <c r="G60" s="1340"/>
      <c r="H60" s="1340"/>
      <c r="I60" s="1340"/>
      <c r="J60" s="1341"/>
      <c r="K60" s="1345" t="s">
        <v>1742</v>
      </c>
      <c r="L60" s="1346"/>
      <c r="M60" s="1346"/>
      <c r="N60" s="1346"/>
      <c r="O60" s="1347"/>
      <c r="P60" s="388"/>
      <c r="Q60" s="309"/>
      <c r="R60" s="461" t="str">
        <f>IF(NOT(AND(ISBLANK(E50),ISBLANK(E51),ISBLANK(E52),ISBLANK(E53),ISBLANK(E54),ISBLANK(I55))),IF(COUNTBLANK(P60:Q60)=2,"Please enter response.",IF(COUNTBLANK(P60:Q60)&lt;&gt;1,"Please VERIFY response.","")),"")</f>
        <v/>
      </c>
    </row>
    <row r="61" spans="1:19" s="315" customFormat="1" ht="26.25" customHeight="1" x14ac:dyDescent="0.2">
      <c r="A61" s="1342"/>
      <c r="B61" s="1343"/>
      <c r="C61" s="1343"/>
      <c r="D61" s="1343"/>
      <c r="E61" s="1343"/>
      <c r="F61" s="1343"/>
      <c r="G61" s="1343"/>
      <c r="H61" s="1343"/>
      <c r="I61" s="1343"/>
      <c r="J61" s="1344"/>
      <c r="K61" s="1345" t="s">
        <v>1743</v>
      </c>
      <c r="L61" s="1346"/>
      <c r="M61" s="1346"/>
      <c r="N61" s="1346"/>
      <c r="O61" s="1347"/>
      <c r="P61" s="388"/>
      <c r="Q61" s="309"/>
      <c r="R61" s="461" t="str">
        <f>IF(NOT(AND(ISBLANK(E50),ISBLANK(E51),ISBLANK(E52),ISBLANK(E53),ISBLANK(E54),ISBLANK(I55))),IF(COUNTBLANK(P61:Q61)=2,"Please enter response.",IF(COUNTBLANK(P61:Q61)&lt;&gt;1,"Please VERIFY response.","")),"")</f>
        <v/>
      </c>
    </row>
    <row r="62" spans="1:19" s="315" customFormat="1" ht="26.25" customHeight="1" x14ac:dyDescent="0.2">
      <c r="A62" s="1352" t="s">
        <v>1744</v>
      </c>
      <c r="B62" s="1353"/>
      <c r="C62" s="1353"/>
      <c r="D62" s="1353"/>
      <c r="E62" s="1353"/>
      <c r="F62" s="1353"/>
      <c r="G62" s="1353"/>
      <c r="H62" s="1353"/>
      <c r="I62" s="1353"/>
      <c r="J62" s="1353"/>
      <c r="K62" s="1353"/>
      <c r="L62" s="1353"/>
      <c r="M62" s="1353"/>
      <c r="N62" s="1353"/>
      <c r="O62" s="1353"/>
      <c r="P62" s="1353"/>
      <c r="Q62" s="1354"/>
      <c r="R62" s="310"/>
    </row>
    <row r="63" spans="1:19" s="315" customFormat="1" ht="26.25" customHeight="1" x14ac:dyDescent="0.2">
      <c r="A63" s="1355" t="s">
        <v>1745</v>
      </c>
      <c r="B63" s="1356"/>
      <c r="C63" s="1356"/>
      <c r="D63" s="1356"/>
      <c r="E63" s="1356" t="s">
        <v>1746</v>
      </c>
      <c r="F63" s="1356"/>
      <c r="G63" s="1356"/>
      <c r="H63" s="1356"/>
      <c r="I63" s="1356" t="s">
        <v>1747</v>
      </c>
      <c r="J63" s="1356"/>
      <c r="K63" s="1356"/>
      <c r="L63" s="1356"/>
      <c r="M63" s="1357" t="s">
        <v>1748</v>
      </c>
      <c r="N63" s="1356"/>
      <c r="O63" s="1356"/>
      <c r="P63" s="1356"/>
      <c r="Q63" s="1358"/>
      <c r="R63" s="311"/>
    </row>
    <row r="64" spans="1:19" s="315" customFormat="1" ht="26.25" customHeight="1" thickBot="1" x14ac:dyDescent="0.25">
      <c r="A64" s="1359"/>
      <c r="B64" s="1360"/>
      <c r="C64" s="1360"/>
      <c r="D64" s="1360"/>
      <c r="E64" s="1361"/>
      <c r="F64" s="1362"/>
      <c r="G64" s="1362"/>
      <c r="H64" s="1363"/>
      <c r="I64" s="1361"/>
      <c r="J64" s="1362"/>
      <c r="K64" s="1362"/>
      <c r="L64" s="1363"/>
      <c r="M64" s="1364"/>
      <c r="N64" s="1364"/>
      <c r="O64" s="1364"/>
      <c r="P64" s="1364"/>
      <c r="Q64" s="1365"/>
      <c r="R64" s="310"/>
    </row>
    <row r="65" spans="1:18" s="315" customFormat="1" ht="26.25" customHeight="1" x14ac:dyDescent="0.2">
      <c r="A65" s="1366" t="s">
        <v>1749</v>
      </c>
      <c r="B65" s="1367"/>
      <c r="C65" s="1367"/>
      <c r="D65" s="1367"/>
      <c r="E65" s="1367"/>
      <c r="F65" s="1367"/>
      <c r="G65" s="1367"/>
      <c r="H65" s="1367"/>
      <c r="I65" s="1367"/>
      <c r="J65" s="1367"/>
      <c r="K65" s="1367"/>
      <c r="L65" s="1367"/>
      <c r="M65" s="1367"/>
      <c r="N65" s="1367"/>
      <c r="O65" s="1367"/>
      <c r="P65" s="1367"/>
      <c r="Q65" s="1368"/>
      <c r="R65" s="390"/>
    </row>
    <row r="66" spans="1:18" s="315" customFormat="1" ht="26.25" customHeight="1" x14ac:dyDescent="0.2">
      <c r="A66" s="1369" t="s">
        <v>1750</v>
      </c>
      <c r="B66" s="1370"/>
      <c r="C66" s="1370"/>
      <c r="D66" s="1370"/>
      <c r="E66" s="1370"/>
      <c r="F66" s="1370"/>
      <c r="G66" s="1370"/>
      <c r="H66" s="1370"/>
      <c r="I66" s="1370"/>
      <c r="J66" s="1370"/>
      <c r="K66" s="1370"/>
      <c r="L66" s="1371"/>
      <c r="M66" s="1372"/>
      <c r="N66" s="1373"/>
      <c r="O66" s="1373"/>
      <c r="P66" s="1373"/>
      <c r="Q66" s="1374"/>
      <c r="R66" s="390"/>
    </row>
    <row r="67" spans="1:18" s="315" customFormat="1" ht="26.25" customHeight="1" x14ac:dyDescent="0.2">
      <c r="A67" s="1369" t="s">
        <v>1751</v>
      </c>
      <c r="B67" s="1375"/>
      <c r="C67" s="1375"/>
      <c r="D67" s="1375"/>
      <c r="E67" s="1375"/>
      <c r="F67" s="1375"/>
      <c r="G67" s="1375"/>
      <c r="H67" s="1375"/>
      <c r="I67" s="1375"/>
      <c r="J67" s="1375"/>
      <c r="K67" s="1375"/>
      <c r="L67" s="1375"/>
      <c r="M67" s="1376"/>
      <c r="N67" s="1377"/>
      <c r="O67" s="1377"/>
      <c r="P67" s="1377"/>
      <c r="Q67" s="1378"/>
      <c r="R67" s="390"/>
    </row>
    <row r="68" spans="1:18" s="315" customFormat="1" ht="26.25" customHeight="1" x14ac:dyDescent="0.2">
      <c r="A68" s="1369" t="s">
        <v>1752</v>
      </c>
      <c r="B68" s="1375"/>
      <c r="C68" s="1375"/>
      <c r="D68" s="1375"/>
      <c r="E68" s="1375"/>
      <c r="F68" s="1375"/>
      <c r="G68" s="1375"/>
      <c r="H68" s="1375"/>
      <c r="I68" s="1375"/>
      <c r="J68" s="1375"/>
      <c r="K68" s="1375"/>
      <c r="L68" s="1375"/>
      <c r="M68" s="1376"/>
      <c r="N68" s="1377"/>
      <c r="O68" s="1377"/>
      <c r="P68" s="1377"/>
      <c r="Q68" s="1378"/>
      <c r="R68" s="390"/>
    </row>
    <row r="69" spans="1:18" s="315" customFormat="1" ht="24" customHeight="1" x14ac:dyDescent="0.2">
      <c r="A69" s="1379" t="s">
        <v>1753</v>
      </c>
      <c r="B69" s="1380"/>
      <c r="C69" s="1380"/>
      <c r="D69" s="1380"/>
      <c r="E69" s="1380"/>
      <c r="F69" s="1380"/>
      <c r="G69" s="1380"/>
      <c r="H69" s="1380"/>
      <c r="I69" s="1380"/>
      <c r="J69" s="1380"/>
      <c r="K69" s="1380"/>
      <c r="L69" s="1380"/>
      <c r="M69" s="1380"/>
      <c r="N69" s="1380"/>
      <c r="O69" s="1380"/>
      <c r="P69" s="1380"/>
      <c r="Q69" s="1381"/>
      <c r="R69" s="390"/>
    </row>
    <row r="70" spans="1:18" s="315" customFormat="1" ht="26.25" customHeight="1" x14ac:dyDescent="0.2">
      <c r="A70" s="1382"/>
      <c r="B70" s="1383"/>
      <c r="C70" s="1383"/>
      <c r="D70" s="1383"/>
      <c r="E70" s="1383"/>
      <c r="F70" s="1383"/>
      <c r="G70" s="1383"/>
      <c r="H70" s="1383"/>
      <c r="I70" s="1383"/>
      <c r="J70" s="1383"/>
      <c r="K70" s="1383"/>
      <c r="L70" s="1383"/>
      <c r="M70" s="1383"/>
      <c r="N70" s="1383"/>
      <c r="O70" s="1383"/>
      <c r="P70" s="1383"/>
      <c r="Q70" s="1384"/>
      <c r="R70" s="390"/>
    </row>
    <row r="71" spans="1:18" s="315" customFormat="1" ht="26.25" customHeight="1" x14ac:dyDescent="0.2">
      <c r="A71" s="1385"/>
      <c r="B71" s="1386"/>
      <c r="C71" s="1386"/>
      <c r="D71" s="1386"/>
      <c r="E71" s="1386"/>
      <c r="F71" s="1386"/>
      <c r="G71" s="1386"/>
      <c r="H71" s="1386"/>
      <c r="I71" s="1386"/>
      <c r="J71" s="1386"/>
      <c r="K71" s="1386"/>
      <c r="L71" s="1386"/>
      <c r="M71" s="1386"/>
      <c r="N71" s="1386"/>
      <c r="O71" s="1386"/>
      <c r="P71" s="1386"/>
      <c r="Q71" s="1387"/>
      <c r="R71" s="390"/>
    </row>
    <row r="72" spans="1:18" s="315" customFormat="1" ht="26.25" customHeight="1" x14ac:dyDescent="0.2">
      <c r="A72" s="1388" t="s">
        <v>1754</v>
      </c>
      <c r="B72" s="1389"/>
      <c r="C72" s="1389"/>
      <c r="D72" s="1389"/>
      <c r="E72" s="1389"/>
      <c r="F72" s="1389"/>
      <c r="G72" s="1389"/>
      <c r="H72" s="1389"/>
      <c r="I72" s="1389"/>
      <c r="J72" s="1389"/>
      <c r="K72" s="1389"/>
      <c r="L72" s="1389"/>
      <c r="M72" s="1389"/>
      <c r="N72" s="1389"/>
      <c r="O72" s="1389"/>
      <c r="P72" s="1389"/>
      <c r="Q72" s="1390"/>
      <c r="R72" s="390"/>
    </row>
    <row r="73" spans="1:18" s="315" customFormat="1" ht="26.25" customHeight="1" x14ac:dyDescent="0.2">
      <c r="A73" s="1382"/>
      <c r="B73" s="1391"/>
      <c r="C73" s="1391"/>
      <c r="D73" s="1391"/>
      <c r="E73" s="1391"/>
      <c r="F73" s="1391"/>
      <c r="G73" s="1391"/>
      <c r="H73" s="1391"/>
      <c r="I73" s="1391"/>
      <c r="J73" s="1391"/>
      <c r="K73" s="1391"/>
      <c r="L73" s="1391"/>
      <c r="M73" s="1391"/>
      <c r="N73" s="1391"/>
      <c r="O73" s="1391"/>
      <c r="P73" s="1391"/>
      <c r="Q73" s="1392"/>
      <c r="R73" s="390"/>
    </row>
    <row r="74" spans="1:18" s="315" customFormat="1" ht="26.25" customHeight="1" thickBot="1" x14ac:dyDescent="0.25">
      <c r="A74" s="1393"/>
      <c r="B74" s="1394"/>
      <c r="C74" s="1394"/>
      <c r="D74" s="1394"/>
      <c r="E74" s="1394"/>
      <c r="F74" s="1394"/>
      <c r="G74" s="1394"/>
      <c r="H74" s="1394"/>
      <c r="I74" s="1394"/>
      <c r="J74" s="1394"/>
      <c r="K74" s="1394"/>
      <c r="L74" s="1394"/>
      <c r="M74" s="1394"/>
      <c r="N74" s="1394"/>
      <c r="O74" s="1394"/>
      <c r="P74" s="1394"/>
      <c r="Q74" s="1395"/>
      <c r="R74" s="389"/>
    </row>
    <row r="75" spans="1:18" s="315" customFormat="1" ht="26.25" customHeight="1" x14ac:dyDescent="0.2">
      <c r="A75" s="1396" t="s">
        <v>1755</v>
      </c>
      <c r="B75" s="1397"/>
      <c r="C75" s="1397"/>
      <c r="D75" s="1397"/>
      <c r="E75" s="1397"/>
      <c r="F75" s="1397"/>
      <c r="G75" s="1397"/>
      <c r="H75" s="1397"/>
      <c r="I75" s="1397"/>
      <c r="J75" s="1397"/>
      <c r="K75" s="1397"/>
      <c r="L75" s="1397"/>
      <c r="M75" s="1397"/>
      <c r="N75" s="1397"/>
      <c r="O75" s="1397"/>
      <c r="P75" s="1397"/>
      <c r="Q75" s="1398"/>
      <c r="R75" s="390"/>
    </row>
    <row r="76" spans="1:18" s="315" customFormat="1" ht="26.25" customHeight="1" x14ac:dyDescent="0.2">
      <c r="A76" s="1399" t="s">
        <v>1756</v>
      </c>
      <c r="B76" s="1400"/>
      <c r="C76" s="1400"/>
      <c r="D76" s="1400"/>
      <c r="E76" s="1400"/>
      <c r="F76" s="1400"/>
      <c r="G76" s="1400"/>
      <c r="H76" s="1400"/>
      <c r="I76" s="1400"/>
      <c r="J76" s="1400"/>
      <c r="K76" s="1400"/>
      <c r="L76" s="1401"/>
      <c r="M76" s="1372"/>
      <c r="N76" s="1373"/>
      <c r="O76" s="1373"/>
      <c r="P76" s="1373"/>
      <c r="Q76" s="1374"/>
      <c r="R76" s="389"/>
    </row>
    <row r="77" spans="1:18" s="315" customFormat="1" ht="26.25" customHeight="1" x14ac:dyDescent="0.2">
      <c r="A77" s="1369" t="s">
        <v>1757</v>
      </c>
      <c r="B77" s="1370"/>
      <c r="C77" s="1370"/>
      <c r="D77" s="1370"/>
      <c r="E77" s="1370"/>
      <c r="F77" s="1370"/>
      <c r="G77" s="1370"/>
      <c r="H77" s="1370"/>
      <c r="I77" s="1370"/>
      <c r="J77" s="1370"/>
      <c r="K77" s="1370"/>
      <c r="L77" s="1371"/>
      <c r="M77" s="1376"/>
      <c r="N77" s="1377"/>
      <c r="O77" s="1377"/>
      <c r="P77" s="1377"/>
      <c r="Q77" s="1378"/>
      <c r="R77" s="389"/>
    </row>
    <row r="78" spans="1:18" s="315" customFormat="1" ht="26.25" customHeight="1" x14ac:dyDescent="0.2">
      <c r="A78" s="1402" t="s">
        <v>1758</v>
      </c>
      <c r="B78" s="1403"/>
      <c r="C78" s="1403"/>
      <c r="D78" s="1403"/>
      <c r="E78" s="1403"/>
      <c r="F78" s="1403"/>
      <c r="G78" s="1403"/>
      <c r="H78" s="1403"/>
      <c r="I78" s="1403"/>
      <c r="J78" s="1403"/>
      <c r="K78" s="1403"/>
      <c r="L78" s="1403"/>
      <c r="M78" s="1403"/>
      <c r="N78" s="1403"/>
      <c r="O78" s="1403"/>
      <c r="P78" s="1403"/>
      <c r="Q78" s="1404"/>
      <c r="R78" s="389"/>
    </row>
    <row r="79" spans="1:18" ht="26.25" customHeight="1" x14ac:dyDescent="0.2">
      <c r="A79" s="1382"/>
      <c r="B79" s="1383"/>
      <c r="C79" s="1383"/>
      <c r="D79" s="1383"/>
      <c r="E79" s="1383"/>
      <c r="F79" s="1383"/>
      <c r="G79" s="1383"/>
      <c r="H79" s="1383"/>
      <c r="I79" s="1383"/>
      <c r="J79" s="1383"/>
      <c r="K79" s="1383"/>
      <c r="L79" s="1383"/>
      <c r="M79" s="1383"/>
      <c r="N79" s="1383"/>
      <c r="O79" s="1383"/>
      <c r="P79" s="1383"/>
      <c r="Q79" s="1405"/>
      <c r="R79" s="389"/>
    </row>
    <row r="80" spans="1:18" ht="26.25" customHeight="1" x14ac:dyDescent="0.2">
      <c r="A80" s="1406"/>
      <c r="B80" s="1407"/>
      <c r="C80" s="1407"/>
      <c r="D80" s="1407"/>
      <c r="E80" s="1407"/>
      <c r="F80" s="1407"/>
      <c r="G80" s="1407"/>
      <c r="H80" s="1407"/>
      <c r="I80" s="1407"/>
      <c r="J80" s="1407"/>
      <c r="K80" s="1407"/>
      <c r="L80" s="1407"/>
      <c r="M80" s="1407"/>
      <c r="N80" s="1407"/>
      <c r="O80" s="1407"/>
      <c r="P80" s="1407"/>
      <c r="Q80" s="1408"/>
      <c r="R80" s="389"/>
    </row>
    <row r="81" spans="1:18" ht="26.25" customHeight="1" x14ac:dyDescent="0.2">
      <c r="A81" s="1409" t="s">
        <v>1759</v>
      </c>
      <c r="B81" s="1410"/>
      <c r="C81" s="1410"/>
      <c r="D81" s="1410"/>
      <c r="E81" s="1410"/>
      <c r="F81" s="1410"/>
      <c r="G81" s="1410"/>
      <c r="H81" s="1410"/>
      <c r="I81" s="1410"/>
      <c r="J81" s="1410"/>
      <c r="K81" s="1410"/>
      <c r="L81" s="1410"/>
      <c r="M81" s="1410"/>
      <c r="N81" s="1410"/>
      <c r="O81" s="1410"/>
      <c r="P81" s="1410"/>
      <c r="Q81" s="1411"/>
      <c r="R81" s="389"/>
    </row>
    <row r="82" spans="1:18" ht="26.25" customHeight="1" x14ac:dyDescent="0.2">
      <c r="A82" s="1382"/>
      <c r="B82" s="1383"/>
      <c r="C82" s="1383"/>
      <c r="D82" s="1383"/>
      <c r="E82" s="1383"/>
      <c r="F82" s="1383"/>
      <c r="G82" s="1383"/>
      <c r="H82" s="1383"/>
      <c r="I82" s="1383"/>
      <c r="J82" s="1383"/>
      <c r="K82" s="1383"/>
      <c r="L82" s="1383"/>
      <c r="M82" s="1383"/>
      <c r="N82" s="1383"/>
      <c r="O82" s="1383"/>
      <c r="P82" s="1383"/>
      <c r="Q82" s="1384"/>
      <c r="R82" s="389"/>
    </row>
    <row r="83" spans="1:18" ht="26.25" customHeight="1" thickBot="1" x14ac:dyDescent="0.25">
      <c r="A83" s="1412"/>
      <c r="B83" s="1413"/>
      <c r="C83" s="1413"/>
      <c r="D83" s="1413"/>
      <c r="E83" s="1413"/>
      <c r="F83" s="1413"/>
      <c r="G83" s="1413"/>
      <c r="H83" s="1413"/>
      <c r="I83" s="1413"/>
      <c r="J83" s="1413"/>
      <c r="K83" s="1413"/>
      <c r="L83" s="1413"/>
      <c r="M83" s="1413"/>
      <c r="N83" s="1413"/>
      <c r="O83" s="1413"/>
      <c r="P83" s="1413"/>
      <c r="Q83" s="1414"/>
      <c r="R83" s="389"/>
    </row>
    <row r="84" spans="1:18" ht="26.25" customHeight="1" x14ac:dyDescent="0.2">
      <c r="A84" s="1332" t="s">
        <v>1760</v>
      </c>
      <c r="B84" s="1333"/>
      <c r="C84" s="1333"/>
      <c r="D84" s="1333"/>
      <c r="E84" s="1333"/>
      <c r="F84" s="1333"/>
      <c r="G84" s="1333"/>
      <c r="H84" s="1333"/>
      <c r="I84" s="1333"/>
      <c r="J84" s="1333"/>
      <c r="K84" s="1333"/>
      <c r="L84" s="1333"/>
      <c r="M84" s="1333"/>
      <c r="N84" s="1333"/>
      <c r="O84" s="1333"/>
      <c r="P84" s="1333"/>
      <c r="Q84" s="1415"/>
    </row>
    <row r="85" spans="1:18" ht="26.25" customHeight="1" x14ac:dyDescent="0.2">
      <c r="A85" s="1416"/>
      <c r="B85" s="1383"/>
      <c r="C85" s="1383"/>
      <c r="D85" s="1383"/>
      <c r="E85" s="1383"/>
      <c r="F85" s="1383"/>
      <c r="G85" s="1383"/>
      <c r="H85" s="1383"/>
      <c r="I85" s="1383"/>
      <c r="J85" s="1383"/>
      <c r="K85" s="1383"/>
      <c r="L85" s="1383"/>
      <c r="M85" s="1383"/>
      <c r="N85" s="1383"/>
      <c r="O85" s="1383"/>
      <c r="P85" s="1383"/>
      <c r="Q85" s="1405"/>
    </row>
    <row r="86" spans="1:18" ht="26.25" customHeight="1" thickBot="1" x14ac:dyDescent="0.25">
      <c r="A86" s="1412"/>
      <c r="B86" s="1413"/>
      <c r="C86" s="1413"/>
      <c r="D86" s="1413"/>
      <c r="E86" s="1413"/>
      <c r="F86" s="1413"/>
      <c r="G86" s="1413"/>
      <c r="H86" s="1413"/>
      <c r="I86" s="1413"/>
      <c r="J86" s="1413"/>
      <c r="K86" s="1413"/>
      <c r="L86" s="1413"/>
      <c r="M86" s="1413"/>
      <c r="N86" s="1413"/>
      <c r="O86" s="1413"/>
      <c r="P86" s="1413"/>
      <c r="Q86" s="1414"/>
      <c r="R86" s="315"/>
    </row>
    <row r="87" spans="1:18" ht="26.25" customHeight="1" x14ac:dyDescent="0.2">
      <c r="A87" s="1396" t="s">
        <v>1761</v>
      </c>
      <c r="B87" s="1397"/>
      <c r="C87" s="1397"/>
      <c r="D87" s="1397"/>
      <c r="E87" s="1397"/>
      <c r="F87" s="1397"/>
      <c r="G87" s="1397"/>
      <c r="H87" s="1397"/>
      <c r="I87" s="1397"/>
      <c r="J87" s="1397"/>
      <c r="K87" s="1397"/>
      <c r="L87" s="1397"/>
      <c r="M87" s="1397"/>
      <c r="N87" s="1397"/>
      <c r="O87" s="1397"/>
      <c r="P87" s="1397"/>
      <c r="Q87" s="1398"/>
      <c r="R87" s="316"/>
    </row>
    <row r="88" spans="1:18" ht="26.25" customHeight="1" x14ac:dyDescent="0.2">
      <c r="A88" s="1351"/>
      <c r="B88" s="1340"/>
      <c r="C88" s="1340"/>
      <c r="D88" s="1340"/>
      <c r="E88" s="1340"/>
      <c r="F88" s="1340"/>
      <c r="G88" s="1340"/>
      <c r="H88" s="1340"/>
      <c r="I88" s="1340"/>
      <c r="J88" s="1340"/>
      <c r="K88" s="1340"/>
      <c r="L88" s="1340"/>
      <c r="M88" s="1340"/>
      <c r="N88" s="1340"/>
      <c r="O88" s="1340"/>
      <c r="P88" s="1340"/>
      <c r="Q88" s="1417"/>
      <c r="R88" s="22"/>
    </row>
    <row r="89" spans="1:18" ht="26.25" customHeight="1" thickBot="1" x14ac:dyDescent="0.25">
      <c r="A89" s="1393"/>
      <c r="B89" s="1394"/>
      <c r="C89" s="1394"/>
      <c r="D89" s="1394"/>
      <c r="E89" s="1394"/>
      <c r="F89" s="1394"/>
      <c r="G89" s="1394"/>
      <c r="H89" s="1394"/>
      <c r="I89" s="1394"/>
      <c r="J89" s="1394"/>
      <c r="K89" s="1394"/>
      <c r="L89" s="1394"/>
      <c r="M89" s="1394"/>
      <c r="N89" s="1394"/>
      <c r="O89" s="1394"/>
      <c r="P89" s="1394"/>
      <c r="Q89" s="1395"/>
      <c r="R89" s="22"/>
    </row>
    <row r="90" spans="1:18" ht="26.25" customHeight="1" x14ac:dyDescent="0.2">
      <c r="A90" s="317" t="str">
        <f>$A$1</f>
        <v xml:space="preserve"> </v>
      </c>
      <c r="B90" s="318"/>
      <c r="C90" s="318"/>
      <c r="D90" s="318"/>
      <c r="E90" s="318"/>
      <c r="F90" s="318"/>
      <c r="G90" s="318"/>
      <c r="H90" s="318"/>
      <c r="I90" s="318"/>
      <c r="J90" s="318"/>
      <c r="K90" s="318"/>
      <c r="L90" s="318"/>
      <c r="M90" s="318"/>
      <c r="N90" s="318"/>
      <c r="O90" s="318"/>
      <c r="P90" s="1418"/>
      <c r="Q90" s="1418"/>
      <c r="R90" s="312"/>
    </row>
    <row r="91" spans="1:18" ht="26.25" customHeight="1" x14ac:dyDescent="0.2">
      <c r="A91" s="1290" t="s">
        <v>775</v>
      </c>
      <c r="B91" s="1291"/>
      <c r="C91" s="1291"/>
      <c r="D91" s="1291"/>
      <c r="E91" s="1291"/>
      <c r="F91" s="1291"/>
      <c r="G91" s="1291"/>
      <c r="H91" s="1291"/>
      <c r="I91" s="1291"/>
      <c r="J91" s="1291"/>
      <c r="K91" s="1291"/>
      <c r="L91" s="1291"/>
      <c r="M91" s="1291"/>
      <c r="N91" s="1419" t="s">
        <v>2844</v>
      </c>
      <c r="O91" s="1419"/>
      <c r="P91" s="1419"/>
      <c r="Q91" s="1420"/>
      <c r="R91" s="392"/>
    </row>
    <row r="92" spans="1:18" ht="26.25" customHeight="1" x14ac:dyDescent="0.2">
      <c r="A92" s="1294" t="str">
        <f>IF(ISBLANK(Cap_Expend_Name),"The Capital Expenditure Contact information has NOT been provided.  Click here to go to Capital Expenditure Contact Section to fill in this information now.","")</f>
        <v/>
      </c>
      <c r="B92" s="1295"/>
      <c r="C92" s="1295"/>
      <c r="D92" s="1295"/>
      <c r="E92" s="1295"/>
      <c r="F92" s="1295"/>
      <c r="G92" s="1295"/>
      <c r="H92" s="1295"/>
      <c r="I92" s="1295"/>
      <c r="J92" s="1295"/>
      <c r="K92" s="1295"/>
      <c r="L92" s="1295"/>
      <c r="M92" s="1295"/>
      <c r="N92" s="407" t="s">
        <v>1727</v>
      </c>
      <c r="O92" s="408"/>
      <c r="P92" s="1296"/>
      <c r="Q92" s="1297"/>
      <c r="R92" s="2"/>
    </row>
    <row r="93" spans="1:18" ht="26.25" customHeight="1" thickBot="1" x14ac:dyDescent="0.25">
      <c r="A93" s="1298" t="s">
        <v>1338</v>
      </c>
      <c r="B93" s="1299"/>
      <c r="C93" s="1299"/>
      <c r="D93" s="1299"/>
      <c r="E93" s="1300"/>
      <c r="F93" s="1301"/>
      <c r="G93" s="1301"/>
      <c r="H93" s="1301"/>
      <c r="I93" s="1301"/>
      <c r="J93" s="1301"/>
      <c r="K93" s="1301"/>
      <c r="L93" s="1302"/>
      <c r="M93" s="295"/>
      <c r="N93" s="1303" t="s">
        <v>1728</v>
      </c>
      <c r="O93" s="1304"/>
      <c r="P93" s="1304"/>
      <c r="Q93" s="1305"/>
      <c r="R93" s="2"/>
    </row>
    <row r="94" spans="1:18" ht="26.25" customHeight="1" x14ac:dyDescent="0.2">
      <c r="A94" s="1306" t="s">
        <v>1729</v>
      </c>
      <c r="B94" s="1307"/>
      <c r="C94" s="1307"/>
      <c r="D94" s="1308"/>
      <c r="E94" s="1320"/>
      <c r="F94" s="1310"/>
      <c r="G94" s="1310"/>
      <c r="H94" s="1310"/>
      <c r="I94" s="1310"/>
      <c r="J94" s="1310"/>
      <c r="K94" s="1310"/>
      <c r="L94" s="1311"/>
      <c r="M94" s="1312" t="str">
        <f>IF(AND(ISBLANK(E94),OR(NOT(ISBLANK(E95)),NOT(ISBLANK(E96)),NOT(ISBLANK(E97)),NOT(ISBLANK(I98)),NOT(ISBLANK(E93)))),"This information is required.","")</f>
        <v/>
      </c>
      <c r="N94" s="1313"/>
      <c r="O94" s="1313"/>
      <c r="P94" s="1313"/>
      <c r="Q94" s="296"/>
      <c r="R94" s="2"/>
    </row>
    <row r="95" spans="1:18" ht="26.25" customHeight="1" x14ac:dyDescent="0.2">
      <c r="A95" s="1314" t="s">
        <v>1730</v>
      </c>
      <c r="B95" s="1315"/>
      <c r="C95" s="1315"/>
      <c r="D95" s="1316"/>
      <c r="E95" s="1320"/>
      <c r="F95" s="1310"/>
      <c r="G95" s="1310"/>
      <c r="H95" s="1310"/>
      <c r="I95" s="1310"/>
      <c r="J95" s="1310"/>
      <c r="K95" s="1310"/>
      <c r="L95" s="1311"/>
      <c r="M95" s="1312" t="str">
        <f>IF(AND(ISBLANK(E95),OR(NOT(ISBLANK(E94)),NOT(ISBLANK(E96)),NOT(ISBLANK(E97)),NOT(ISBLANK(I98)),NOT(ISBLANK(E93)))),"This information is required.","")</f>
        <v/>
      </c>
      <c r="N95" s="1313"/>
      <c r="O95" s="1313"/>
      <c r="P95" s="1313"/>
      <c r="Q95" s="296"/>
      <c r="R95" s="2"/>
    </row>
    <row r="96" spans="1:18" ht="26.25" customHeight="1" x14ac:dyDescent="0.2">
      <c r="A96" s="1317" t="s">
        <v>1731</v>
      </c>
      <c r="B96" s="1318"/>
      <c r="C96" s="1318"/>
      <c r="D96" s="1319"/>
      <c r="E96" s="1320"/>
      <c r="F96" s="1310"/>
      <c r="G96" s="1321" t="s">
        <v>1732</v>
      </c>
      <c r="H96" s="1321"/>
      <c r="I96" s="1321"/>
      <c r="J96" s="1321"/>
      <c r="K96" s="1321"/>
      <c r="L96" s="1321"/>
      <c r="M96" s="615" t="str">
        <f>IF(AND(ISBLANK(E96),OR(NOT(ISBLANK(E94)),NOT(ISBLANK(E95)),NOT(ISBLANK(E97)),NOT(ISBLANK(I98)),NOT(ISBLANK(E93)))),"This information is required.","")</f>
        <v/>
      </c>
      <c r="N96" s="616"/>
      <c r="O96" s="616"/>
      <c r="P96" s="616"/>
      <c r="Q96" s="297"/>
      <c r="R96" s="298"/>
    </row>
    <row r="97" spans="1:19" ht="26.25" customHeight="1" x14ac:dyDescent="0.2">
      <c r="A97" s="1314" t="s">
        <v>1733</v>
      </c>
      <c r="B97" s="1315"/>
      <c r="C97" s="1315"/>
      <c r="D97" s="1316"/>
      <c r="E97" s="1322"/>
      <c r="F97" s="1323"/>
      <c r="G97" s="299"/>
      <c r="H97" s="300"/>
      <c r="I97" s="301"/>
      <c r="J97" s="298"/>
      <c r="K97" s="298"/>
      <c r="L97" s="298"/>
      <c r="M97" s="616" t="str">
        <f>IF(AND(ISBLANK(E97),OR(NOT(ISBLANK(E94)),NOT(ISBLANK(E95)),NOT(ISBLANK(E96)),NOT(ISBLANK(I98)),NOT(ISBLANK(E93)))),"This information is required.","")</f>
        <v/>
      </c>
      <c r="N97" s="616"/>
      <c r="O97" s="616"/>
      <c r="P97" s="616"/>
      <c r="Q97" s="297"/>
      <c r="R97" s="5"/>
      <c r="S97" s="267">
        <f>IF(ISBLANK(E97),0,1)</f>
        <v>0</v>
      </c>
    </row>
    <row r="98" spans="1:19" ht="26.25" customHeight="1" thickBot="1" x14ac:dyDescent="0.25">
      <c r="A98" s="1324" t="s">
        <v>1734</v>
      </c>
      <c r="B98" s="1325"/>
      <c r="C98" s="1325"/>
      <c r="D98" s="1325"/>
      <c r="E98" s="1326"/>
      <c r="F98" s="1326"/>
      <c r="G98" s="1326"/>
      <c r="H98" s="1326"/>
      <c r="I98" s="1327"/>
      <c r="J98" s="1328"/>
      <c r="K98" s="1329" t="s">
        <v>1735</v>
      </c>
      <c r="L98" s="1330"/>
      <c r="M98" s="1331" t="str">
        <f>IF(AND(ISBLANK(I98),OR(NOT(ISBLANK(E94)),NOT(ISBLANK(E95)),NOT(ISBLANK(E96)),NOT(ISBLANK(E97)),NOT(ISBLANK(E93)))),"This information is required!","")</f>
        <v/>
      </c>
      <c r="N98" s="1331"/>
      <c r="O98" s="1331"/>
      <c r="P98" s="1331"/>
      <c r="Q98" s="302"/>
      <c r="R98" s="5"/>
    </row>
    <row r="99" spans="1:19" ht="26.25" customHeight="1" x14ac:dyDescent="0.2">
      <c r="A99" s="1332" t="s">
        <v>1736</v>
      </c>
      <c r="B99" s="1333"/>
      <c r="C99" s="1333"/>
      <c r="D99" s="1333"/>
      <c r="E99" s="1333"/>
      <c r="F99" s="1333"/>
      <c r="G99" s="1333"/>
      <c r="H99" s="1333"/>
      <c r="I99" s="1333"/>
      <c r="J99" s="1334"/>
      <c r="K99" s="1335" t="s">
        <v>1737</v>
      </c>
      <c r="L99" s="1335"/>
      <c r="M99" s="1335"/>
      <c r="N99" s="1335"/>
      <c r="O99" s="1337" t="s">
        <v>1738</v>
      </c>
      <c r="P99" s="1337"/>
      <c r="Q99" s="1338"/>
      <c r="R99" s="463" t="str">
        <f>IF(AND(ISBLANK(A100),OR(NOT(ISBLANK(I98)),NOT(ISBLANK(E97)),NOT(ISBLANK(E96)),NOT(ISBLANK(E95)),NOT(ISBLANK(E94)),NOT(ISBLANK(E93)))),"General Description is required!","")</f>
        <v/>
      </c>
    </row>
    <row r="100" spans="1:19" ht="45" customHeight="1" x14ac:dyDescent="0.2">
      <c r="A100" s="1351"/>
      <c r="B100" s="1340"/>
      <c r="C100" s="1340"/>
      <c r="D100" s="1340"/>
      <c r="E100" s="1340"/>
      <c r="F100" s="1340"/>
      <c r="G100" s="1340"/>
      <c r="H100" s="1340"/>
      <c r="I100" s="1340"/>
      <c r="J100" s="1341"/>
      <c r="K100" s="1336"/>
      <c r="L100" s="1336"/>
      <c r="M100" s="1336"/>
      <c r="N100" s="1336"/>
      <c r="O100" s="305"/>
      <c r="P100" s="306" t="s">
        <v>91</v>
      </c>
      <c r="Q100" s="307" t="s">
        <v>92</v>
      </c>
      <c r="R100" s="393"/>
    </row>
    <row r="101" spans="1:19" ht="26.25" customHeight="1" x14ac:dyDescent="0.2">
      <c r="A101" s="1342"/>
      <c r="B101" s="1343"/>
      <c r="C101" s="1343"/>
      <c r="D101" s="1343"/>
      <c r="E101" s="1343"/>
      <c r="F101" s="1343"/>
      <c r="G101" s="1343"/>
      <c r="H101" s="1343"/>
      <c r="I101" s="1343"/>
      <c r="J101" s="1344"/>
      <c r="K101" s="1345" t="s">
        <v>1739</v>
      </c>
      <c r="L101" s="1346"/>
      <c r="M101" s="1346"/>
      <c r="N101" s="1346"/>
      <c r="O101" s="1347"/>
      <c r="P101" s="388"/>
      <c r="Q101" s="309"/>
      <c r="R101" s="461" t="str">
        <f>IF(NOT(AND(ISBLANK(E93),ISBLANK(E94),ISBLANK(E95),ISBLANK(E96),ISBLANK(E97),ISBLANK(I98))),IF(COUNTBLANK(P101:Q101)=2,"Please enter response.",IF(COUNTBLANK(P101:Q101)&lt;&gt;1,"Please VERIFY response.","")),"")</f>
        <v/>
      </c>
    </row>
    <row r="102" spans="1:19" ht="26.25" customHeight="1" x14ac:dyDescent="0.2">
      <c r="A102" s="1348" t="s">
        <v>1740</v>
      </c>
      <c r="B102" s="1349"/>
      <c r="C102" s="1349"/>
      <c r="D102" s="1349"/>
      <c r="E102" s="1349"/>
      <c r="F102" s="1349"/>
      <c r="G102" s="1349"/>
      <c r="H102" s="1349"/>
      <c r="I102" s="1349"/>
      <c r="J102" s="1350"/>
      <c r="K102" s="1345" t="s">
        <v>1741</v>
      </c>
      <c r="L102" s="1346"/>
      <c r="M102" s="1346"/>
      <c r="N102" s="1346"/>
      <c r="O102" s="1347"/>
      <c r="P102" s="388"/>
      <c r="Q102" s="309"/>
      <c r="R102" s="461" t="str">
        <f>IF(NOT(AND(ISBLANK(E93),ISBLANK(E94),ISBLANK(E95),ISBLANK(E96),ISBLANK(E97),ISBLANK(I98))),IF(COUNTBLANK(P102:Q102)=2,"Please enter response.",IF(COUNTBLANK(P102:Q102)&lt;&gt;1,"Please VERIFY response.","")),"")</f>
        <v/>
      </c>
    </row>
    <row r="103" spans="1:19" ht="26.25" customHeight="1" x14ac:dyDescent="0.2">
      <c r="A103" s="1351"/>
      <c r="B103" s="1340"/>
      <c r="C103" s="1340"/>
      <c r="D103" s="1340"/>
      <c r="E103" s="1340"/>
      <c r="F103" s="1340"/>
      <c r="G103" s="1340"/>
      <c r="H103" s="1340"/>
      <c r="I103" s="1340"/>
      <c r="J103" s="1341"/>
      <c r="K103" s="1345" t="s">
        <v>1742</v>
      </c>
      <c r="L103" s="1346"/>
      <c r="M103" s="1346"/>
      <c r="N103" s="1346"/>
      <c r="O103" s="1347"/>
      <c r="P103" s="388"/>
      <c r="Q103" s="309"/>
      <c r="R103" s="461" t="str">
        <f>IF(NOT(AND(ISBLANK(E93),ISBLANK(E94),ISBLANK(E95),ISBLANK(E96),ISBLANK(E97),ISBLANK(I98))),IF(COUNTBLANK(P103:Q103)=2,"Please enter response.",IF(COUNTBLANK(P103:Q103)&lt;&gt;1,"Please VERIFY response.","")),"")</f>
        <v/>
      </c>
    </row>
    <row r="104" spans="1:19" ht="26.25" customHeight="1" x14ac:dyDescent="0.2">
      <c r="A104" s="1342"/>
      <c r="B104" s="1343"/>
      <c r="C104" s="1343"/>
      <c r="D104" s="1343"/>
      <c r="E104" s="1343"/>
      <c r="F104" s="1343"/>
      <c r="G104" s="1343"/>
      <c r="H104" s="1343"/>
      <c r="I104" s="1343"/>
      <c r="J104" s="1344"/>
      <c r="K104" s="1345" t="s">
        <v>1743</v>
      </c>
      <c r="L104" s="1346"/>
      <c r="M104" s="1346"/>
      <c r="N104" s="1346"/>
      <c r="O104" s="1347"/>
      <c r="P104" s="388"/>
      <c r="Q104" s="309"/>
      <c r="R104" s="461" t="str">
        <f>IF(NOT(AND(ISBLANK(E93),ISBLANK(E94),ISBLANK(E95),ISBLANK(E96),ISBLANK(E97),ISBLANK(I98))),IF(COUNTBLANK(P104:Q104)=2,"Please enter response.",IF(COUNTBLANK(P104:Q104)&lt;&gt;1,"Please VERIFY response.","")),"")</f>
        <v/>
      </c>
    </row>
    <row r="105" spans="1:19" ht="26.25" customHeight="1" x14ac:dyDescent="0.2">
      <c r="A105" s="1352" t="s">
        <v>1744</v>
      </c>
      <c r="B105" s="1353"/>
      <c r="C105" s="1353"/>
      <c r="D105" s="1353"/>
      <c r="E105" s="1353"/>
      <c r="F105" s="1353"/>
      <c r="G105" s="1353"/>
      <c r="H105" s="1353"/>
      <c r="I105" s="1353"/>
      <c r="J105" s="1353"/>
      <c r="K105" s="1353"/>
      <c r="L105" s="1353"/>
      <c r="M105" s="1353"/>
      <c r="N105" s="1353"/>
      <c r="O105" s="1353"/>
      <c r="P105" s="1353"/>
      <c r="Q105" s="1354"/>
      <c r="R105" s="310"/>
    </row>
    <row r="106" spans="1:19" ht="26.25" customHeight="1" x14ac:dyDescent="0.2">
      <c r="A106" s="1355" t="s">
        <v>1745</v>
      </c>
      <c r="B106" s="1356"/>
      <c r="C106" s="1356"/>
      <c r="D106" s="1356"/>
      <c r="E106" s="1356" t="s">
        <v>1746</v>
      </c>
      <c r="F106" s="1356"/>
      <c r="G106" s="1356"/>
      <c r="H106" s="1356"/>
      <c r="I106" s="1356" t="s">
        <v>1747</v>
      </c>
      <c r="J106" s="1356"/>
      <c r="K106" s="1356"/>
      <c r="L106" s="1356"/>
      <c r="M106" s="1357" t="s">
        <v>1748</v>
      </c>
      <c r="N106" s="1356"/>
      <c r="O106" s="1356"/>
      <c r="P106" s="1356"/>
      <c r="Q106" s="1358"/>
      <c r="R106" s="311"/>
    </row>
    <row r="107" spans="1:19" ht="26.25" customHeight="1" thickBot="1" x14ac:dyDescent="0.25">
      <c r="A107" s="1359"/>
      <c r="B107" s="1360"/>
      <c r="C107" s="1360"/>
      <c r="D107" s="1360"/>
      <c r="E107" s="1361"/>
      <c r="F107" s="1362"/>
      <c r="G107" s="1362"/>
      <c r="H107" s="1363"/>
      <c r="I107" s="1361"/>
      <c r="J107" s="1362"/>
      <c r="K107" s="1362"/>
      <c r="L107" s="1363"/>
      <c r="M107" s="1364"/>
      <c r="N107" s="1364"/>
      <c r="O107" s="1364"/>
      <c r="P107" s="1364"/>
      <c r="Q107" s="1365"/>
      <c r="R107" s="310"/>
    </row>
    <row r="108" spans="1:19" ht="26.25" customHeight="1" x14ac:dyDescent="0.2">
      <c r="A108" s="1366" t="s">
        <v>1749</v>
      </c>
      <c r="B108" s="1367"/>
      <c r="C108" s="1367"/>
      <c r="D108" s="1367"/>
      <c r="E108" s="1367"/>
      <c r="F108" s="1367"/>
      <c r="G108" s="1367"/>
      <c r="H108" s="1367"/>
      <c r="I108" s="1367"/>
      <c r="J108" s="1367"/>
      <c r="K108" s="1367"/>
      <c r="L108" s="1367"/>
      <c r="M108" s="1367"/>
      <c r="N108" s="1367"/>
      <c r="O108" s="1367"/>
      <c r="P108" s="1367"/>
      <c r="Q108" s="1368"/>
      <c r="R108" s="390"/>
    </row>
    <row r="109" spans="1:19" ht="26.25" customHeight="1" x14ac:dyDescent="0.2">
      <c r="A109" s="1369" t="s">
        <v>1750</v>
      </c>
      <c r="B109" s="1370"/>
      <c r="C109" s="1370"/>
      <c r="D109" s="1370"/>
      <c r="E109" s="1370"/>
      <c r="F109" s="1370"/>
      <c r="G109" s="1370"/>
      <c r="H109" s="1370"/>
      <c r="I109" s="1370"/>
      <c r="J109" s="1370"/>
      <c r="K109" s="1370"/>
      <c r="L109" s="1371"/>
      <c r="M109" s="1372"/>
      <c r="N109" s="1373"/>
      <c r="O109" s="1373"/>
      <c r="P109" s="1373"/>
      <c r="Q109" s="1374"/>
      <c r="R109" s="390"/>
    </row>
    <row r="110" spans="1:19" ht="26.25" customHeight="1" x14ac:dyDescent="0.2">
      <c r="A110" s="1369" t="s">
        <v>1751</v>
      </c>
      <c r="B110" s="1375"/>
      <c r="C110" s="1375"/>
      <c r="D110" s="1375"/>
      <c r="E110" s="1375"/>
      <c r="F110" s="1375"/>
      <c r="G110" s="1375"/>
      <c r="H110" s="1375"/>
      <c r="I110" s="1375"/>
      <c r="J110" s="1375"/>
      <c r="K110" s="1375"/>
      <c r="L110" s="1375"/>
      <c r="M110" s="1376"/>
      <c r="N110" s="1377"/>
      <c r="O110" s="1377"/>
      <c r="P110" s="1377"/>
      <c r="Q110" s="1378"/>
      <c r="R110" s="390"/>
    </row>
    <row r="111" spans="1:19" ht="26.25" customHeight="1" x14ac:dyDescent="0.2">
      <c r="A111" s="1369" t="s">
        <v>1752</v>
      </c>
      <c r="B111" s="1375"/>
      <c r="C111" s="1375"/>
      <c r="D111" s="1375"/>
      <c r="E111" s="1375"/>
      <c r="F111" s="1375"/>
      <c r="G111" s="1375"/>
      <c r="H111" s="1375"/>
      <c r="I111" s="1375"/>
      <c r="J111" s="1375"/>
      <c r="K111" s="1375"/>
      <c r="L111" s="1375"/>
      <c r="M111" s="1376"/>
      <c r="N111" s="1377"/>
      <c r="O111" s="1377"/>
      <c r="P111" s="1377"/>
      <c r="Q111" s="1378"/>
      <c r="R111" s="390"/>
    </row>
    <row r="112" spans="1:19" ht="26.25" customHeight="1" x14ac:dyDescent="0.2">
      <c r="A112" s="1379" t="s">
        <v>1753</v>
      </c>
      <c r="B112" s="1380"/>
      <c r="C112" s="1380"/>
      <c r="D112" s="1380"/>
      <c r="E112" s="1380"/>
      <c r="F112" s="1380"/>
      <c r="G112" s="1380"/>
      <c r="H112" s="1380"/>
      <c r="I112" s="1380"/>
      <c r="J112" s="1380"/>
      <c r="K112" s="1380"/>
      <c r="L112" s="1380"/>
      <c r="M112" s="1380"/>
      <c r="N112" s="1380"/>
      <c r="O112" s="1380"/>
      <c r="P112" s="1380"/>
      <c r="Q112" s="1381"/>
      <c r="R112" s="390"/>
    </row>
    <row r="113" spans="1:18" ht="26.25" customHeight="1" x14ac:dyDescent="0.2">
      <c r="A113" s="1382"/>
      <c r="B113" s="1383"/>
      <c r="C113" s="1383"/>
      <c r="D113" s="1383"/>
      <c r="E113" s="1383"/>
      <c r="F113" s="1383"/>
      <c r="G113" s="1383"/>
      <c r="H113" s="1383"/>
      <c r="I113" s="1383"/>
      <c r="J113" s="1383"/>
      <c r="K113" s="1383"/>
      <c r="L113" s="1383"/>
      <c r="M113" s="1383"/>
      <c r="N113" s="1383"/>
      <c r="O113" s="1383"/>
      <c r="P113" s="1383"/>
      <c r="Q113" s="1384"/>
      <c r="R113" s="390"/>
    </row>
    <row r="114" spans="1:18" ht="26.25" customHeight="1" x14ac:dyDescent="0.2">
      <c r="A114" s="1385"/>
      <c r="B114" s="1386"/>
      <c r="C114" s="1386"/>
      <c r="D114" s="1386"/>
      <c r="E114" s="1386"/>
      <c r="F114" s="1386"/>
      <c r="G114" s="1386"/>
      <c r="H114" s="1386"/>
      <c r="I114" s="1386"/>
      <c r="J114" s="1386"/>
      <c r="K114" s="1386"/>
      <c r="L114" s="1386"/>
      <c r="M114" s="1386"/>
      <c r="N114" s="1386"/>
      <c r="O114" s="1386"/>
      <c r="P114" s="1386"/>
      <c r="Q114" s="1387"/>
      <c r="R114" s="390"/>
    </row>
    <row r="115" spans="1:18" ht="26.25" customHeight="1" x14ac:dyDescent="0.2">
      <c r="A115" s="1388" t="s">
        <v>1754</v>
      </c>
      <c r="B115" s="1389"/>
      <c r="C115" s="1389"/>
      <c r="D115" s="1389"/>
      <c r="E115" s="1389"/>
      <c r="F115" s="1389"/>
      <c r="G115" s="1389"/>
      <c r="H115" s="1389"/>
      <c r="I115" s="1389"/>
      <c r="J115" s="1389"/>
      <c r="K115" s="1389"/>
      <c r="L115" s="1389"/>
      <c r="M115" s="1389"/>
      <c r="N115" s="1389"/>
      <c r="O115" s="1389"/>
      <c r="P115" s="1389"/>
      <c r="Q115" s="1390"/>
      <c r="R115" s="390"/>
    </row>
    <row r="116" spans="1:18" ht="26.25" customHeight="1" x14ac:dyDescent="0.2">
      <c r="A116" s="1382"/>
      <c r="B116" s="1391"/>
      <c r="C116" s="1391"/>
      <c r="D116" s="1391"/>
      <c r="E116" s="1391"/>
      <c r="F116" s="1391"/>
      <c r="G116" s="1391"/>
      <c r="H116" s="1391"/>
      <c r="I116" s="1391"/>
      <c r="J116" s="1391"/>
      <c r="K116" s="1391"/>
      <c r="L116" s="1391"/>
      <c r="M116" s="1391"/>
      <c r="N116" s="1391"/>
      <c r="O116" s="1391"/>
      <c r="P116" s="1391"/>
      <c r="Q116" s="1392"/>
      <c r="R116" s="390"/>
    </row>
    <row r="117" spans="1:18" ht="26.25" customHeight="1" thickBot="1" x14ac:dyDescent="0.25">
      <c r="A117" s="1393"/>
      <c r="B117" s="1394"/>
      <c r="C117" s="1394"/>
      <c r="D117" s="1394"/>
      <c r="E117" s="1394"/>
      <c r="F117" s="1394"/>
      <c r="G117" s="1394"/>
      <c r="H117" s="1394"/>
      <c r="I117" s="1394"/>
      <c r="J117" s="1394"/>
      <c r="K117" s="1394"/>
      <c r="L117" s="1394"/>
      <c r="M117" s="1394"/>
      <c r="N117" s="1394"/>
      <c r="O117" s="1394"/>
      <c r="P117" s="1394"/>
      <c r="Q117" s="1395"/>
      <c r="R117" s="389"/>
    </row>
    <row r="118" spans="1:18" ht="26.25" customHeight="1" x14ac:dyDescent="0.2">
      <c r="A118" s="1396" t="s">
        <v>1755</v>
      </c>
      <c r="B118" s="1397"/>
      <c r="C118" s="1397"/>
      <c r="D118" s="1397"/>
      <c r="E118" s="1397"/>
      <c r="F118" s="1397"/>
      <c r="G118" s="1397"/>
      <c r="H118" s="1397"/>
      <c r="I118" s="1397"/>
      <c r="J118" s="1397"/>
      <c r="K118" s="1397"/>
      <c r="L118" s="1397"/>
      <c r="M118" s="1397"/>
      <c r="N118" s="1397"/>
      <c r="O118" s="1397"/>
      <c r="P118" s="1397"/>
      <c r="Q118" s="1398"/>
      <c r="R118" s="390"/>
    </row>
    <row r="119" spans="1:18" ht="26.25" customHeight="1" x14ac:dyDescent="0.2">
      <c r="A119" s="1399" t="s">
        <v>1756</v>
      </c>
      <c r="B119" s="1400"/>
      <c r="C119" s="1400"/>
      <c r="D119" s="1400"/>
      <c r="E119" s="1400"/>
      <c r="F119" s="1400"/>
      <c r="G119" s="1400"/>
      <c r="H119" s="1400"/>
      <c r="I119" s="1400"/>
      <c r="J119" s="1400"/>
      <c r="K119" s="1400"/>
      <c r="L119" s="1401"/>
      <c r="M119" s="1372"/>
      <c r="N119" s="1373"/>
      <c r="O119" s="1373"/>
      <c r="P119" s="1373"/>
      <c r="Q119" s="1374"/>
      <c r="R119" s="389"/>
    </row>
    <row r="120" spans="1:18" ht="26.25" customHeight="1" x14ac:dyDescent="0.2">
      <c r="A120" s="1369" t="s">
        <v>1757</v>
      </c>
      <c r="B120" s="1370"/>
      <c r="C120" s="1370"/>
      <c r="D120" s="1370"/>
      <c r="E120" s="1370"/>
      <c r="F120" s="1370"/>
      <c r="G120" s="1370"/>
      <c r="H120" s="1370"/>
      <c r="I120" s="1370"/>
      <c r="J120" s="1370"/>
      <c r="K120" s="1370"/>
      <c r="L120" s="1371"/>
      <c r="M120" s="1376"/>
      <c r="N120" s="1377"/>
      <c r="O120" s="1377"/>
      <c r="P120" s="1377"/>
      <c r="Q120" s="1378"/>
      <c r="R120" s="389"/>
    </row>
    <row r="121" spans="1:18" ht="26.25" customHeight="1" x14ac:dyDescent="0.2">
      <c r="A121" s="1402" t="s">
        <v>1758</v>
      </c>
      <c r="B121" s="1403"/>
      <c r="C121" s="1403"/>
      <c r="D121" s="1403"/>
      <c r="E121" s="1403"/>
      <c r="F121" s="1403"/>
      <c r="G121" s="1403"/>
      <c r="H121" s="1403"/>
      <c r="I121" s="1403"/>
      <c r="J121" s="1403"/>
      <c r="K121" s="1403"/>
      <c r="L121" s="1403"/>
      <c r="M121" s="1403"/>
      <c r="N121" s="1403"/>
      <c r="O121" s="1403"/>
      <c r="P121" s="1403"/>
      <c r="Q121" s="1404"/>
      <c r="R121" s="389"/>
    </row>
    <row r="122" spans="1:18" ht="26.25" customHeight="1" x14ac:dyDescent="0.2">
      <c r="A122" s="1382"/>
      <c r="B122" s="1383"/>
      <c r="C122" s="1383"/>
      <c r="D122" s="1383"/>
      <c r="E122" s="1383"/>
      <c r="F122" s="1383"/>
      <c r="G122" s="1383"/>
      <c r="H122" s="1383"/>
      <c r="I122" s="1383"/>
      <c r="J122" s="1383"/>
      <c r="K122" s="1383"/>
      <c r="L122" s="1383"/>
      <c r="M122" s="1383"/>
      <c r="N122" s="1383"/>
      <c r="O122" s="1383"/>
      <c r="P122" s="1383"/>
      <c r="Q122" s="1405"/>
      <c r="R122" s="389"/>
    </row>
    <row r="123" spans="1:18" ht="26.25" customHeight="1" x14ac:dyDescent="0.2">
      <c r="A123" s="1406"/>
      <c r="B123" s="1407"/>
      <c r="C123" s="1407"/>
      <c r="D123" s="1407"/>
      <c r="E123" s="1407"/>
      <c r="F123" s="1407"/>
      <c r="G123" s="1407"/>
      <c r="H123" s="1407"/>
      <c r="I123" s="1407"/>
      <c r="J123" s="1407"/>
      <c r="K123" s="1407"/>
      <c r="L123" s="1407"/>
      <c r="M123" s="1407"/>
      <c r="N123" s="1407"/>
      <c r="O123" s="1407"/>
      <c r="P123" s="1407"/>
      <c r="Q123" s="1408"/>
      <c r="R123" s="389"/>
    </row>
    <row r="124" spans="1:18" ht="26.25" customHeight="1" x14ac:dyDescent="0.2">
      <c r="A124" s="1409" t="s">
        <v>1759</v>
      </c>
      <c r="B124" s="1410"/>
      <c r="C124" s="1410"/>
      <c r="D124" s="1410"/>
      <c r="E124" s="1410"/>
      <c r="F124" s="1410"/>
      <c r="G124" s="1410"/>
      <c r="H124" s="1410"/>
      <c r="I124" s="1410"/>
      <c r="J124" s="1410"/>
      <c r="K124" s="1410"/>
      <c r="L124" s="1410"/>
      <c r="M124" s="1410"/>
      <c r="N124" s="1410"/>
      <c r="O124" s="1410"/>
      <c r="P124" s="1410"/>
      <c r="Q124" s="1411"/>
      <c r="R124" s="389"/>
    </row>
    <row r="125" spans="1:18" ht="26.25" customHeight="1" x14ac:dyDescent="0.2">
      <c r="A125" s="1382"/>
      <c r="B125" s="1383"/>
      <c r="C125" s="1383"/>
      <c r="D125" s="1383"/>
      <c r="E125" s="1383"/>
      <c r="F125" s="1383"/>
      <c r="G125" s="1383"/>
      <c r="H125" s="1383"/>
      <c r="I125" s="1383"/>
      <c r="J125" s="1383"/>
      <c r="K125" s="1383"/>
      <c r="L125" s="1383"/>
      <c r="M125" s="1383"/>
      <c r="N125" s="1383"/>
      <c r="O125" s="1383"/>
      <c r="P125" s="1383"/>
      <c r="Q125" s="1384"/>
      <c r="R125" s="389"/>
    </row>
    <row r="126" spans="1:18" ht="26.25" customHeight="1" thickBot="1" x14ac:dyDescent="0.25">
      <c r="A126" s="1412"/>
      <c r="B126" s="1413"/>
      <c r="C126" s="1413"/>
      <c r="D126" s="1413"/>
      <c r="E126" s="1413"/>
      <c r="F126" s="1413"/>
      <c r="G126" s="1413"/>
      <c r="H126" s="1413"/>
      <c r="I126" s="1413"/>
      <c r="J126" s="1413"/>
      <c r="K126" s="1413"/>
      <c r="L126" s="1413"/>
      <c r="M126" s="1413"/>
      <c r="N126" s="1413"/>
      <c r="O126" s="1413"/>
      <c r="P126" s="1413"/>
      <c r="Q126" s="1414"/>
      <c r="R126" s="389"/>
    </row>
    <row r="127" spans="1:18" ht="26.25" customHeight="1" x14ac:dyDescent="0.2">
      <c r="A127" s="1332" t="s">
        <v>1760</v>
      </c>
      <c r="B127" s="1333"/>
      <c r="C127" s="1333"/>
      <c r="D127" s="1333"/>
      <c r="E127" s="1333"/>
      <c r="F127" s="1333"/>
      <c r="G127" s="1333"/>
      <c r="H127" s="1333"/>
      <c r="I127" s="1333"/>
      <c r="J127" s="1333"/>
      <c r="K127" s="1333"/>
      <c r="L127" s="1333"/>
      <c r="M127" s="1333"/>
      <c r="N127" s="1333"/>
      <c r="O127" s="1333"/>
      <c r="P127" s="1333"/>
      <c r="Q127" s="1415"/>
    </row>
    <row r="128" spans="1:18" ht="26.25" customHeight="1" x14ac:dyDescent="0.2">
      <c r="A128" s="1416"/>
      <c r="B128" s="1383"/>
      <c r="C128" s="1383"/>
      <c r="D128" s="1383"/>
      <c r="E128" s="1383"/>
      <c r="F128" s="1383"/>
      <c r="G128" s="1383"/>
      <c r="H128" s="1383"/>
      <c r="I128" s="1383"/>
      <c r="J128" s="1383"/>
      <c r="K128" s="1383"/>
      <c r="L128" s="1383"/>
      <c r="M128" s="1383"/>
      <c r="N128" s="1383"/>
      <c r="O128" s="1383"/>
      <c r="P128" s="1383"/>
      <c r="Q128" s="1405"/>
    </row>
    <row r="129" spans="1:19" ht="26.25" customHeight="1" thickBot="1" x14ac:dyDescent="0.25">
      <c r="A129" s="1412"/>
      <c r="B129" s="1413"/>
      <c r="C129" s="1413"/>
      <c r="D129" s="1413"/>
      <c r="E129" s="1413"/>
      <c r="F129" s="1413"/>
      <c r="G129" s="1413"/>
      <c r="H129" s="1413"/>
      <c r="I129" s="1413"/>
      <c r="J129" s="1413"/>
      <c r="K129" s="1413"/>
      <c r="L129" s="1413"/>
      <c r="M129" s="1413"/>
      <c r="N129" s="1413"/>
      <c r="O129" s="1413"/>
      <c r="P129" s="1413"/>
      <c r="Q129" s="1414"/>
      <c r="R129" s="315"/>
    </row>
    <row r="130" spans="1:19" ht="26.25" customHeight="1" x14ac:dyDescent="0.2">
      <c r="A130" s="1396" t="s">
        <v>1761</v>
      </c>
      <c r="B130" s="1397"/>
      <c r="C130" s="1397"/>
      <c r="D130" s="1397"/>
      <c r="E130" s="1397"/>
      <c r="F130" s="1397"/>
      <c r="G130" s="1397"/>
      <c r="H130" s="1397"/>
      <c r="I130" s="1397"/>
      <c r="J130" s="1397"/>
      <c r="K130" s="1397"/>
      <c r="L130" s="1397"/>
      <c r="M130" s="1397"/>
      <c r="N130" s="1397"/>
      <c r="O130" s="1397"/>
      <c r="P130" s="1397"/>
      <c r="Q130" s="1398"/>
      <c r="R130" s="316"/>
    </row>
    <row r="131" spans="1:19" ht="26.25" customHeight="1" x14ac:dyDescent="0.2">
      <c r="A131" s="1339"/>
      <c r="B131" s="1340"/>
      <c r="C131" s="1340"/>
      <c r="D131" s="1340"/>
      <c r="E131" s="1340"/>
      <c r="F131" s="1340"/>
      <c r="G131" s="1340"/>
      <c r="H131" s="1340"/>
      <c r="I131" s="1340"/>
      <c r="J131" s="1340"/>
      <c r="K131" s="1340"/>
      <c r="L131" s="1340"/>
      <c r="M131" s="1340"/>
      <c r="N131" s="1340"/>
      <c r="O131" s="1340"/>
      <c r="P131" s="1340"/>
      <c r="Q131" s="1417"/>
      <c r="R131" s="22"/>
    </row>
    <row r="132" spans="1:19" ht="26.25" customHeight="1" thickBot="1" x14ac:dyDescent="0.25">
      <c r="A132" s="1393"/>
      <c r="B132" s="1394"/>
      <c r="C132" s="1394"/>
      <c r="D132" s="1394"/>
      <c r="E132" s="1394"/>
      <c r="F132" s="1394"/>
      <c r="G132" s="1394"/>
      <c r="H132" s="1394"/>
      <c r="I132" s="1394"/>
      <c r="J132" s="1394"/>
      <c r="K132" s="1394"/>
      <c r="L132" s="1394"/>
      <c r="M132" s="1394"/>
      <c r="N132" s="1394"/>
      <c r="O132" s="1394"/>
      <c r="P132" s="1394"/>
      <c r="Q132" s="1395"/>
      <c r="R132" s="22"/>
    </row>
    <row r="133" spans="1:19" ht="26.25" customHeight="1" x14ac:dyDescent="0.2">
      <c r="A133" s="409" t="str">
        <f>$A$1</f>
        <v xml:space="preserve"> </v>
      </c>
      <c r="B133" s="391"/>
      <c r="C133" s="391"/>
      <c r="D133" s="391"/>
      <c r="E133" s="391"/>
      <c r="F133" s="391"/>
      <c r="G133" s="391"/>
      <c r="H133" s="391"/>
      <c r="I133" s="391"/>
      <c r="J133" s="391"/>
      <c r="K133" s="391"/>
      <c r="L133" s="391"/>
      <c r="M133" s="391"/>
      <c r="N133" s="391"/>
      <c r="O133" s="391"/>
      <c r="P133" s="391"/>
      <c r="Q133" s="391"/>
      <c r="R133" s="389"/>
    </row>
    <row r="134" spans="1:19" ht="26.25" customHeight="1" x14ac:dyDescent="0.2">
      <c r="A134" s="1290" t="s">
        <v>776</v>
      </c>
      <c r="B134" s="1291"/>
      <c r="C134" s="1291"/>
      <c r="D134" s="1291"/>
      <c r="E134" s="1291"/>
      <c r="F134" s="1291"/>
      <c r="G134" s="1291"/>
      <c r="H134" s="1291"/>
      <c r="I134" s="1291"/>
      <c r="J134" s="1291"/>
      <c r="K134" s="1291"/>
      <c r="L134" s="1291"/>
      <c r="M134" s="1291"/>
      <c r="N134" s="1419" t="s">
        <v>2844</v>
      </c>
      <c r="O134" s="1419"/>
      <c r="P134" s="1419"/>
      <c r="Q134" s="1420"/>
      <c r="R134" s="392"/>
    </row>
    <row r="135" spans="1:19" ht="26.25" customHeight="1" x14ac:dyDescent="0.2">
      <c r="A135" s="1294" t="str">
        <f>IF(ISBLANK(Cap_Expend_Name),"The Capital Expenditure Contact information has NOT been provided.  Click here to go to Capital Expenditure Contact Section to fill in this information now.","")</f>
        <v/>
      </c>
      <c r="B135" s="1295"/>
      <c r="C135" s="1295"/>
      <c r="D135" s="1295"/>
      <c r="E135" s="1295"/>
      <c r="F135" s="1295"/>
      <c r="G135" s="1295"/>
      <c r="H135" s="1295"/>
      <c r="I135" s="1295"/>
      <c r="J135" s="1295"/>
      <c r="K135" s="1295"/>
      <c r="L135" s="1295"/>
      <c r="M135" s="1295"/>
      <c r="N135" s="407" t="s">
        <v>1727</v>
      </c>
      <c r="O135" s="408"/>
      <c r="P135" s="1296"/>
      <c r="Q135" s="1297"/>
      <c r="R135" s="2"/>
    </row>
    <row r="136" spans="1:19" ht="26.25" customHeight="1" thickBot="1" x14ac:dyDescent="0.25">
      <c r="A136" s="1298" t="s">
        <v>1338</v>
      </c>
      <c r="B136" s="1299"/>
      <c r="C136" s="1299"/>
      <c r="D136" s="1299"/>
      <c r="E136" s="1300"/>
      <c r="F136" s="1301"/>
      <c r="G136" s="1301"/>
      <c r="H136" s="1301"/>
      <c r="I136" s="1301"/>
      <c r="J136" s="1301"/>
      <c r="K136" s="1301"/>
      <c r="L136" s="1302"/>
      <c r="M136" s="295"/>
      <c r="N136" s="1303" t="s">
        <v>1728</v>
      </c>
      <c r="O136" s="1304"/>
      <c r="P136" s="1304"/>
      <c r="Q136" s="1305"/>
      <c r="R136" s="2"/>
    </row>
    <row r="137" spans="1:19" ht="26.25" customHeight="1" x14ac:dyDescent="0.2">
      <c r="A137" s="1306" t="s">
        <v>1729</v>
      </c>
      <c r="B137" s="1307"/>
      <c r="C137" s="1307"/>
      <c r="D137" s="1308"/>
      <c r="E137" s="1320"/>
      <c r="F137" s="1310"/>
      <c r="G137" s="1310"/>
      <c r="H137" s="1310"/>
      <c r="I137" s="1310"/>
      <c r="J137" s="1310"/>
      <c r="K137" s="1310"/>
      <c r="L137" s="1311"/>
      <c r="M137" s="1312" t="str">
        <f>IF(AND(ISBLANK(E137),OR(NOT(ISBLANK(E138)),NOT(ISBLANK(E139)),NOT(ISBLANK(E140)),NOT(ISBLANK(I141)),NOT(ISBLANK(E136)))),"This information is required.","")</f>
        <v/>
      </c>
      <c r="N137" s="1313"/>
      <c r="O137" s="1313"/>
      <c r="P137" s="1313"/>
      <c r="Q137" s="296"/>
      <c r="R137" s="2"/>
    </row>
    <row r="138" spans="1:19" ht="26.25" customHeight="1" x14ac:dyDescent="0.2">
      <c r="A138" s="1314" t="s">
        <v>1730</v>
      </c>
      <c r="B138" s="1315"/>
      <c r="C138" s="1315"/>
      <c r="D138" s="1316"/>
      <c r="E138" s="1320"/>
      <c r="F138" s="1310"/>
      <c r="G138" s="1310"/>
      <c r="H138" s="1310"/>
      <c r="I138" s="1310"/>
      <c r="J138" s="1310"/>
      <c r="K138" s="1310"/>
      <c r="L138" s="1311"/>
      <c r="M138" s="1312" t="str">
        <f>IF(AND(ISBLANK(E138),OR(NOT(ISBLANK(E137)),NOT(ISBLANK(E139)),NOT(ISBLANK(E140)),NOT(ISBLANK(I141)),NOT(ISBLANK(E136)))),"This information is required.","")</f>
        <v/>
      </c>
      <c r="N138" s="1313"/>
      <c r="O138" s="1313"/>
      <c r="P138" s="1313"/>
      <c r="Q138" s="296"/>
      <c r="R138" s="2"/>
    </row>
    <row r="139" spans="1:19" ht="26.25" customHeight="1" x14ac:dyDescent="0.2">
      <c r="A139" s="1317" t="s">
        <v>1731</v>
      </c>
      <c r="B139" s="1318"/>
      <c r="C139" s="1318"/>
      <c r="D139" s="1319"/>
      <c r="E139" s="1320"/>
      <c r="F139" s="1310"/>
      <c r="G139" s="1321" t="s">
        <v>1732</v>
      </c>
      <c r="H139" s="1321"/>
      <c r="I139" s="1321"/>
      <c r="J139" s="1321"/>
      <c r="K139" s="1321"/>
      <c r="L139" s="1321"/>
      <c r="M139" s="615" t="str">
        <f>IF(AND(ISBLANK(E139),OR(NOT(ISBLANK(E137)),NOT(ISBLANK(E138)),NOT(ISBLANK(E140)),NOT(ISBLANK(I141)),NOT(ISBLANK(E136)))),"This information is required.","")</f>
        <v/>
      </c>
      <c r="N139" s="616"/>
      <c r="O139" s="616"/>
      <c r="P139" s="616"/>
      <c r="Q139" s="297"/>
      <c r="R139" s="298"/>
    </row>
    <row r="140" spans="1:19" ht="26.25" customHeight="1" x14ac:dyDescent="0.2">
      <c r="A140" s="1314" t="s">
        <v>1733</v>
      </c>
      <c r="B140" s="1315"/>
      <c r="C140" s="1315"/>
      <c r="D140" s="1316"/>
      <c r="E140" s="1322"/>
      <c r="F140" s="1323"/>
      <c r="G140" s="299"/>
      <c r="H140" s="300"/>
      <c r="I140" s="301"/>
      <c r="J140" s="298"/>
      <c r="K140" s="298"/>
      <c r="L140" s="298"/>
      <c r="M140" s="616" t="str">
        <f>IF(AND(ISBLANK(E140),OR(NOT(ISBLANK(E137)),NOT(ISBLANK(E138)),NOT(ISBLANK(E139)),NOT(ISBLANK(I141)),NOT(ISBLANK(E136)))),"This information is required.","")</f>
        <v/>
      </c>
      <c r="N140" s="616"/>
      <c r="O140" s="616"/>
      <c r="P140" s="616"/>
      <c r="Q140" s="297"/>
      <c r="R140" s="5"/>
      <c r="S140" s="267">
        <f>IF(ISBLANK(E140),0,1)</f>
        <v>0</v>
      </c>
    </row>
    <row r="141" spans="1:19" ht="26.25" customHeight="1" thickBot="1" x14ac:dyDescent="0.25">
      <c r="A141" s="1324" t="s">
        <v>1734</v>
      </c>
      <c r="B141" s="1325"/>
      <c r="C141" s="1325"/>
      <c r="D141" s="1325"/>
      <c r="E141" s="1326"/>
      <c r="F141" s="1326"/>
      <c r="G141" s="1326"/>
      <c r="H141" s="1326"/>
      <c r="I141" s="1327"/>
      <c r="J141" s="1328"/>
      <c r="K141" s="1329" t="s">
        <v>1735</v>
      </c>
      <c r="L141" s="1330"/>
      <c r="M141" s="1331" t="str">
        <f>IF(AND(ISBLANK(I141),OR(NOT(ISBLANK(E137)),NOT(ISBLANK(E138)),NOT(ISBLANK(E139)),NOT(ISBLANK(E140)),NOT(ISBLANK(E136)))),"This information is required!","")</f>
        <v/>
      </c>
      <c r="N141" s="1331"/>
      <c r="O141" s="1331"/>
      <c r="P141" s="1331"/>
      <c r="Q141" s="302"/>
      <c r="R141" s="5"/>
    </row>
    <row r="142" spans="1:19" ht="26.25" customHeight="1" x14ac:dyDescent="0.2">
      <c r="A142" s="1332" t="s">
        <v>1736</v>
      </c>
      <c r="B142" s="1333"/>
      <c r="C142" s="1333"/>
      <c r="D142" s="1333"/>
      <c r="E142" s="1333"/>
      <c r="F142" s="1333"/>
      <c r="G142" s="1333"/>
      <c r="H142" s="1333"/>
      <c r="I142" s="1333"/>
      <c r="J142" s="1334"/>
      <c r="K142" s="1335" t="s">
        <v>1737</v>
      </c>
      <c r="L142" s="1335"/>
      <c r="M142" s="1335"/>
      <c r="N142" s="1335"/>
      <c r="O142" s="1337" t="s">
        <v>1738</v>
      </c>
      <c r="P142" s="1337"/>
      <c r="Q142" s="1338"/>
      <c r="R142" s="463" t="str">
        <f>IF(AND(ISBLANK(A143),OR(NOT(ISBLANK(I141)),NOT(ISBLANK(E140)),NOT(ISBLANK(E139)),NOT(ISBLANK(E138)),NOT(ISBLANK(E137)),NOT(ISBLANK(E136)))),"General Description is required!","")</f>
        <v/>
      </c>
    </row>
    <row r="143" spans="1:19" ht="45" customHeight="1" x14ac:dyDescent="0.2">
      <c r="A143" s="1351"/>
      <c r="B143" s="1340"/>
      <c r="C143" s="1340"/>
      <c r="D143" s="1340"/>
      <c r="E143" s="1340"/>
      <c r="F143" s="1340"/>
      <c r="G143" s="1340"/>
      <c r="H143" s="1340"/>
      <c r="I143" s="1340"/>
      <c r="J143" s="1341"/>
      <c r="K143" s="1336"/>
      <c r="L143" s="1336"/>
      <c r="M143" s="1336"/>
      <c r="N143" s="1336"/>
      <c r="O143" s="305"/>
      <c r="P143" s="306" t="s">
        <v>91</v>
      </c>
      <c r="Q143" s="307" t="s">
        <v>92</v>
      </c>
      <c r="R143" s="393"/>
    </row>
    <row r="144" spans="1:19" ht="26.25" customHeight="1" x14ac:dyDescent="0.2">
      <c r="A144" s="1342"/>
      <c r="B144" s="1343"/>
      <c r="C144" s="1343"/>
      <c r="D144" s="1343"/>
      <c r="E144" s="1343"/>
      <c r="F144" s="1343"/>
      <c r="G144" s="1343"/>
      <c r="H144" s="1343"/>
      <c r="I144" s="1343"/>
      <c r="J144" s="1344"/>
      <c r="K144" s="1345" t="s">
        <v>1739</v>
      </c>
      <c r="L144" s="1346"/>
      <c r="M144" s="1346"/>
      <c r="N144" s="1346"/>
      <c r="O144" s="1347"/>
      <c r="P144" s="388"/>
      <c r="Q144" s="309"/>
      <c r="R144" s="461" t="str">
        <f>IF(NOT(AND(ISBLANK(E136),ISBLANK(E137),ISBLANK(E138),ISBLANK(E139),ISBLANK(E140),ISBLANK(I141))),IF(COUNTBLANK(P144:Q144)=2,"Please enter response.",IF(COUNTBLANK(P144:Q144)&lt;&gt;1,"Please VERIFY response.","")),"")</f>
        <v/>
      </c>
    </row>
    <row r="145" spans="1:18" ht="26.25" customHeight="1" x14ac:dyDescent="0.2">
      <c r="A145" s="1348" t="s">
        <v>1740</v>
      </c>
      <c r="B145" s="1349"/>
      <c r="C145" s="1349"/>
      <c r="D145" s="1349"/>
      <c r="E145" s="1349"/>
      <c r="F145" s="1349"/>
      <c r="G145" s="1349"/>
      <c r="H145" s="1349"/>
      <c r="I145" s="1349"/>
      <c r="J145" s="1350"/>
      <c r="K145" s="1345" t="s">
        <v>1741</v>
      </c>
      <c r="L145" s="1346"/>
      <c r="M145" s="1346"/>
      <c r="N145" s="1346"/>
      <c r="O145" s="1347"/>
      <c r="P145" s="388"/>
      <c r="Q145" s="309"/>
      <c r="R145" s="461" t="str">
        <f>IF(NOT(AND(ISBLANK(E136),ISBLANK(E137),ISBLANK(E138),ISBLANK(E139),ISBLANK(E140),ISBLANK(I141))),IF(COUNTBLANK(P145:Q145)=2,"Please enter response.",IF(COUNTBLANK(P145:Q145)&lt;&gt;1,"Please VERIFY response.","")),"")</f>
        <v/>
      </c>
    </row>
    <row r="146" spans="1:18" ht="26.25" customHeight="1" x14ac:dyDescent="0.2">
      <c r="A146" s="1351"/>
      <c r="B146" s="1340"/>
      <c r="C146" s="1340"/>
      <c r="D146" s="1340"/>
      <c r="E146" s="1340"/>
      <c r="F146" s="1340"/>
      <c r="G146" s="1340"/>
      <c r="H146" s="1340"/>
      <c r="I146" s="1340"/>
      <c r="J146" s="1341"/>
      <c r="K146" s="1345" t="s">
        <v>1742</v>
      </c>
      <c r="L146" s="1346"/>
      <c r="M146" s="1346"/>
      <c r="N146" s="1346"/>
      <c r="O146" s="1347"/>
      <c r="P146" s="388"/>
      <c r="Q146" s="309"/>
      <c r="R146" s="461" t="str">
        <f>IF(NOT(AND(ISBLANK(E136),ISBLANK(E137),ISBLANK(E138),ISBLANK(E139),ISBLANK(E140),ISBLANK(I141))),IF(COUNTBLANK(P146:Q146)=2,"Please enter response.",IF(COUNTBLANK(P146:Q146)&lt;&gt;1,"Please VERIFY response.","")),"")</f>
        <v/>
      </c>
    </row>
    <row r="147" spans="1:18" ht="26.25" customHeight="1" x14ac:dyDescent="0.2">
      <c r="A147" s="1342"/>
      <c r="B147" s="1343"/>
      <c r="C147" s="1343"/>
      <c r="D147" s="1343"/>
      <c r="E147" s="1343"/>
      <c r="F147" s="1343"/>
      <c r="G147" s="1343"/>
      <c r="H147" s="1343"/>
      <c r="I147" s="1343"/>
      <c r="J147" s="1344"/>
      <c r="K147" s="1345" t="s">
        <v>1743</v>
      </c>
      <c r="L147" s="1346"/>
      <c r="M147" s="1346"/>
      <c r="N147" s="1346"/>
      <c r="O147" s="1347"/>
      <c r="P147" s="388"/>
      <c r="Q147" s="309"/>
      <c r="R147" s="461" t="str">
        <f>IF(NOT(AND(ISBLANK(E136),ISBLANK(E137),ISBLANK(E138),ISBLANK(E139),ISBLANK(E140),ISBLANK(I141))),IF(COUNTBLANK(P147:Q147)=2,"Please enter response.",IF(COUNTBLANK(P147:Q147)&lt;&gt;1,"Please VERIFY response.","")),"")</f>
        <v/>
      </c>
    </row>
    <row r="148" spans="1:18" ht="26.25" customHeight="1" x14ac:dyDescent="0.2">
      <c r="A148" s="1352" t="s">
        <v>1744</v>
      </c>
      <c r="B148" s="1353"/>
      <c r="C148" s="1353"/>
      <c r="D148" s="1353"/>
      <c r="E148" s="1353"/>
      <c r="F148" s="1353"/>
      <c r="G148" s="1353"/>
      <c r="H148" s="1353"/>
      <c r="I148" s="1353"/>
      <c r="J148" s="1353"/>
      <c r="K148" s="1353"/>
      <c r="L148" s="1353"/>
      <c r="M148" s="1353"/>
      <c r="N148" s="1353"/>
      <c r="O148" s="1353"/>
      <c r="P148" s="1353"/>
      <c r="Q148" s="1354"/>
      <c r="R148" s="310"/>
    </row>
    <row r="149" spans="1:18" ht="26.25" customHeight="1" x14ac:dyDescent="0.2">
      <c r="A149" s="1355" t="s">
        <v>1745</v>
      </c>
      <c r="B149" s="1356"/>
      <c r="C149" s="1356"/>
      <c r="D149" s="1356"/>
      <c r="E149" s="1356" t="s">
        <v>1746</v>
      </c>
      <c r="F149" s="1356"/>
      <c r="G149" s="1356"/>
      <c r="H149" s="1356"/>
      <c r="I149" s="1356" t="s">
        <v>1747</v>
      </c>
      <c r="J149" s="1356"/>
      <c r="K149" s="1356"/>
      <c r="L149" s="1356"/>
      <c r="M149" s="1357" t="s">
        <v>1748</v>
      </c>
      <c r="N149" s="1356"/>
      <c r="O149" s="1356"/>
      <c r="P149" s="1356"/>
      <c r="Q149" s="1358"/>
      <c r="R149" s="311"/>
    </row>
    <row r="150" spans="1:18" ht="26.25" customHeight="1" thickBot="1" x14ac:dyDescent="0.25">
      <c r="A150" s="1359"/>
      <c r="B150" s="1360"/>
      <c r="C150" s="1360"/>
      <c r="D150" s="1360"/>
      <c r="E150" s="1361"/>
      <c r="F150" s="1362"/>
      <c r="G150" s="1362"/>
      <c r="H150" s="1363"/>
      <c r="I150" s="1361"/>
      <c r="J150" s="1362"/>
      <c r="K150" s="1362"/>
      <c r="L150" s="1363"/>
      <c r="M150" s="1364"/>
      <c r="N150" s="1364"/>
      <c r="O150" s="1364"/>
      <c r="P150" s="1364"/>
      <c r="Q150" s="1365"/>
      <c r="R150" s="310"/>
    </row>
    <row r="151" spans="1:18" ht="26.25" customHeight="1" x14ac:dyDescent="0.2">
      <c r="A151" s="1366" t="s">
        <v>1749</v>
      </c>
      <c r="B151" s="1367"/>
      <c r="C151" s="1367"/>
      <c r="D151" s="1367"/>
      <c r="E151" s="1367"/>
      <c r="F151" s="1367"/>
      <c r="G151" s="1367"/>
      <c r="H151" s="1367"/>
      <c r="I151" s="1367"/>
      <c r="J151" s="1367"/>
      <c r="K151" s="1367"/>
      <c r="L151" s="1367"/>
      <c r="M151" s="1367"/>
      <c r="N151" s="1367"/>
      <c r="O151" s="1367"/>
      <c r="P151" s="1367"/>
      <c r="Q151" s="1368"/>
      <c r="R151" s="390"/>
    </row>
    <row r="152" spans="1:18" ht="26.25" customHeight="1" x14ac:dyDescent="0.2">
      <c r="A152" s="1369" t="s">
        <v>1750</v>
      </c>
      <c r="B152" s="1370"/>
      <c r="C152" s="1370"/>
      <c r="D152" s="1370"/>
      <c r="E152" s="1370"/>
      <c r="F152" s="1370"/>
      <c r="G152" s="1370"/>
      <c r="H152" s="1370"/>
      <c r="I152" s="1370"/>
      <c r="J152" s="1370"/>
      <c r="K152" s="1370"/>
      <c r="L152" s="1371"/>
      <c r="M152" s="1372"/>
      <c r="N152" s="1373"/>
      <c r="O152" s="1373"/>
      <c r="P152" s="1373"/>
      <c r="Q152" s="1374"/>
      <c r="R152" s="390"/>
    </row>
    <row r="153" spans="1:18" ht="26.25" customHeight="1" x14ac:dyDescent="0.2">
      <c r="A153" s="1369" t="s">
        <v>1751</v>
      </c>
      <c r="B153" s="1375"/>
      <c r="C153" s="1375"/>
      <c r="D153" s="1375"/>
      <c r="E153" s="1375"/>
      <c r="F153" s="1375"/>
      <c r="G153" s="1375"/>
      <c r="H153" s="1375"/>
      <c r="I153" s="1375"/>
      <c r="J153" s="1375"/>
      <c r="K153" s="1375"/>
      <c r="L153" s="1375"/>
      <c r="M153" s="1376"/>
      <c r="N153" s="1377"/>
      <c r="O153" s="1377"/>
      <c r="P153" s="1377"/>
      <c r="Q153" s="1378"/>
      <c r="R153" s="390"/>
    </row>
    <row r="154" spans="1:18" ht="26.25" customHeight="1" x14ac:dyDescent="0.2">
      <c r="A154" s="1369" t="s">
        <v>1752</v>
      </c>
      <c r="B154" s="1375"/>
      <c r="C154" s="1375"/>
      <c r="D154" s="1375"/>
      <c r="E154" s="1375"/>
      <c r="F154" s="1375"/>
      <c r="G154" s="1375"/>
      <c r="H154" s="1375"/>
      <c r="I154" s="1375"/>
      <c r="J154" s="1375"/>
      <c r="K154" s="1375"/>
      <c r="L154" s="1375"/>
      <c r="M154" s="1376"/>
      <c r="N154" s="1377"/>
      <c r="O154" s="1377"/>
      <c r="P154" s="1377"/>
      <c r="Q154" s="1378"/>
      <c r="R154" s="390"/>
    </row>
    <row r="155" spans="1:18" ht="26.25" customHeight="1" x14ac:dyDescent="0.2">
      <c r="A155" s="1379" t="s">
        <v>1753</v>
      </c>
      <c r="B155" s="1380"/>
      <c r="C155" s="1380"/>
      <c r="D155" s="1380"/>
      <c r="E155" s="1380"/>
      <c r="F155" s="1380"/>
      <c r="G155" s="1380"/>
      <c r="H155" s="1380"/>
      <c r="I155" s="1380"/>
      <c r="J155" s="1380"/>
      <c r="K155" s="1380"/>
      <c r="L155" s="1380"/>
      <c r="M155" s="1380"/>
      <c r="N155" s="1380"/>
      <c r="O155" s="1380"/>
      <c r="P155" s="1380"/>
      <c r="Q155" s="1381"/>
      <c r="R155" s="390"/>
    </row>
    <row r="156" spans="1:18" ht="26.25" customHeight="1" x14ac:dyDescent="0.2">
      <c r="A156" s="1382"/>
      <c r="B156" s="1383"/>
      <c r="C156" s="1383"/>
      <c r="D156" s="1383"/>
      <c r="E156" s="1383"/>
      <c r="F156" s="1383"/>
      <c r="G156" s="1383"/>
      <c r="H156" s="1383"/>
      <c r="I156" s="1383"/>
      <c r="J156" s="1383"/>
      <c r="K156" s="1383"/>
      <c r="L156" s="1383"/>
      <c r="M156" s="1383"/>
      <c r="N156" s="1383"/>
      <c r="O156" s="1383"/>
      <c r="P156" s="1383"/>
      <c r="Q156" s="1384"/>
      <c r="R156" s="390"/>
    </row>
    <row r="157" spans="1:18" ht="26.25" customHeight="1" x14ac:dyDescent="0.2">
      <c r="A157" s="1385"/>
      <c r="B157" s="1386"/>
      <c r="C157" s="1386"/>
      <c r="D157" s="1386"/>
      <c r="E157" s="1386"/>
      <c r="F157" s="1386"/>
      <c r="G157" s="1386"/>
      <c r="H157" s="1386"/>
      <c r="I157" s="1386"/>
      <c r="J157" s="1386"/>
      <c r="K157" s="1386"/>
      <c r="L157" s="1386"/>
      <c r="M157" s="1386"/>
      <c r="N157" s="1386"/>
      <c r="O157" s="1386"/>
      <c r="P157" s="1386"/>
      <c r="Q157" s="1387"/>
      <c r="R157" s="390"/>
    </row>
    <row r="158" spans="1:18" ht="26.25" customHeight="1" x14ac:dyDescent="0.2">
      <c r="A158" s="1388" t="s">
        <v>1754</v>
      </c>
      <c r="B158" s="1389"/>
      <c r="C158" s="1389"/>
      <c r="D158" s="1389"/>
      <c r="E158" s="1389"/>
      <c r="F158" s="1389"/>
      <c r="G158" s="1389"/>
      <c r="H158" s="1389"/>
      <c r="I158" s="1389"/>
      <c r="J158" s="1389"/>
      <c r="K158" s="1389"/>
      <c r="L158" s="1389"/>
      <c r="M158" s="1389"/>
      <c r="N158" s="1389"/>
      <c r="O158" s="1389"/>
      <c r="P158" s="1389"/>
      <c r="Q158" s="1390"/>
      <c r="R158" s="390"/>
    </row>
    <row r="159" spans="1:18" ht="26.25" customHeight="1" x14ac:dyDescent="0.2">
      <c r="A159" s="1382"/>
      <c r="B159" s="1391"/>
      <c r="C159" s="1391"/>
      <c r="D159" s="1391"/>
      <c r="E159" s="1391"/>
      <c r="F159" s="1391"/>
      <c r="G159" s="1391"/>
      <c r="H159" s="1391"/>
      <c r="I159" s="1391"/>
      <c r="J159" s="1391"/>
      <c r="K159" s="1391"/>
      <c r="L159" s="1391"/>
      <c r="M159" s="1391"/>
      <c r="N159" s="1391"/>
      <c r="O159" s="1391"/>
      <c r="P159" s="1391"/>
      <c r="Q159" s="1392"/>
      <c r="R159" s="390"/>
    </row>
    <row r="160" spans="1:18" ht="26.25" customHeight="1" thickBot="1" x14ac:dyDescent="0.25">
      <c r="A160" s="1393"/>
      <c r="B160" s="1394"/>
      <c r="C160" s="1394"/>
      <c r="D160" s="1394"/>
      <c r="E160" s="1394"/>
      <c r="F160" s="1394"/>
      <c r="G160" s="1394"/>
      <c r="H160" s="1394"/>
      <c r="I160" s="1394"/>
      <c r="J160" s="1394"/>
      <c r="K160" s="1394"/>
      <c r="L160" s="1394"/>
      <c r="M160" s="1394"/>
      <c r="N160" s="1394"/>
      <c r="O160" s="1394"/>
      <c r="P160" s="1394"/>
      <c r="Q160" s="1395"/>
      <c r="R160" s="389"/>
    </row>
    <row r="161" spans="1:18" ht="26.25" customHeight="1" x14ac:dyDescent="0.2">
      <c r="A161" s="1396" t="s">
        <v>1755</v>
      </c>
      <c r="B161" s="1397"/>
      <c r="C161" s="1397"/>
      <c r="D161" s="1397"/>
      <c r="E161" s="1397"/>
      <c r="F161" s="1397"/>
      <c r="G161" s="1397"/>
      <c r="H161" s="1397"/>
      <c r="I161" s="1397"/>
      <c r="J161" s="1397"/>
      <c r="K161" s="1397"/>
      <c r="L161" s="1397"/>
      <c r="M161" s="1397"/>
      <c r="N161" s="1397"/>
      <c r="O161" s="1397"/>
      <c r="P161" s="1397"/>
      <c r="Q161" s="1398"/>
      <c r="R161" s="390"/>
    </row>
    <row r="162" spans="1:18" ht="26.25" customHeight="1" x14ac:dyDescent="0.2">
      <c r="A162" s="1399" t="s">
        <v>1756</v>
      </c>
      <c r="B162" s="1400"/>
      <c r="C162" s="1400"/>
      <c r="D162" s="1400"/>
      <c r="E162" s="1400"/>
      <c r="F162" s="1400"/>
      <c r="G162" s="1400"/>
      <c r="H162" s="1400"/>
      <c r="I162" s="1400"/>
      <c r="J162" s="1400"/>
      <c r="K162" s="1400"/>
      <c r="L162" s="1401"/>
      <c r="M162" s="1372"/>
      <c r="N162" s="1373"/>
      <c r="O162" s="1373"/>
      <c r="P162" s="1373"/>
      <c r="Q162" s="1374"/>
      <c r="R162" s="389"/>
    </row>
    <row r="163" spans="1:18" ht="26.25" customHeight="1" x14ac:dyDescent="0.2">
      <c r="A163" s="1369" t="s">
        <v>1757</v>
      </c>
      <c r="B163" s="1370"/>
      <c r="C163" s="1370"/>
      <c r="D163" s="1370"/>
      <c r="E163" s="1370"/>
      <c r="F163" s="1370"/>
      <c r="G163" s="1370"/>
      <c r="H163" s="1370"/>
      <c r="I163" s="1370"/>
      <c r="J163" s="1370"/>
      <c r="K163" s="1370"/>
      <c r="L163" s="1371"/>
      <c r="M163" s="1376"/>
      <c r="N163" s="1377"/>
      <c r="O163" s="1377"/>
      <c r="P163" s="1377"/>
      <c r="Q163" s="1378"/>
      <c r="R163" s="389"/>
    </row>
    <row r="164" spans="1:18" ht="26.25" customHeight="1" x14ac:dyDescent="0.2">
      <c r="A164" s="1402" t="s">
        <v>1758</v>
      </c>
      <c r="B164" s="1403"/>
      <c r="C164" s="1403"/>
      <c r="D164" s="1403"/>
      <c r="E164" s="1403"/>
      <c r="F164" s="1403"/>
      <c r="G164" s="1403"/>
      <c r="H164" s="1403"/>
      <c r="I164" s="1403"/>
      <c r="J164" s="1403"/>
      <c r="K164" s="1403"/>
      <c r="L164" s="1403"/>
      <c r="M164" s="1403"/>
      <c r="N164" s="1403"/>
      <c r="O164" s="1403"/>
      <c r="P164" s="1403"/>
      <c r="Q164" s="1404"/>
      <c r="R164" s="389"/>
    </row>
    <row r="165" spans="1:18" ht="26.25" customHeight="1" x14ac:dyDescent="0.2">
      <c r="A165" s="1382"/>
      <c r="B165" s="1383"/>
      <c r="C165" s="1383"/>
      <c r="D165" s="1383"/>
      <c r="E165" s="1383"/>
      <c r="F165" s="1383"/>
      <c r="G165" s="1383"/>
      <c r="H165" s="1383"/>
      <c r="I165" s="1383"/>
      <c r="J165" s="1383"/>
      <c r="K165" s="1383"/>
      <c r="L165" s="1383"/>
      <c r="M165" s="1383"/>
      <c r="N165" s="1383"/>
      <c r="O165" s="1383"/>
      <c r="P165" s="1383"/>
      <c r="Q165" s="1405"/>
      <c r="R165" s="389"/>
    </row>
    <row r="166" spans="1:18" ht="26.25" customHeight="1" x14ac:dyDescent="0.2">
      <c r="A166" s="1406"/>
      <c r="B166" s="1407"/>
      <c r="C166" s="1407"/>
      <c r="D166" s="1407"/>
      <c r="E166" s="1407"/>
      <c r="F166" s="1407"/>
      <c r="G166" s="1407"/>
      <c r="H166" s="1407"/>
      <c r="I166" s="1407"/>
      <c r="J166" s="1407"/>
      <c r="K166" s="1407"/>
      <c r="L166" s="1407"/>
      <c r="M166" s="1407"/>
      <c r="N166" s="1407"/>
      <c r="O166" s="1407"/>
      <c r="P166" s="1407"/>
      <c r="Q166" s="1408"/>
      <c r="R166" s="389"/>
    </row>
    <row r="167" spans="1:18" ht="26.25" customHeight="1" x14ac:dyDescent="0.2">
      <c r="A167" s="1409" t="s">
        <v>1759</v>
      </c>
      <c r="B167" s="1410"/>
      <c r="C167" s="1410"/>
      <c r="D167" s="1410"/>
      <c r="E167" s="1410"/>
      <c r="F167" s="1410"/>
      <c r="G167" s="1410"/>
      <c r="H167" s="1410"/>
      <c r="I167" s="1410"/>
      <c r="J167" s="1410"/>
      <c r="K167" s="1410"/>
      <c r="L167" s="1410"/>
      <c r="M167" s="1410"/>
      <c r="N167" s="1410"/>
      <c r="O167" s="1410"/>
      <c r="P167" s="1410"/>
      <c r="Q167" s="1411"/>
      <c r="R167" s="389"/>
    </row>
    <row r="168" spans="1:18" ht="26.25" customHeight="1" x14ac:dyDescent="0.2">
      <c r="A168" s="1382"/>
      <c r="B168" s="1383"/>
      <c r="C168" s="1383"/>
      <c r="D168" s="1383"/>
      <c r="E168" s="1383"/>
      <c r="F168" s="1383"/>
      <c r="G168" s="1383"/>
      <c r="H168" s="1383"/>
      <c r="I168" s="1383"/>
      <c r="J168" s="1383"/>
      <c r="K168" s="1383"/>
      <c r="L168" s="1383"/>
      <c r="M168" s="1383"/>
      <c r="N168" s="1383"/>
      <c r="O168" s="1383"/>
      <c r="P168" s="1383"/>
      <c r="Q168" s="1384"/>
      <c r="R168" s="389"/>
    </row>
    <row r="169" spans="1:18" ht="26.25" customHeight="1" thickBot="1" x14ac:dyDescent="0.25">
      <c r="A169" s="1412"/>
      <c r="B169" s="1413"/>
      <c r="C169" s="1413"/>
      <c r="D169" s="1413"/>
      <c r="E169" s="1413"/>
      <c r="F169" s="1413"/>
      <c r="G169" s="1413"/>
      <c r="H169" s="1413"/>
      <c r="I169" s="1413"/>
      <c r="J169" s="1413"/>
      <c r="K169" s="1413"/>
      <c r="L169" s="1413"/>
      <c r="M169" s="1413"/>
      <c r="N169" s="1413"/>
      <c r="O169" s="1413"/>
      <c r="P169" s="1413"/>
      <c r="Q169" s="1414"/>
      <c r="R169" s="389"/>
    </row>
    <row r="170" spans="1:18" ht="26.25" customHeight="1" x14ac:dyDescent="0.2">
      <c r="A170" s="1332" t="s">
        <v>1760</v>
      </c>
      <c r="B170" s="1333"/>
      <c r="C170" s="1333"/>
      <c r="D170" s="1333"/>
      <c r="E170" s="1333"/>
      <c r="F170" s="1333"/>
      <c r="G170" s="1333"/>
      <c r="H170" s="1333"/>
      <c r="I170" s="1333"/>
      <c r="J170" s="1333"/>
      <c r="K170" s="1333"/>
      <c r="L170" s="1333"/>
      <c r="M170" s="1333"/>
      <c r="N170" s="1333"/>
      <c r="O170" s="1333"/>
      <c r="P170" s="1333"/>
      <c r="Q170" s="1415"/>
    </row>
    <row r="171" spans="1:18" ht="26.25" customHeight="1" x14ac:dyDescent="0.2">
      <c r="A171" s="1416"/>
      <c r="B171" s="1383"/>
      <c r="C171" s="1383"/>
      <c r="D171" s="1383"/>
      <c r="E171" s="1383"/>
      <c r="F171" s="1383"/>
      <c r="G171" s="1383"/>
      <c r="H171" s="1383"/>
      <c r="I171" s="1383"/>
      <c r="J171" s="1383"/>
      <c r="K171" s="1383"/>
      <c r="L171" s="1383"/>
      <c r="M171" s="1383"/>
      <c r="N171" s="1383"/>
      <c r="O171" s="1383"/>
      <c r="P171" s="1383"/>
      <c r="Q171" s="1405"/>
    </row>
    <row r="172" spans="1:18" ht="26.25" customHeight="1" thickBot="1" x14ac:dyDescent="0.25">
      <c r="A172" s="1412"/>
      <c r="B172" s="1413"/>
      <c r="C172" s="1413"/>
      <c r="D172" s="1413"/>
      <c r="E172" s="1413"/>
      <c r="F172" s="1413"/>
      <c r="G172" s="1413"/>
      <c r="H172" s="1413"/>
      <c r="I172" s="1413"/>
      <c r="J172" s="1413"/>
      <c r="K172" s="1413"/>
      <c r="L172" s="1413"/>
      <c r="M172" s="1413"/>
      <c r="N172" s="1413"/>
      <c r="O172" s="1413"/>
      <c r="P172" s="1413"/>
      <c r="Q172" s="1414"/>
      <c r="R172" s="315"/>
    </row>
    <row r="173" spans="1:18" ht="26.25" customHeight="1" x14ac:dyDescent="0.2">
      <c r="A173" s="1396" t="s">
        <v>1761</v>
      </c>
      <c r="B173" s="1397"/>
      <c r="C173" s="1397"/>
      <c r="D173" s="1397"/>
      <c r="E173" s="1397"/>
      <c r="F173" s="1397"/>
      <c r="G173" s="1397"/>
      <c r="H173" s="1397"/>
      <c r="I173" s="1397"/>
      <c r="J173" s="1397"/>
      <c r="K173" s="1397"/>
      <c r="L173" s="1397"/>
      <c r="M173" s="1397"/>
      <c r="N173" s="1397"/>
      <c r="O173" s="1397"/>
      <c r="P173" s="1397"/>
      <c r="Q173" s="1398"/>
      <c r="R173" s="316"/>
    </row>
    <row r="174" spans="1:18" ht="26.25" customHeight="1" x14ac:dyDescent="0.2">
      <c r="A174" s="1351"/>
      <c r="B174" s="1340"/>
      <c r="C174" s="1340"/>
      <c r="D174" s="1340"/>
      <c r="E174" s="1340"/>
      <c r="F174" s="1340"/>
      <c r="G174" s="1340"/>
      <c r="H174" s="1340"/>
      <c r="I174" s="1340"/>
      <c r="J174" s="1340"/>
      <c r="K174" s="1340"/>
      <c r="L174" s="1340"/>
      <c r="M174" s="1340"/>
      <c r="N174" s="1340"/>
      <c r="O174" s="1340"/>
      <c r="P174" s="1340"/>
      <c r="Q174" s="1417"/>
      <c r="R174" s="22"/>
    </row>
    <row r="175" spans="1:18" ht="26.25" customHeight="1" thickBot="1" x14ac:dyDescent="0.25">
      <c r="A175" s="1393"/>
      <c r="B175" s="1394"/>
      <c r="C175" s="1394"/>
      <c r="D175" s="1394"/>
      <c r="E175" s="1394"/>
      <c r="F175" s="1394"/>
      <c r="G175" s="1394"/>
      <c r="H175" s="1394"/>
      <c r="I175" s="1394"/>
      <c r="J175" s="1394"/>
      <c r="K175" s="1394"/>
      <c r="L175" s="1394"/>
      <c r="M175" s="1394"/>
      <c r="N175" s="1394"/>
      <c r="O175" s="1394"/>
      <c r="P175" s="1394"/>
      <c r="Q175" s="1395"/>
      <c r="R175" s="22"/>
    </row>
    <row r="176" spans="1:18" ht="26.25" customHeight="1" x14ac:dyDescent="0.2">
      <c r="A176" s="409" t="str">
        <f>$A$1</f>
        <v xml:space="preserve"> </v>
      </c>
      <c r="B176" s="314"/>
      <c r="C176" s="314"/>
      <c r="D176" s="314"/>
      <c r="E176" s="314"/>
      <c r="F176" s="314"/>
      <c r="G176" s="314"/>
      <c r="H176" s="314"/>
      <c r="I176" s="314"/>
      <c r="J176" s="314"/>
      <c r="K176" s="314"/>
      <c r="L176" s="314"/>
      <c r="M176" s="314"/>
      <c r="N176" s="314"/>
      <c r="O176" s="314"/>
      <c r="P176" s="314"/>
      <c r="Q176" s="314"/>
      <c r="R176" s="313"/>
    </row>
    <row r="177" spans="1:19" ht="26.25" customHeight="1" x14ac:dyDescent="0.2">
      <c r="A177" s="1290" t="s">
        <v>1384</v>
      </c>
      <c r="B177" s="1291"/>
      <c r="C177" s="1291"/>
      <c r="D177" s="1291"/>
      <c r="E177" s="1291"/>
      <c r="F177" s="1291"/>
      <c r="G177" s="1291"/>
      <c r="H177" s="1291"/>
      <c r="I177" s="1291"/>
      <c r="J177" s="1291"/>
      <c r="K177" s="1291"/>
      <c r="L177" s="1291"/>
      <c r="M177" s="1291"/>
      <c r="N177" s="1419" t="s">
        <v>2844</v>
      </c>
      <c r="O177" s="1419"/>
      <c r="P177" s="1419"/>
      <c r="Q177" s="1420"/>
      <c r="R177" s="392"/>
    </row>
    <row r="178" spans="1:19" ht="26.25" customHeight="1" x14ac:dyDescent="0.2">
      <c r="A178" s="1294" t="str">
        <f>IF(ISBLANK(Cap_Expend_Name),"The Capital Expenditure Contact information has NOT been provided.  Click here to go to Capital Expenditure Contact Section to fill in this information now.","")</f>
        <v/>
      </c>
      <c r="B178" s="1295"/>
      <c r="C178" s="1295"/>
      <c r="D178" s="1295"/>
      <c r="E178" s="1295"/>
      <c r="F178" s="1295"/>
      <c r="G178" s="1295"/>
      <c r="H178" s="1295"/>
      <c r="I178" s="1295"/>
      <c r="J178" s="1295"/>
      <c r="K178" s="1295"/>
      <c r="L178" s="1295"/>
      <c r="M178" s="1295"/>
      <c r="N178" s="407" t="s">
        <v>1727</v>
      </c>
      <c r="O178" s="408"/>
      <c r="P178" s="1296"/>
      <c r="Q178" s="1297"/>
      <c r="R178" s="2"/>
    </row>
    <row r="179" spans="1:19" ht="26.25" customHeight="1" thickBot="1" x14ac:dyDescent="0.25">
      <c r="A179" s="1298" t="s">
        <v>1338</v>
      </c>
      <c r="B179" s="1299"/>
      <c r="C179" s="1299"/>
      <c r="D179" s="1299"/>
      <c r="E179" s="1300"/>
      <c r="F179" s="1301"/>
      <c r="G179" s="1301"/>
      <c r="H179" s="1301"/>
      <c r="I179" s="1301"/>
      <c r="J179" s="1301"/>
      <c r="K179" s="1301"/>
      <c r="L179" s="1302"/>
      <c r="M179" s="295"/>
      <c r="N179" s="1303" t="s">
        <v>1728</v>
      </c>
      <c r="O179" s="1304"/>
      <c r="P179" s="1304"/>
      <c r="Q179" s="1305"/>
      <c r="R179" s="2"/>
    </row>
    <row r="180" spans="1:19" ht="26.25" customHeight="1" x14ac:dyDescent="0.2">
      <c r="A180" s="1306" t="s">
        <v>1729</v>
      </c>
      <c r="B180" s="1307"/>
      <c r="C180" s="1307"/>
      <c r="D180" s="1308"/>
      <c r="E180" s="1320"/>
      <c r="F180" s="1310"/>
      <c r="G180" s="1310"/>
      <c r="H180" s="1310"/>
      <c r="I180" s="1310"/>
      <c r="J180" s="1310"/>
      <c r="K180" s="1310"/>
      <c r="L180" s="1311"/>
      <c r="M180" s="1312" t="str">
        <f>IF(AND(ISBLANK(E180),OR(NOT(ISBLANK(E181)),NOT(ISBLANK(E182)),NOT(ISBLANK(E183)),NOT(ISBLANK(I184)),NOT(ISBLANK(E179)))),"This information is required.","")</f>
        <v/>
      </c>
      <c r="N180" s="1313"/>
      <c r="O180" s="1313"/>
      <c r="P180" s="1313"/>
      <c r="Q180" s="296"/>
      <c r="R180" s="2"/>
    </row>
    <row r="181" spans="1:19" ht="26.25" customHeight="1" x14ac:dyDescent="0.2">
      <c r="A181" s="1314" t="s">
        <v>1730</v>
      </c>
      <c r="B181" s="1315"/>
      <c r="C181" s="1315"/>
      <c r="D181" s="1316"/>
      <c r="E181" s="1320"/>
      <c r="F181" s="1310"/>
      <c r="G181" s="1310"/>
      <c r="H181" s="1310"/>
      <c r="I181" s="1310"/>
      <c r="J181" s="1310"/>
      <c r="K181" s="1310"/>
      <c r="L181" s="1311"/>
      <c r="M181" s="1312" t="str">
        <f>IF(AND(ISBLANK(E181),OR(NOT(ISBLANK(E180)),NOT(ISBLANK(E182)),NOT(ISBLANK(E183)),NOT(ISBLANK(I184)),NOT(ISBLANK(E179)))),"This information is required.","")</f>
        <v/>
      </c>
      <c r="N181" s="1313"/>
      <c r="O181" s="1313"/>
      <c r="P181" s="1313"/>
      <c r="Q181" s="296"/>
      <c r="R181" s="2"/>
    </row>
    <row r="182" spans="1:19" ht="26.25" customHeight="1" x14ac:dyDescent="0.2">
      <c r="A182" s="1317" t="s">
        <v>1731</v>
      </c>
      <c r="B182" s="1318"/>
      <c r="C182" s="1318"/>
      <c r="D182" s="1319"/>
      <c r="E182" s="1320"/>
      <c r="F182" s="1310"/>
      <c r="G182" s="1321" t="s">
        <v>1732</v>
      </c>
      <c r="H182" s="1321"/>
      <c r="I182" s="1321"/>
      <c r="J182" s="1321"/>
      <c r="K182" s="1321"/>
      <c r="L182" s="1321"/>
      <c r="M182" s="615" t="str">
        <f>IF(AND(ISBLANK(E182),OR(NOT(ISBLANK(E180)),NOT(ISBLANK(E181)),NOT(ISBLANK(E183)),NOT(ISBLANK(I184)),NOT(ISBLANK(E179)))),"This information is required.","")</f>
        <v/>
      </c>
      <c r="N182" s="616"/>
      <c r="O182" s="616"/>
      <c r="P182" s="616"/>
      <c r="Q182" s="297"/>
      <c r="R182" s="298"/>
    </row>
    <row r="183" spans="1:19" ht="26.25" customHeight="1" x14ac:dyDescent="0.2">
      <c r="A183" s="1314" t="s">
        <v>1733</v>
      </c>
      <c r="B183" s="1315"/>
      <c r="C183" s="1315"/>
      <c r="D183" s="1316"/>
      <c r="E183" s="1322"/>
      <c r="F183" s="1323"/>
      <c r="G183" s="299"/>
      <c r="H183" s="300"/>
      <c r="I183" s="301"/>
      <c r="J183" s="298"/>
      <c r="K183" s="298"/>
      <c r="L183" s="298"/>
      <c r="M183" s="616" t="str">
        <f>IF(AND(ISBLANK(E183),OR(NOT(ISBLANK(E180)),NOT(ISBLANK(E181)),NOT(ISBLANK(E182)),NOT(ISBLANK(I184)),NOT(ISBLANK(E179)))),"This information is required.","")</f>
        <v/>
      </c>
      <c r="N183" s="616"/>
      <c r="O183" s="616"/>
      <c r="P183" s="616"/>
      <c r="Q183" s="297"/>
      <c r="R183" s="5"/>
      <c r="S183" s="267">
        <f>IF(ISBLANK(E183),0,1)</f>
        <v>0</v>
      </c>
    </row>
    <row r="184" spans="1:19" ht="26.25" customHeight="1" thickBot="1" x14ac:dyDescent="0.25">
      <c r="A184" s="1324" t="s">
        <v>1734</v>
      </c>
      <c r="B184" s="1325"/>
      <c r="C184" s="1325"/>
      <c r="D184" s="1325"/>
      <c r="E184" s="1326"/>
      <c r="F184" s="1326"/>
      <c r="G184" s="1326"/>
      <c r="H184" s="1326"/>
      <c r="I184" s="1327"/>
      <c r="J184" s="1328"/>
      <c r="K184" s="1329" t="s">
        <v>1735</v>
      </c>
      <c r="L184" s="1330"/>
      <c r="M184" s="1331" t="str">
        <f>IF(AND(ISBLANK(I184),OR(NOT(ISBLANK(E180)),NOT(ISBLANK(E181)),NOT(ISBLANK(E182)),NOT(ISBLANK(E183)),NOT(ISBLANK(E179)))),"This information is required!","")</f>
        <v/>
      </c>
      <c r="N184" s="1331"/>
      <c r="O184" s="1331"/>
      <c r="P184" s="1331"/>
      <c r="Q184" s="302"/>
      <c r="R184" s="5"/>
    </row>
    <row r="185" spans="1:19" ht="26.25" customHeight="1" x14ac:dyDescent="0.2">
      <c r="A185" s="1332" t="s">
        <v>1736</v>
      </c>
      <c r="B185" s="1333"/>
      <c r="C185" s="1333"/>
      <c r="D185" s="1333"/>
      <c r="E185" s="1333"/>
      <c r="F185" s="1333"/>
      <c r="G185" s="1333"/>
      <c r="H185" s="1333"/>
      <c r="I185" s="1333"/>
      <c r="J185" s="1334"/>
      <c r="K185" s="1335" t="s">
        <v>1737</v>
      </c>
      <c r="L185" s="1335"/>
      <c r="M185" s="1335"/>
      <c r="N185" s="1335"/>
      <c r="O185" s="1337" t="s">
        <v>1738</v>
      </c>
      <c r="P185" s="1337"/>
      <c r="Q185" s="1338"/>
      <c r="R185" s="463" t="str">
        <f>IF(AND(ISBLANK(A186),OR(NOT(ISBLANK(I184)),NOT(ISBLANK(E183)),NOT(ISBLANK(E182)),NOT(ISBLANK(E181)),NOT(ISBLANK(E180)),NOT(ISBLANK(E179)))),"General Description is required!","")</f>
        <v/>
      </c>
    </row>
    <row r="186" spans="1:19" ht="45" customHeight="1" x14ac:dyDescent="0.2">
      <c r="A186" s="1351"/>
      <c r="B186" s="1340"/>
      <c r="C186" s="1340"/>
      <c r="D186" s="1340"/>
      <c r="E186" s="1340"/>
      <c r="F186" s="1340"/>
      <c r="G186" s="1340"/>
      <c r="H186" s="1340"/>
      <c r="I186" s="1340"/>
      <c r="J186" s="1341"/>
      <c r="K186" s="1336"/>
      <c r="L186" s="1336"/>
      <c r="M186" s="1336"/>
      <c r="N186" s="1336"/>
      <c r="O186" s="305"/>
      <c r="P186" s="306" t="s">
        <v>91</v>
      </c>
      <c r="Q186" s="307" t="s">
        <v>92</v>
      </c>
      <c r="R186" s="393"/>
    </row>
    <row r="187" spans="1:19" ht="26.25" customHeight="1" x14ac:dyDescent="0.2">
      <c r="A187" s="1342"/>
      <c r="B187" s="1343"/>
      <c r="C187" s="1343"/>
      <c r="D187" s="1343"/>
      <c r="E187" s="1343"/>
      <c r="F187" s="1343"/>
      <c r="G187" s="1343"/>
      <c r="H187" s="1343"/>
      <c r="I187" s="1343"/>
      <c r="J187" s="1344"/>
      <c r="K187" s="1345" t="s">
        <v>1739</v>
      </c>
      <c r="L187" s="1346"/>
      <c r="M187" s="1346"/>
      <c r="N187" s="1346"/>
      <c r="O187" s="1347"/>
      <c r="P187" s="388"/>
      <c r="Q187" s="309"/>
      <c r="R187" s="461" t="str">
        <f>IF(NOT(AND(ISBLANK(E179),ISBLANK(E180),ISBLANK(E181),ISBLANK(E182),ISBLANK(E183),ISBLANK(I184))),IF(COUNTBLANK(P187:Q187)=2,"Please enter response.",IF(COUNTBLANK(P187:Q187)&lt;&gt;1,"Please VERIFY response.","")),"")</f>
        <v/>
      </c>
    </row>
    <row r="188" spans="1:19" ht="26.25" customHeight="1" x14ac:dyDescent="0.2">
      <c r="A188" s="1348" t="s">
        <v>1740</v>
      </c>
      <c r="B188" s="1349"/>
      <c r="C188" s="1349"/>
      <c r="D188" s="1349"/>
      <c r="E188" s="1349"/>
      <c r="F188" s="1349"/>
      <c r="G188" s="1349"/>
      <c r="H188" s="1349"/>
      <c r="I188" s="1349"/>
      <c r="J188" s="1350"/>
      <c r="K188" s="1345" t="s">
        <v>1741</v>
      </c>
      <c r="L188" s="1346"/>
      <c r="M188" s="1346"/>
      <c r="N188" s="1346"/>
      <c r="O188" s="1347"/>
      <c r="P188" s="388"/>
      <c r="Q188" s="309"/>
      <c r="R188" s="461" t="str">
        <f>IF(NOT(AND(ISBLANK(E179),ISBLANK(E180),ISBLANK(E181),ISBLANK(E182),ISBLANK(E183),ISBLANK(I184))),IF(COUNTBLANK(P188:Q188)=2,"Please enter response.",IF(COUNTBLANK(P188:Q188)&lt;&gt;1,"Please VERIFY response.","")),"")</f>
        <v/>
      </c>
    </row>
    <row r="189" spans="1:19" ht="26.25" customHeight="1" x14ac:dyDescent="0.2">
      <c r="A189" s="1351"/>
      <c r="B189" s="1340"/>
      <c r="C189" s="1340"/>
      <c r="D189" s="1340"/>
      <c r="E189" s="1340"/>
      <c r="F189" s="1340"/>
      <c r="G189" s="1340"/>
      <c r="H189" s="1340"/>
      <c r="I189" s="1340"/>
      <c r="J189" s="1341"/>
      <c r="K189" s="1345" t="s">
        <v>1742</v>
      </c>
      <c r="L189" s="1346"/>
      <c r="M189" s="1346"/>
      <c r="N189" s="1346"/>
      <c r="O189" s="1347"/>
      <c r="P189" s="388"/>
      <c r="Q189" s="309"/>
      <c r="R189" s="461" t="str">
        <f>IF(NOT(AND(ISBLANK(E179),ISBLANK(E180),ISBLANK(E181),ISBLANK(E182),ISBLANK(E183),ISBLANK(I184))),IF(COUNTBLANK(P189:Q189)=2,"Please enter response.",IF(COUNTBLANK(P189:Q189)&lt;&gt;1,"Please VERIFY response.","")),"")</f>
        <v/>
      </c>
    </row>
    <row r="190" spans="1:19" ht="26.25" customHeight="1" x14ac:dyDescent="0.2">
      <c r="A190" s="1342"/>
      <c r="B190" s="1343"/>
      <c r="C190" s="1343"/>
      <c r="D190" s="1343"/>
      <c r="E190" s="1343"/>
      <c r="F190" s="1343"/>
      <c r="G190" s="1343"/>
      <c r="H190" s="1343"/>
      <c r="I190" s="1343"/>
      <c r="J190" s="1344"/>
      <c r="K190" s="1345" t="s">
        <v>1743</v>
      </c>
      <c r="L190" s="1346"/>
      <c r="M190" s="1346"/>
      <c r="N190" s="1346"/>
      <c r="O190" s="1347"/>
      <c r="P190" s="388"/>
      <c r="Q190" s="309"/>
      <c r="R190" s="461" t="str">
        <f>IF(NOT(AND(ISBLANK(E179),ISBLANK(E180),ISBLANK(E181),ISBLANK(E182),ISBLANK(E183),ISBLANK(I184))),IF(COUNTBLANK(P190:Q190)=2,"Please enter response.",IF(COUNTBLANK(P190:Q190)&lt;&gt;1,"Please VERIFY response.","")),"")</f>
        <v/>
      </c>
    </row>
    <row r="191" spans="1:19" ht="26.25" customHeight="1" x14ac:dyDescent="0.2">
      <c r="A191" s="1352" t="s">
        <v>1744</v>
      </c>
      <c r="B191" s="1353"/>
      <c r="C191" s="1353"/>
      <c r="D191" s="1353"/>
      <c r="E191" s="1353"/>
      <c r="F191" s="1353"/>
      <c r="G191" s="1353"/>
      <c r="H191" s="1353"/>
      <c r="I191" s="1353"/>
      <c r="J191" s="1353"/>
      <c r="K191" s="1353"/>
      <c r="L191" s="1353"/>
      <c r="M191" s="1353"/>
      <c r="N191" s="1353"/>
      <c r="O191" s="1353"/>
      <c r="P191" s="1353"/>
      <c r="Q191" s="1354"/>
      <c r="R191" s="310"/>
    </row>
    <row r="192" spans="1:19" ht="26.25" customHeight="1" x14ac:dyDescent="0.2">
      <c r="A192" s="1355" t="s">
        <v>1745</v>
      </c>
      <c r="B192" s="1356"/>
      <c r="C192" s="1356"/>
      <c r="D192" s="1356"/>
      <c r="E192" s="1356" t="s">
        <v>1746</v>
      </c>
      <c r="F192" s="1356"/>
      <c r="G192" s="1356"/>
      <c r="H192" s="1356"/>
      <c r="I192" s="1356" t="s">
        <v>1747</v>
      </c>
      <c r="J192" s="1356"/>
      <c r="K192" s="1356"/>
      <c r="L192" s="1356"/>
      <c r="M192" s="1357" t="s">
        <v>1748</v>
      </c>
      <c r="N192" s="1356"/>
      <c r="O192" s="1356"/>
      <c r="P192" s="1356"/>
      <c r="Q192" s="1358"/>
      <c r="R192" s="311"/>
    </row>
    <row r="193" spans="1:18" ht="26.25" customHeight="1" thickBot="1" x14ac:dyDescent="0.25">
      <c r="A193" s="1359"/>
      <c r="B193" s="1360"/>
      <c r="C193" s="1360"/>
      <c r="D193" s="1360"/>
      <c r="E193" s="1361"/>
      <c r="F193" s="1362"/>
      <c r="G193" s="1362"/>
      <c r="H193" s="1363"/>
      <c r="I193" s="1361"/>
      <c r="J193" s="1362"/>
      <c r="K193" s="1362"/>
      <c r="L193" s="1363"/>
      <c r="M193" s="1364"/>
      <c r="N193" s="1364"/>
      <c r="O193" s="1364"/>
      <c r="P193" s="1364"/>
      <c r="Q193" s="1365"/>
      <c r="R193" s="310"/>
    </row>
    <row r="194" spans="1:18" ht="26.25" customHeight="1" x14ac:dyDescent="0.2">
      <c r="A194" s="1366" t="s">
        <v>1749</v>
      </c>
      <c r="B194" s="1367"/>
      <c r="C194" s="1367"/>
      <c r="D194" s="1367"/>
      <c r="E194" s="1367"/>
      <c r="F194" s="1367"/>
      <c r="G194" s="1367"/>
      <c r="H194" s="1367"/>
      <c r="I194" s="1367"/>
      <c r="J194" s="1367"/>
      <c r="K194" s="1367"/>
      <c r="L194" s="1367"/>
      <c r="M194" s="1367"/>
      <c r="N194" s="1367"/>
      <c r="O194" s="1367"/>
      <c r="P194" s="1367"/>
      <c r="Q194" s="1368"/>
      <c r="R194" s="390"/>
    </row>
    <row r="195" spans="1:18" ht="26.25" customHeight="1" x14ac:dyDescent="0.2">
      <c r="A195" s="1369" t="s">
        <v>1750</v>
      </c>
      <c r="B195" s="1370"/>
      <c r="C195" s="1370"/>
      <c r="D195" s="1370"/>
      <c r="E195" s="1370"/>
      <c r="F195" s="1370"/>
      <c r="G195" s="1370"/>
      <c r="H195" s="1370"/>
      <c r="I195" s="1370"/>
      <c r="J195" s="1370"/>
      <c r="K195" s="1370"/>
      <c r="L195" s="1371"/>
      <c r="M195" s="1372"/>
      <c r="N195" s="1373"/>
      <c r="O195" s="1373"/>
      <c r="P195" s="1373"/>
      <c r="Q195" s="1374"/>
      <c r="R195" s="390"/>
    </row>
    <row r="196" spans="1:18" ht="26.25" customHeight="1" x14ac:dyDescent="0.2">
      <c r="A196" s="1369" t="s">
        <v>1751</v>
      </c>
      <c r="B196" s="1375"/>
      <c r="C196" s="1375"/>
      <c r="D196" s="1375"/>
      <c r="E196" s="1375"/>
      <c r="F196" s="1375"/>
      <c r="G196" s="1375"/>
      <c r="H196" s="1375"/>
      <c r="I196" s="1375"/>
      <c r="J196" s="1375"/>
      <c r="K196" s="1375"/>
      <c r="L196" s="1375"/>
      <c r="M196" s="1376"/>
      <c r="N196" s="1377"/>
      <c r="O196" s="1377"/>
      <c r="P196" s="1377"/>
      <c r="Q196" s="1378"/>
      <c r="R196" s="390"/>
    </row>
    <row r="197" spans="1:18" ht="26.25" customHeight="1" x14ac:dyDescent="0.2">
      <c r="A197" s="1369" t="s">
        <v>1752</v>
      </c>
      <c r="B197" s="1375"/>
      <c r="C197" s="1375"/>
      <c r="D197" s="1375"/>
      <c r="E197" s="1375"/>
      <c r="F197" s="1375"/>
      <c r="G197" s="1375"/>
      <c r="H197" s="1375"/>
      <c r="I197" s="1375"/>
      <c r="J197" s="1375"/>
      <c r="K197" s="1375"/>
      <c r="L197" s="1375"/>
      <c r="M197" s="1376"/>
      <c r="N197" s="1377"/>
      <c r="O197" s="1377"/>
      <c r="P197" s="1377"/>
      <c r="Q197" s="1378"/>
      <c r="R197" s="390"/>
    </row>
    <row r="198" spans="1:18" ht="26.25" customHeight="1" x14ac:dyDescent="0.2">
      <c r="A198" s="1379" t="s">
        <v>1753</v>
      </c>
      <c r="B198" s="1380"/>
      <c r="C198" s="1380"/>
      <c r="D198" s="1380"/>
      <c r="E198" s="1380"/>
      <c r="F198" s="1380"/>
      <c r="G198" s="1380"/>
      <c r="H198" s="1380"/>
      <c r="I198" s="1380"/>
      <c r="J198" s="1380"/>
      <c r="K198" s="1380"/>
      <c r="L198" s="1380"/>
      <c r="M198" s="1380"/>
      <c r="N198" s="1380"/>
      <c r="O198" s="1380"/>
      <c r="P198" s="1380"/>
      <c r="Q198" s="1381"/>
      <c r="R198" s="390"/>
    </row>
    <row r="199" spans="1:18" ht="26.25" customHeight="1" x14ac:dyDescent="0.2">
      <c r="A199" s="1382"/>
      <c r="B199" s="1383"/>
      <c r="C199" s="1383"/>
      <c r="D199" s="1383"/>
      <c r="E199" s="1383"/>
      <c r="F199" s="1383"/>
      <c r="G199" s="1383"/>
      <c r="H199" s="1383"/>
      <c r="I199" s="1383"/>
      <c r="J199" s="1383"/>
      <c r="K199" s="1383"/>
      <c r="L199" s="1383"/>
      <c r="M199" s="1383"/>
      <c r="N199" s="1383"/>
      <c r="O199" s="1383"/>
      <c r="P199" s="1383"/>
      <c r="Q199" s="1384"/>
      <c r="R199" s="390"/>
    </row>
    <row r="200" spans="1:18" ht="26.25" customHeight="1" x14ac:dyDescent="0.2">
      <c r="A200" s="1385"/>
      <c r="B200" s="1386"/>
      <c r="C200" s="1386"/>
      <c r="D200" s="1386"/>
      <c r="E200" s="1386"/>
      <c r="F200" s="1386"/>
      <c r="G200" s="1386"/>
      <c r="H200" s="1386"/>
      <c r="I200" s="1386"/>
      <c r="J200" s="1386"/>
      <c r="K200" s="1386"/>
      <c r="L200" s="1386"/>
      <c r="M200" s="1386"/>
      <c r="N200" s="1386"/>
      <c r="O200" s="1386"/>
      <c r="P200" s="1386"/>
      <c r="Q200" s="1387"/>
      <c r="R200" s="390"/>
    </row>
    <row r="201" spans="1:18" ht="26.25" customHeight="1" x14ac:dyDescent="0.2">
      <c r="A201" s="1388" t="s">
        <v>1754</v>
      </c>
      <c r="B201" s="1389"/>
      <c r="C201" s="1389"/>
      <c r="D201" s="1389"/>
      <c r="E201" s="1389"/>
      <c r="F201" s="1389"/>
      <c r="G201" s="1389"/>
      <c r="H201" s="1389"/>
      <c r="I201" s="1389"/>
      <c r="J201" s="1389"/>
      <c r="K201" s="1389"/>
      <c r="L201" s="1389"/>
      <c r="M201" s="1389"/>
      <c r="N201" s="1389"/>
      <c r="O201" s="1389"/>
      <c r="P201" s="1389"/>
      <c r="Q201" s="1390"/>
      <c r="R201" s="390"/>
    </row>
    <row r="202" spans="1:18" ht="26.25" customHeight="1" x14ac:dyDescent="0.2">
      <c r="A202" s="1382"/>
      <c r="B202" s="1391"/>
      <c r="C202" s="1391"/>
      <c r="D202" s="1391"/>
      <c r="E202" s="1391"/>
      <c r="F202" s="1391"/>
      <c r="G202" s="1391"/>
      <c r="H202" s="1391"/>
      <c r="I202" s="1391"/>
      <c r="J202" s="1391"/>
      <c r="K202" s="1391"/>
      <c r="L202" s="1391"/>
      <c r="M202" s="1391"/>
      <c r="N202" s="1391"/>
      <c r="O202" s="1391"/>
      <c r="P202" s="1391"/>
      <c r="Q202" s="1392"/>
      <c r="R202" s="390"/>
    </row>
    <row r="203" spans="1:18" ht="26.25" customHeight="1" thickBot="1" x14ac:dyDescent="0.25">
      <c r="A203" s="1393"/>
      <c r="B203" s="1394"/>
      <c r="C203" s="1394"/>
      <c r="D203" s="1394"/>
      <c r="E203" s="1394"/>
      <c r="F203" s="1394"/>
      <c r="G203" s="1394"/>
      <c r="H203" s="1394"/>
      <c r="I203" s="1394"/>
      <c r="J203" s="1394"/>
      <c r="K203" s="1394"/>
      <c r="L203" s="1394"/>
      <c r="M203" s="1394"/>
      <c r="N203" s="1394"/>
      <c r="O203" s="1394"/>
      <c r="P203" s="1394"/>
      <c r="Q203" s="1395"/>
      <c r="R203" s="389"/>
    </row>
    <row r="204" spans="1:18" ht="26.25" customHeight="1" x14ac:dyDescent="0.2">
      <c r="A204" s="1396" t="s">
        <v>1755</v>
      </c>
      <c r="B204" s="1397"/>
      <c r="C204" s="1397"/>
      <c r="D204" s="1397"/>
      <c r="E204" s="1397"/>
      <c r="F204" s="1397"/>
      <c r="G204" s="1397"/>
      <c r="H204" s="1397"/>
      <c r="I204" s="1397"/>
      <c r="J204" s="1397"/>
      <c r="K204" s="1397"/>
      <c r="L204" s="1397"/>
      <c r="M204" s="1397"/>
      <c r="N204" s="1397"/>
      <c r="O204" s="1397"/>
      <c r="P204" s="1397"/>
      <c r="Q204" s="1398"/>
      <c r="R204" s="390"/>
    </row>
    <row r="205" spans="1:18" ht="26.25" customHeight="1" x14ac:dyDescent="0.2">
      <c r="A205" s="1399" t="s">
        <v>1756</v>
      </c>
      <c r="B205" s="1400"/>
      <c r="C205" s="1400"/>
      <c r="D205" s="1400"/>
      <c r="E205" s="1400"/>
      <c r="F205" s="1400"/>
      <c r="G205" s="1400"/>
      <c r="H205" s="1400"/>
      <c r="I205" s="1400"/>
      <c r="J205" s="1400"/>
      <c r="K205" s="1400"/>
      <c r="L205" s="1401"/>
      <c r="M205" s="1372"/>
      <c r="N205" s="1373"/>
      <c r="O205" s="1373"/>
      <c r="P205" s="1373"/>
      <c r="Q205" s="1374"/>
      <c r="R205" s="389"/>
    </row>
    <row r="206" spans="1:18" ht="26.25" customHeight="1" x14ac:dyDescent="0.2">
      <c r="A206" s="1369" t="s">
        <v>1757</v>
      </c>
      <c r="B206" s="1370"/>
      <c r="C206" s="1370"/>
      <c r="D206" s="1370"/>
      <c r="E206" s="1370"/>
      <c r="F206" s="1370"/>
      <c r="G206" s="1370"/>
      <c r="H206" s="1370"/>
      <c r="I206" s="1370"/>
      <c r="J206" s="1370"/>
      <c r="K206" s="1370"/>
      <c r="L206" s="1371"/>
      <c r="M206" s="1376"/>
      <c r="N206" s="1377"/>
      <c r="O206" s="1377"/>
      <c r="P206" s="1377"/>
      <c r="Q206" s="1378"/>
      <c r="R206" s="389"/>
    </row>
    <row r="207" spans="1:18" ht="26.25" customHeight="1" x14ac:dyDescent="0.2">
      <c r="A207" s="1402" t="s">
        <v>1758</v>
      </c>
      <c r="B207" s="1403"/>
      <c r="C207" s="1403"/>
      <c r="D207" s="1403"/>
      <c r="E207" s="1403"/>
      <c r="F207" s="1403"/>
      <c r="G207" s="1403"/>
      <c r="H207" s="1403"/>
      <c r="I207" s="1403"/>
      <c r="J207" s="1403"/>
      <c r="K207" s="1403"/>
      <c r="L207" s="1403"/>
      <c r="M207" s="1403"/>
      <c r="N207" s="1403"/>
      <c r="O207" s="1403"/>
      <c r="P207" s="1403"/>
      <c r="Q207" s="1404"/>
      <c r="R207" s="389"/>
    </row>
    <row r="208" spans="1:18" ht="26.25" customHeight="1" x14ac:dyDescent="0.2">
      <c r="A208" s="1382"/>
      <c r="B208" s="1383"/>
      <c r="C208" s="1383"/>
      <c r="D208" s="1383"/>
      <c r="E208" s="1383"/>
      <c r="F208" s="1383"/>
      <c r="G208" s="1383"/>
      <c r="H208" s="1383"/>
      <c r="I208" s="1383"/>
      <c r="J208" s="1383"/>
      <c r="K208" s="1383"/>
      <c r="L208" s="1383"/>
      <c r="M208" s="1383"/>
      <c r="N208" s="1383"/>
      <c r="O208" s="1383"/>
      <c r="P208" s="1383"/>
      <c r="Q208" s="1405"/>
      <c r="R208" s="389"/>
    </row>
    <row r="209" spans="1:18" ht="26.25" customHeight="1" x14ac:dyDescent="0.2">
      <c r="A209" s="1406"/>
      <c r="B209" s="1407"/>
      <c r="C209" s="1407"/>
      <c r="D209" s="1407"/>
      <c r="E209" s="1407"/>
      <c r="F209" s="1407"/>
      <c r="G209" s="1407"/>
      <c r="H209" s="1407"/>
      <c r="I209" s="1407"/>
      <c r="J209" s="1407"/>
      <c r="K209" s="1407"/>
      <c r="L209" s="1407"/>
      <c r="M209" s="1407"/>
      <c r="N209" s="1407"/>
      <c r="O209" s="1407"/>
      <c r="P209" s="1407"/>
      <c r="Q209" s="1408"/>
      <c r="R209" s="389"/>
    </row>
    <row r="210" spans="1:18" ht="26.25" customHeight="1" x14ac:dyDescent="0.2">
      <c r="A210" s="1409" t="s">
        <v>1759</v>
      </c>
      <c r="B210" s="1410"/>
      <c r="C210" s="1410"/>
      <c r="D210" s="1410"/>
      <c r="E210" s="1410"/>
      <c r="F210" s="1410"/>
      <c r="G210" s="1410"/>
      <c r="H210" s="1410"/>
      <c r="I210" s="1410"/>
      <c r="J210" s="1410"/>
      <c r="K210" s="1410"/>
      <c r="L210" s="1410"/>
      <c r="M210" s="1410"/>
      <c r="N210" s="1410"/>
      <c r="O210" s="1410"/>
      <c r="P210" s="1410"/>
      <c r="Q210" s="1411"/>
      <c r="R210" s="389"/>
    </row>
    <row r="211" spans="1:18" ht="26.25" customHeight="1" x14ac:dyDescent="0.2">
      <c r="A211" s="1382"/>
      <c r="B211" s="1383"/>
      <c r="C211" s="1383"/>
      <c r="D211" s="1383"/>
      <c r="E211" s="1383"/>
      <c r="F211" s="1383"/>
      <c r="G211" s="1383"/>
      <c r="H211" s="1383"/>
      <c r="I211" s="1383"/>
      <c r="J211" s="1383"/>
      <c r="K211" s="1383"/>
      <c r="L211" s="1383"/>
      <c r="M211" s="1383"/>
      <c r="N211" s="1383"/>
      <c r="O211" s="1383"/>
      <c r="P211" s="1383"/>
      <c r="Q211" s="1384"/>
      <c r="R211" s="389"/>
    </row>
    <row r="212" spans="1:18" ht="26.25" customHeight="1" thickBot="1" x14ac:dyDescent="0.25">
      <c r="A212" s="1412"/>
      <c r="B212" s="1413"/>
      <c r="C212" s="1413"/>
      <c r="D212" s="1413"/>
      <c r="E212" s="1413"/>
      <c r="F212" s="1413"/>
      <c r="G212" s="1413"/>
      <c r="H212" s="1413"/>
      <c r="I212" s="1413"/>
      <c r="J212" s="1413"/>
      <c r="K212" s="1413"/>
      <c r="L212" s="1413"/>
      <c r="M212" s="1413"/>
      <c r="N212" s="1413"/>
      <c r="O212" s="1413"/>
      <c r="P212" s="1413"/>
      <c r="Q212" s="1414"/>
      <c r="R212" s="389"/>
    </row>
    <row r="213" spans="1:18" ht="26.25" customHeight="1" x14ac:dyDescent="0.2">
      <c r="A213" s="1332" t="s">
        <v>1760</v>
      </c>
      <c r="B213" s="1333"/>
      <c r="C213" s="1333"/>
      <c r="D213" s="1333"/>
      <c r="E213" s="1333"/>
      <c r="F213" s="1333"/>
      <c r="G213" s="1333"/>
      <c r="H213" s="1333"/>
      <c r="I213" s="1333"/>
      <c r="J213" s="1333"/>
      <c r="K213" s="1333"/>
      <c r="L213" s="1333"/>
      <c r="M213" s="1333"/>
      <c r="N213" s="1333"/>
      <c r="O213" s="1333"/>
      <c r="P213" s="1333"/>
      <c r="Q213" s="1415"/>
    </row>
    <row r="214" spans="1:18" ht="26.25" customHeight="1" x14ac:dyDescent="0.2">
      <c r="A214" s="1416"/>
      <c r="B214" s="1383"/>
      <c r="C214" s="1383"/>
      <c r="D214" s="1383"/>
      <c r="E214" s="1383"/>
      <c r="F214" s="1383"/>
      <c r="G214" s="1383"/>
      <c r="H214" s="1383"/>
      <c r="I214" s="1383"/>
      <c r="J214" s="1383"/>
      <c r="K214" s="1383"/>
      <c r="L214" s="1383"/>
      <c r="M214" s="1383"/>
      <c r="N214" s="1383"/>
      <c r="O214" s="1383"/>
      <c r="P214" s="1383"/>
      <c r="Q214" s="1405"/>
    </row>
    <row r="215" spans="1:18" ht="26.25" customHeight="1" thickBot="1" x14ac:dyDescent="0.25">
      <c r="A215" s="1412"/>
      <c r="B215" s="1413"/>
      <c r="C215" s="1413"/>
      <c r="D215" s="1413"/>
      <c r="E215" s="1413"/>
      <c r="F215" s="1413"/>
      <c r="G215" s="1413"/>
      <c r="H215" s="1413"/>
      <c r="I215" s="1413"/>
      <c r="J215" s="1413"/>
      <c r="K215" s="1413"/>
      <c r="L215" s="1413"/>
      <c r="M215" s="1413"/>
      <c r="N215" s="1413"/>
      <c r="O215" s="1413"/>
      <c r="P215" s="1413"/>
      <c r="Q215" s="1414"/>
      <c r="R215" s="315"/>
    </row>
    <row r="216" spans="1:18" ht="26.25" customHeight="1" x14ac:dyDescent="0.2">
      <c r="A216" s="1396" t="s">
        <v>1761</v>
      </c>
      <c r="B216" s="1397"/>
      <c r="C216" s="1397"/>
      <c r="D216" s="1397"/>
      <c r="E216" s="1397"/>
      <c r="F216" s="1397"/>
      <c r="G216" s="1397"/>
      <c r="H216" s="1397"/>
      <c r="I216" s="1397"/>
      <c r="J216" s="1397"/>
      <c r="K216" s="1397"/>
      <c r="L216" s="1397"/>
      <c r="M216" s="1397"/>
      <c r="N216" s="1397"/>
      <c r="O216" s="1397"/>
      <c r="P216" s="1397"/>
      <c r="Q216" s="1398"/>
      <c r="R216" s="316"/>
    </row>
    <row r="217" spans="1:18" ht="26.25" customHeight="1" x14ac:dyDescent="0.2">
      <c r="A217" s="1351"/>
      <c r="B217" s="1340"/>
      <c r="C217" s="1340"/>
      <c r="D217" s="1340"/>
      <c r="E217" s="1340"/>
      <c r="F217" s="1340"/>
      <c r="G217" s="1340"/>
      <c r="H217" s="1340"/>
      <c r="I217" s="1340"/>
      <c r="J217" s="1340"/>
      <c r="K217" s="1340"/>
      <c r="L217" s="1340"/>
      <c r="M217" s="1340"/>
      <c r="N217" s="1340"/>
      <c r="O217" s="1340"/>
      <c r="P217" s="1340"/>
      <c r="Q217" s="1417"/>
      <c r="R217" s="22"/>
    </row>
    <row r="218" spans="1:18" ht="26.25" customHeight="1" thickBot="1" x14ac:dyDescent="0.25">
      <c r="A218" s="1393"/>
      <c r="B218" s="1394"/>
      <c r="C218" s="1394"/>
      <c r="D218" s="1394"/>
      <c r="E218" s="1394"/>
      <c r="F218" s="1394"/>
      <c r="G218" s="1394"/>
      <c r="H218" s="1394"/>
      <c r="I218" s="1394"/>
      <c r="J218" s="1394"/>
      <c r="K218" s="1394"/>
      <c r="L218" s="1394"/>
      <c r="M218" s="1394"/>
      <c r="N218" s="1394"/>
      <c r="O218" s="1394"/>
      <c r="P218" s="1394"/>
      <c r="Q218" s="1395"/>
      <c r="R218" s="22"/>
    </row>
    <row r="219" spans="1:18" ht="26.25" customHeight="1" x14ac:dyDescent="0.2">
      <c r="A219" s="409" t="str">
        <f>$A$1</f>
        <v xml:space="preserve"> </v>
      </c>
      <c r="B219" s="322"/>
      <c r="C219" s="322"/>
      <c r="D219" s="322"/>
      <c r="E219" s="322"/>
      <c r="F219" s="322"/>
      <c r="G219" s="322"/>
      <c r="H219" s="322"/>
      <c r="I219" s="322"/>
      <c r="J219" s="322"/>
      <c r="K219" s="322"/>
      <c r="L219" s="322"/>
      <c r="M219" s="322"/>
      <c r="N219" s="322"/>
      <c r="O219" s="322"/>
      <c r="P219" s="322"/>
      <c r="Q219" s="322"/>
      <c r="R219" s="312"/>
    </row>
    <row r="220" spans="1:18" ht="26.25" customHeight="1" x14ac:dyDescent="0.2">
      <c r="A220" s="1290" t="s">
        <v>1385</v>
      </c>
      <c r="B220" s="1291"/>
      <c r="C220" s="1291"/>
      <c r="D220" s="1291"/>
      <c r="E220" s="1291"/>
      <c r="F220" s="1291"/>
      <c r="G220" s="1291"/>
      <c r="H220" s="1291"/>
      <c r="I220" s="1291"/>
      <c r="J220" s="1291"/>
      <c r="K220" s="1291"/>
      <c r="L220" s="1291"/>
      <c r="M220" s="1291"/>
      <c r="N220" s="1419" t="s">
        <v>2844</v>
      </c>
      <c r="O220" s="1419"/>
      <c r="P220" s="1419"/>
      <c r="Q220" s="1420"/>
      <c r="R220" s="392"/>
    </row>
    <row r="221" spans="1:18" ht="26.25" customHeight="1" x14ac:dyDescent="0.2">
      <c r="A221" s="1294" t="str">
        <f>IF(ISBLANK(Cap_Expend_Name),"The Capital Expenditure Contact information has NOT been provided.  Click here to go to Capital Expenditure Contact Section to fill in this information now.","")</f>
        <v/>
      </c>
      <c r="B221" s="1295"/>
      <c r="C221" s="1295"/>
      <c r="D221" s="1295"/>
      <c r="E221" s="1295"/>
      <c r="F221" s="1295"/>
      <c r="G221" s="1295"/>
      <c r="H221" s="1295"/>
      <c r="I221" s="1295"/>
      <c r="J221" s="1295"/>
      <c r="K221" s="1295"/>
      <c r="L221" s="1295"/>
      <c r="M221" s="1295"/>
      <c r="N221" s="407" t="s">
        <v>1727</v>
      </c>
      <c r="O221" s="408"/>
      <c r="P221" s="1296"/>
      <c r="Q221" s="1297"/>
      <c r="R221" s="2"/>
    </row>
    <row r="222" spans="1:18" ht="26.25" customHeight="1" thickBot="1" x14ac:dyDescent="0.25">
      <c r="A222" s="1298" t="s">
        <v>1338</v>
      </c>
      <c r="B222" s="1299"/>
      <c r="C222" s="1299"/>
      <c r="D222" s="1299"/>
      <c r="E222" s="1300"/>
      <c r="F222" s="1301"/>
      <c r="G222" s="1301"/>
      <c r="H222" s="1301"/>
      <c r="I222" s="1301"/>
      <c r="J222" s="1301"/>
      <c r="K222" s="1301"/>
      <c r="L222" s="1302"/>
      <c r="M222" s="295"/>
      <c r="N222" s="1303" t="s">
        <v>1728</v>
      </c>
      <c r="O222" s="1304"/>
      <c r="P222" s="1304"/>
      <c r="Q222" s="1305"/>
      <c r="R222" s="2"/>
    </row>
    <row r="223" spans="1:18" ht="26.25" customHeight="1" x14ac:dyDescent="0.2">
      <c r="A223" s="1306" t="s">
        <v>1729</v>
      </c>
      <c r="B223" s="1307"/>
      <c r="C223" s="1307"/>
      <c r="D223" s="1308"/>
      <c r="E223" s="1320"/>
      <c r="F223" s="1310"/>
      <c r="G223" s="1310"/>
      <c r="H223" s="1310"/>
      <c r="I223" s="1310"/>
      <c r="J223" s="1310"/>
      <c r="K223" s="1310"/>
      <c r="L223" s="1311"/>
      <c r="M223" s="1312" t="str">
        <f>IF(AND(ISBLANK(E223),OR(NOT(ISBLANK(E224)),NOT(ISBLANK(E225)),NOT(ISBLANK(E226)),NOT(ISBLANK(I227)),NOT(ISBLANK(E222)))),"This information is required.","")</f>
        <v/>
      </c>
      <c r="N223" s="1313"/>
      <c r="O223" s="1313"/>
      <c r="P223" s="1313"/>
      <c r="Q223" s="296"/>
      <c r="R223" s="2"/>
    </row>
    <row r="224" spans="1:18" ht="26.25" customHeight="1" x14ac:dyDescent="0.2">
      <c r="A224" s="1314" t="s">
        <v>1730</v>
      </c>
      <c r="B224" s="1315"/>
      <c r="C224" s="1315"/>
      <c r="D224" s="1316"/>
      <c r="E224" s="1320"/>
      <c r="F224" s="1310"/>
      <c r="G224" s="1310"/>
      <c r="H224" s="1310"/>
      <c r="I224" s="1310"/>
      <c r="J224" s="1310"/>
      <c r="K224" s="1310"/>
      <c r="L224" s="1311"/>
      <c r="M224" s="1312" t="str">
        <f>IF(AND(ISBLANK(E224),OR(NOT(ISBLANK(E223)),NOT(ISBLANK(E225)),NOT(ISBLANK(E226)),NOT(ISBLANK(I227)),NOT(ISBLANK(E222)))),"This information is required.","")</f>
        <v/>
      </c>
      <c r="N224" s="1313"/>
      <c r="O224" s="1313"/>
      <c r="P224" s="1313"/>
      <c r="Q224" s="296"/>
      <c r="R224" s="2"/>
    </row>
    <row r="225" spans="1:19" ht="26.25" customHeight="1" x14ac:dyDescent="0.2">
      <c r="A225" s="1317" t="s">
        <v>1731</v>
      </c>
      <c r="B225" s="1318"/>
      <c r="C225" s="1318"/>
      <c r="D225" s="1319"/>
      <c r="E225" s="1320"/>
      <c r="F225" s="1310"/>
      <c r="G225" s="1321" t="s">
        <v>1732</v>
      </c>
      <c r="H225" s="1321"/>
      <c r="I225" s="1321"/>
      <c r="J225" s="1321"/>
      <c r="K225" s="1321"/>
      <c r="L225" s="1321"/>
      <c r="M225" s="615" t="str">
        <f>IF(AND(ISBLANK(E225),OR(NOT(ISBLANK(E223)),NOT(ISBLANK(E224)),NOT(ISBLANK(E226)),NOT(ISBLANK(I227)),NOT(ISBLANK(E222)))),"This information is required.","")</f>
        <v/>
      </c>
      <c r="N225" s="616"/>
      <c r="O225" s="616"/>
      <c r="P225" s="616"/>
      <c r="Q225" s="297"/>
      <c r="R225" s="298"/>
    </row>
    <row r="226" spans="1:19" ht="26.25" customHeight="1" x14ac:dyDescent="0.2">
      <c r="A226" s="1314" t="s">
        <v>1733</v>
      </c>
      <c r="B226" s="1315"/>
      <c r="C226" s="1315"/>
      <c r="D226" s="1316"/>
      <c r="E226" s="1322"/>
      <c r="F226" s="1323"/>
      <c r="G226" s="299"/>
      <c r="H226" s="300"/>
      <c r="I226" s="301"/>
      <c r="J226" s="298"/>
      <c r="K226" s="298"/>
      <c r="L226" s="298"/>
      <c r="M226" s="616" t="str">
        <f>IF(AND(ISBLANK(E226),OR(NOT(ISBLANK(E223)),NOT(ISBLANK(E224)),NOT(ISBLANK(E225)),NOT(ISBLANK(I227)),NOT(ISBLANK(E222)))),"This information is required.","")</f>
        <v/>
      </c>
      <c r="N226" s="616"/>
      <c r="O226" s="616"/>
      <c r="P226" s="616"/>
      <c r="Q226" s="297"/>
      <c r="R226" s="5"/>
      <c r="S226" s="267">
        <f>IF(ISBLANK(E226),0,1)</f>
        <v>0</v>
      </c>
    </row>
    <row r="227" spans="1:19" ht="26.25" customHeight="1" thickBot="1" x14ac:dyDescent="0.25">
      <c r="A227" s="1324" t="s">
        <v>1734</v>
      </c>
      <c r="B227" s="1325"/>
      <c r="C227" s="1325"/>
      <c r="D227" s="1325"/>
      <c r="E227" s="1326"/>
      <c r="F227" s="1326"/>
      <c r="G227" s="1326"/>
      <c r="H227" s="1326"/>
      <c r="I227" s="1327"/>
      <c r="J227" s="1328"/>
      <c r="K227" s="1329" t="s">
        <v>1735</v>
      </c>
      <c r="L227" s="1330"/>
      <c r="M227" s="1331" t="str">
        <f>IF(AND(ISBLANK(I227),OR(NOT(ISBLANK(E223)),NOT(ISBLANK(E224)),NOT(ISBLANK(E225)),NOT(ISBLANK(E226)),NOT(ISBLANK(E222)))),"This information is required!","")</f>
        <v/>
      </c>
      <c r="N227" s="1331"/>
      <c r="O227" s="1331"/>
      <c r="P227" s="1331"/>
      <c r="Q227" s="302"/>
      <c r="R227" s="5"/>
    </row>
    <row r="228" spans="1:19" ht="26.25" customHeight="1" x14ac:dyDescent="0.2">
      <c r="A228" s="1332" t="s">
        <v>1736</v>
      </c>
      <c r="B228" s="1333"/>
      <c r="C228" s="1333"/>
      <c r="D228" s="1333"/>
      <c r="E228" s="1333"/>
      <c r="F228" s="1333"/>
      <c r="G228" s="1333"/>
      <c r="H228" s="1333"/>
      <c r="I228" s="1333"/>
      <c r="J228" s="1334"/>
      <c r="K228" s="1335" t="s">
        <v>1737</v>
      </c>
      <c r="L228" s="1335"/>
      <c r="M228" s="1335"/>
      <c r="N228" s="1335"/>
      <c r="O228" s="1337" t="s">
        <v>1738</v>
      </c>
      <c r="P228" s="1337"/>
      <c r="Q228" s="1338"/>
      <c r="R228" s="463" t="str">
        <f>IF(AND(ISBLANK(A229),OR(NOT(ISBLANK(I227)),NOT(ISBLANK(E226)),NOT(ISBLANK(E225)),NOT(ISBLANK(E224)),NOT(ISBLANK(E223)),NOT(ISBLANK(E222)))),"General Description is required!","")</f>
        <v/>
      </c>
    </row>
    <row r="229" spans="1:19" ht="45" customHeight="1" x14ac:dyDescent="0.2">
      <c r="A229" s="1351"/>
      <c r="B229" s="1340"/>
      <c r="C229" s="1340"/>
      <c r="D229" s="1340"/>
      <c r="E229" s="1340"/>
      <c r="F229" s="1340"/>
      <c r="G229" s="1340"/>
      <c r="H229" s="1340"/>
      <c r="I229" s="1340"/>
      <c r="J229" s="1341"/>
      <c r="K229" s="1336"/>
      <c r="L229" s="1336"/>
      <c r="M229" s="1336"/>
      <c r="N229" s="1336"/>
      <c r="O229" s="305"/>
      <c r="P229" s="306" t="s">
        <v>91</v>
      </c>
      <c r="Q229" s="307" t="s">
        <v>92</v>
      </c>
      <c r="R229" s="393"/>
    </row>
    <row r="230" spans="1:19" ht="26.25" customHeight="1" x14ac:dyDescent="0.2">
      <c r="A230" s="1342"/>
      <c r="B230" s="1343"/>
      <c r="C230" s="1343"/>
      <c r="D230" s="1343"/>
      <c r="E230" s="1343"/>
      <c r="F230" s="1343"/>
      <c r="G230" s="1343"/>
      <c r="H230" s="1343"/>
      <c r="I230" s="1343"/>
      <c r="J230" s="1344"/>
      <c r="K230" s="1345" t="s">
        <v>1739</v>
      </c>
      <c r="L230" s="1346"/>
      <c r="M230" s="1346"/>
      <c r="N230" s="1346"/>
      <c r="O230" s="1347"/>
      <c r="P230" s="388"/>
      <c r="Q230" s="309"/>
      <c r="R230" s="461" t="str">
        <f>IF(NOT(AND(ISBLANK(E222),ISBLANK(E223),ISBLANK(E224),ISBLANK(E225),ISBLANK(E226),ISBLANK(I227))),IF(COUNTBLANK(P230:Q230)=2,"Please enter response.",IF(COUNTBLANK(P230:Q230)&lt;&gt;1,"Please VERIFY response.","")),"")</f>
        <v/>
      </c>
    </row>
    <row r="231" spans="1:19" ht="26.25" customHeight="1" x14ac:dyDescent="0.2">
      <c r="A231" s="1348" t="s">
        <v>1740</v>
      </c>
      <c r="B231" s="1349"/>
      <c r="C231" s="1349"/>
      <c r="D231" s="1349"/>
      <c r="E231" s="1349"/>
      <c r="F231" s="1349"/>
      <c r="G231" s="1349"/>
      <c r="H231" s="1349"/>
      <c r="I231" s="1349"/>
      <c r="J231" s="1350"/>
      <c r="K231" s="1345" t="s">
        <v>1741</v>
      </c>
      <c r="L231" s="1346"/>
      <c r="M231" s="1346"/>
      <c r="N231" s="1346"/>
      <c r="O231" s="1347"/>
      <c r="P231" s="388"/>
      <c r="Q231" s="309"/>
      <c r="R231" s="461" t="str">
        <f>IF(NOT(AND(ISBLANK(E222),ISBLANK(E223),ISBLANK(E224),ISBLANK(E225),ISBLANK(E226),ISBLANK(I227))),IF(COUNTBLANK(P231:Q231)=2,"Please enter response.",IF(COUNTBLANK(P231:Q231)&lt;&gt;1,"Please VERIFY response.","")),"")</f>
        <v/>
      </c>
    </row>
    <row r="232" spans="1:19" ht="26.25" customHeight="1" x14ac:dyDescent="0.2">
      <c r="A232" s="1351"/>
      <c r="B232" s="1340"/>
      <c r="C232" s="1340"/>
      <c r="D232" s="1340"/>
      <c r="E232" s="1340"/>
      <c r="F232" s="1340"/>
      <c r="G232" s="1340"/>
      <c r="H232" s="1340"/>
      <c r="I232" s="1340"/>
      <c r="J232" s="1341"/>
      <c r="K232" s="1345" t="s">
        <v>1742</v>
      </c>
      <c r="L232" s="1346"/>
      <c r="M232" s="1346"/>
      <c r="N232" s="1346"/>
      <c r="O232" s="1347"/>
      <c r="P232" s="388"/>
      <c r="Q232" s="309"/>
      <c r="R232" s="461" t="str">
        <f>IF(NOT(AND(ISBLANK(E222),ISBLANK(E223),ISBLANK(E224),ISBLANK(E225),ISBLANK(E226),ISBLANK(I227))),IF(COUNTBLANK(P232:Q232)=2,"Please enter response.",IF(COUNTBLANK(P232:Q232)&lt;&gt;1,"Please VERIFY response.","")),"")</f>
        <v/>
      </c>
    </row>
    <row r="233" spans="1:19" ht="26.25" customHeight="1" x14ac:dyDescent="0.2">
      <c r="A233" s="1342"/>
      <c r="B233" s="1343"/>
      <c r="C233" s="1343"/>
      <c r="D233" s="1343"/>
      <c r="E233" s="1343"/>
      <c r="F233" s="1343"/>
      <c r="G233" s="1343"/>
      <c r="H233" s="1343"/>
      <c r="I233" s="1343"/>
      <c r="J233" s="1344"/>
      <c r="K233" s="1345" t="s">
        <v>1743</v>
      </c>
      <c r="L233" s="1346"/>
      <c r="M233" s="1346"/>
      <c r="N233" s="1346"/>
      <c r="O233" s="1347"/>
      <c r="P233" s="388"/>
      <c r="Q233" s="309"/>
      <c r="R233" s="461" t="str">
        <f>IF(NOT(AND(ISBLANK(E222),ISBLANK(E223),ISBLANK(E224),ISBLANK(E225),ISBLANK(E226),ISBLANK(I227))),IF(COUNTBLANK(P233:Q233)=2,"Please enter response.",IF(COUNTBLANK(P233:Q233)&lt;&gt;1,"Please VERIFY response.","")),"")</f>
        <v/>
      </c>
    </row>
    <row r="234" spans="1:19" ht="26.25" customHeight="1" x14ac:dyDescent="0.2">
      <c r="A234" s="1352" t="s">
        <v>1744</v>
      </c>
      <c r="B234" s="1353"/>
      <c r="C234" s="1353"/>
      <c r="D234" s="1353"/>
      <c r="E234" s="1353"/>
      <c r="F234" s="1353"/>
      <c r="G234" s="1353"/>
      <c r="H234" s="1353"/>
      <c r="I234" s="1353"/>
      <c r="J234" s="1353"/>
      <c r="K234" s="1353"/>
      <c r="L234" s="1353"/>
      <c r="M234" s="1353"/>
      <c r="N234" s="1353"/>
      <c r="O234" s="1353"/>
      <c r="P234" s="1353"/>
      <c r="Q234" s="1354"/>
      <c r="R234" s="310"/>
    </row>
    <row r="235" spans="1:19" ht="26.25" customHeight="1" x14ac:dyDescent="0.2">
      <c r="A235" s="1355" t="s">
        <v>1745</v>
      </c>
      <c r="B235" s="1356"/>
      <c r="C235" s="1356"/>
      <c r="D235" s="1356"/>
      <c r="E235" s="1356" t="s">
        <v>1746</v>
      </c>
      <c r="F235" s="1356"/>
      <c r="G235" s="1356"/>
      <c r="H235" s="1356"/>
      <c r="I235" s="1356" t="s">
        <v>1747</v>
      </c>
      <c r="J235" s="1356"/>
      <c r="K235" s="1356"/>
      <c r="L235" s="1356"/>
      <c r="M235" s="1357" t="s">
        <v>1748</v>
      </c>
      <c r="N235" s="1356"/>
      <c r="O235" s="1356"/>
      <c r="P235" s="1356"/>
      <c r="Q235" s="1358"/>
      <c r="R235" s="311"/>
    </row>
    <row r="236" spans="1:19" ht="26.25" customHeight="1" thickBot="1" x14ac:dyDescent="0.25">
      <c r="A236" s="1359"/>
      <c r="B236" s="1360"/>
      <c r="C236" s="1360"/>
      <c r="D236" s="1360"/>
      <c r="E236" s="1361"/>
      <c r="F236" s="1362"/>
      <c r="G236" s="1362"/>
      <c r="H236" s="1363"/>
      <c r="I236" s="1361"/>
      <c r="J236" s="1362"/>
      <c r="K236" s="1362"/>
      <c r="L236" s="1363"/>
      <c r="M236" s="1364"/>
      <c r="N236" s="1364"/>
      <c r="O236" s="1364"/>
      <c r="P236" s="1364"/>
      <c r="Q236" s="1365"/>
      <c r="R236" s="310"/>
    </row>
    <row r="237" spans="1:19" ht="26.25" customHeight="1" x14ac:dyDescent="0.2">
      <c r="A237" s="1366" t="s">
        <v>1749</v>
      </c>
      <c r="B237" s="1367"/>
      <c r="C237" s="1367"/>
      <c r="D237" s="1367"/>
      <c r="E237" s="1367"/>
      <c r="F237" s="1367"/>
      <c r="G237" s="1367"/>
      <c r="H237" s="1367"/>
      <c r="I237" s="1367"/>
      <c r="J237" s="1367"/>
      <c r="K237" s="1367"/>
      <c r="L237" s="1367"/>
      <c r="M237" s="1367"/>
      <c r="N237" s="1367"/>
      <c r="O237" s="1367"/>
      <c r="P237" s="1367"/>
      <c r="Q237" s="1368"/>
      <c r="R237" s="390"/>
    </row>
    <row r="238" spans="1:19" ht="26.25" customHeight="1" x14ac:dyDescent="0.2">
      <c r="A238" s="1369" t="s">
        <v>1750</v>
      </c>
      <c r="B238" s="1370"/>
      <c r="C238" s="1370"/>
      <c r="D238" s="1370"/>
      <c r="E238" s="1370"/>
      <c r="F238" s="1370"/>
      <c r="G238" s="1370"/>
      <c r="H238" s="1370"/>
      <c r="I238" s="1370"/>
      <c r="J238" s="1370"/>
      <c r="K238" s="1370"/>
      <c r="L238" s="1371"/>
      <c r="M238" s="1372"/>
      <c r="N238" s="1373"/>
      <c r="O238" s="1373"/>
      <c r="P238" s="1373"/>
      <c r="Q238" s="1374"/>
      <c r="R238" s="390"/>
    </row>
    <row r="239" spans="1:19" ht="26.25" customHeight="1" x14ac:dyDescent="0.2">
      <c r="A239" s="1369" t="s">
        <v>1751</v>
      </c>
      <c r="B239" s="1375"/>
      <c r="C239" s="1375"/>
      <c r="D239" s="1375"/>
      <c r="E239" s="1375"/>
      <c r="F239" s="1375"/>
      <c r="G239" s="1375"/>
      <c r="H239" s="1375"/>
      <c r="I239" s="1375"/>
      <c r="J239" s="1375"/>
      <c r="K239" s="1375"/>
      <c r="L239" s="1375"/>
      <c r="M239" s="1376"/>
      <c r="N239" s="1377"/>
      <c r="O239" s="1377"/>
      <c r="P239" s="1377"/>
      <c r="Q239" s="1378"/>
      <c r="R239" s="390"/>
    </row>
    <row r="240" spans="1:19" ht="26.25" customHeight="1" x14ac:dyDescent="0.2">
      <c r="A240" s="1369" t="s">
        <v>1752</v>
      </c>
      <c r="B240" s="1375"/>
      <c r="C240" s="1375"/>
      <c r="D240" s="1375"/>
      <c r="E240" s="1375"/>
      <c r="F240" s="1375"/>
      <c r="G240" s="1375"/>
      <c r="H240" s="1375"/>
      <c r="I240" s="1375"/>
      <c r="J240" s="1375"/>
      <c r="K240" s="1375"/>
      <c r="L240" s="1375"/>
      <c r="M240" s="1376"/>
      <c r="N240" s="1377"/>
      <c r="O240" s="1377"/>
      <c r="P240" s="1377"/>
      <c r="Q240" s="1378"/>
      <c r="R240" s="390"/>
    </row>
    <row r="241" spans="1:18" ht="26.25" customHeight="1" x14ac:dyDescent="0.2">
      <c r="A241" s="1379" t="s">
        <v>1753</v>
      </c>
      <c r="B241" s="1380"/>
      <c r="C241" s="1380"/>
      <c r="D241" s="1380"/>
      <c r="E241" s="1380"/>
      <c r="F241" s="1380"/>
      <c r="G241" s="1380"/>
      <c r="H241" s="1380"/>
      <c r="I241" s="1380"/>
      <c r="J241" s="1380"/>
      <c r="K241" s="1380"/>
      <c r="L241" s="1380"/>
      <c r="M241" s="1380"/>
      <c r="N241" s="1380"/>
      <c r="O241" s="1380"/>
      <c r="P241" s="1380"/>
      <c r="Q241" s="1381"/>
      <c r="R241" s="390"/>
    </row>
    <row r="242" spans="1:18" ht="26.25" customHeight="1" x14ac:dyDescent="0.2">
      <c r="A242" s="1382"/>
      <c r="B242" s="1383"/>
      <c r="C242" s="1383"/>
      <c r="D242" s="1383"/>
      <c r="E242" s="1383"/>
      <c r="F242" s="1383"/>
      <c r="G242" s="1383"/>
      <c r="H242" s="1383"/>
      <c r="I242" s="1383"/>
      <c r="J242" s="1383"/>
      <c r="K242" s="1383"/>
      <c r="L242" s="1383"/>
      <c r="M242" s="1383"/>
      <c r="N242" s="1383"/>
      <c r="O242" s="1383"/>
      <c r="P242" s="1383"/>
      <c r="Q242" s="1384"/>
      <c r="R242" s="390"/>
    </row>
    <row r="243" spans="1:18" ht="26.25" customHeight="1" x14ac:dyDescent="0.2">
      <c r="A243" s="1385"/>
      <c r="B243" s="1386"/>
      <c r="C243" s="1386"/>
      <c r="D243" s="1386"/>
      <c r="E243" s="1386"/>
      <c r="F243" s="1386"/>
      <c r="G243" s="1386"/>
      <c r="H243" s="1386"/>
      <c r="I243" s="1386"/>
      <c r="J243" s="1386"/>
      <c r="K243" s="1386"/>
      <c r="L243" s="1386"/>
      <c r="M243" s="1386"/>
      <c r="N243" s="1386"/>
      <c r="O243" s="1386"/>
      <c r="P243" s="1386"/>
      <c r="Q243" s="1387"/>
      <c r="R243" s="390"/>
    </row>
    <row r="244" spans="1:18" ht="26.25" customHeight="1" x14ac:dyDescent="0.2">
      <c r="A244" s="1388" t="s">
        <v>1754</v>
      </c>
      <c r="B244" s="1389"/>
      <c r="C244" s="1389"/>
      <c r="D244" s="1389"/>
      <c r="E244" s="1389"/>
      <c r="F244" s="1389"/>
      <c r="G244" s="1389"/>
      <c r="H244" s="1389"/>
      <c r="I244" s="1389"/>
      <c r="J244" s="1389"/>
      <c r="K244" s="1389"/>
      <c r="L244" s="1389"/>
      <c r="M244" s="1389"/>
      <c r="N244" s="1389"/>
      <c r="O244" s="1389"/>
      <c r="P244" s="1389"/>
      <c r="Q244" s="1390"/>
      <c r="R244" s="390"/>
    </row>
    <row r="245" spans="1:18" ht="26.25" customHeight="1" x14ac:dyDescent="0.2">
      <c r="A245" s="1382"/>
      <c r="B245" s="1391"/>
      <c r="C245" s="1391"/>
      <c r="D245" s="1391"/>
      <c r="E245" s="1391"/>
      <c r="F245" s="1391"/>
      <c r="G245" s="1391"/>
      <c r="H245" s="1391"/>
      <c r="I245" s="1391"/>
      <c r="J245" s="1391"/>
      <c r="K245" s="1391"/>
      <c r="L245" s="1391"/>
      <c r="M245" s="1391"/>
      <c r="N245" s="1391"/>
      <c r="O245" s="1391"/>
      <c r="P245" s="1391"/>
      <c r="Q245" s="1392"/>
      <c r="R245" s="390"/>
    </row>
    <row r="246" spans="1:18" ht="26.25" customHeight="1" thickBot="1" x14ac:dyDescent="0.25">
      <c r="A246" s="1393"/>
      <c r="B246" s="1394"/>
      <c r="C246" s="1394"/>
      <c r="D246" s="1394"/>
      <c r="E246" s="1394"/>
      <c r="F246" s="1394"/>
      <c r="G246" s="1394"/>
      <c r="H246" s="1394"/>
      <c r="I246" s="1394"/>
      <c r="J246" s="1394"/>
      <c r="K246" s="1394"/>
      <c r="L246" s="1394"/>
      <c r="M246" s="1394"/>
      <c r="N246" s="1394"/>
      <c r="O246" s="1394"/>
      <c r="P246" s="1394"/>
      <c r="Q246" s="1395"/>
      <c r="R246" s="389"/>
    </row>
    <row r="247" spans="1:18" ht="26.25" customHeight="1" x14ac:dyDescent="0.2">
      <c r="A247" s="1396" t="s">
        <v>1755</v>
      </c>
      <c r="B247" s="1397"/>
      <c r="C247" s="1397"/>
      <c r="D247" s="1397"/>
      <c r="E247" s="1397"/>
      <c r="F247" s="1397"/>
      <c r="G247" s="1397"/>
      <c r="H247" s="1397"/>
      <c r="I247" s="1397"/>
      <c r="J247" s="1397"/>
      <c r="K247" s="1397"/>
      <c r="L247" s="1397"/>
      <c r="M247" s="1397"/>
      <c r="N247" s="1397"/>
      <c r="O247" s="1397"/>
      <c r="P247" s="1397"/>
      <c r="Q247" s="1398"/>
      <c r="R247" s="390"/>
    </row>
    <row r="248" spans="1:18" ht="26.25" customHeight="1" x14ac:dyDescent="0.2">
      <c r="A248" s="1399" t="s">
        <v>1756</v>
      </c>
      <c r="B248" s="1400"/>
      <c r="C248" s="1400"/>
      <c r="D248" s="1400"/>
      <c r="E248" s="1400"/>
      <c r="F248" s="1400"/>
      <c r="G248" s="1400"/>
      <c r="H248" s="1400"/>
      <c r="I248" s="1400"/>
      <c r="J248" s="1400"/>
      <c r="K248" s="1400"/>
      <c r="L248" s="1401"/>
      <c r="M248" s="1372"/>
      <c r="N248" s="1373"/>
      <c r="O248" s="1373"/>
      <c r="P248" s="1373"/>
      <c r="Q248" s="1374"/>
      <c r="R248" s="389"/>
    </row>
    <row r="249" spans="1:18" ht="26.25" customHeight="1" x14ac:dyDescent="0.2">
      <c r="A249" s="1369" t="s">
        <v>1757</v>
      </c>
      <c r="B249" s="1370"/>
      <c r="C249" s="1370"/>
      <c r="D249" s="1370"/>
      <c r="E249" s="1370"/>
      <c r="F249" s="1370"/>
      <c r="G249" s="1370"/>
      <c r="H249" s="1370"/>
      <c r="I249" s="1370"/>
      <c r="J249" s="1370"/>
      <c r="K249" s="1370"/>
      <c r="L249" s="1371"/>
      <c r="M249" s="1376"/>
      <c r="N249" s="1377"/>
      <c r="O249" s="1377"/>
      <c r="P249" s="1377"/>
      <c r="Q249" s="1378"/>
      <c r="R249" s="389"/>
    </row>
    <row r="250" spans="1:18" ht="26.25" customHeight="1" x14ac:dyDescent="0.2">
      <c r="A250" s="1402" t="s">
        <v>1758</v>
      </c>
      <c r="B250" s="1403"/>
      <c r="C250" s="1403"/>
      <c r="D250" s="1403"/>
      <c r="E250" s="1403"/>
      <c r="F250" s="1403"/>
      <c r="G250" s="1403"/>
      <c r="H250" s="1403"/>
      <c r="I250" s="1403"/>
      <c r="J250" s="1403"/>
      <c r="K250" s="1403"/>
      <c r="L250" s="1403"/>
      <c r="M250" s="1403"/>
      <c r="N250" s="1403"/>
      <c r="O250" s="1403"/>
      <c r="P250" s="1403"/>
      <c r="Q250" s="1404"/>
      <c r="R250" s="389"/>
    </row>
    <row r="251" spans="1:18" ht="26.25" customHeight="1" x14ac:dyDescent="0.2">
      <c r="A251" s="1382"/>
      <c r="B251" s="1383"/>
      <c r="C251" s="1383"/>
      <c r="D251" s="1383"/>
      <c r="E251" s="1383"/>
      <c r="F251" s="1383"/>
      <c r="G251" s="1383"/>
      <c r="H251" s="1383"/>
      <c r="I251" s="1383"/>
      <c r="J251" s="1383"/>
      <c r="K251" s="1383"/>
      <c r="L251" s="1383"/>
      <c r="M251" s="1383"/>
      <c r="N251" s="1383"/>
      <c r="O251" s="1383"/>
      <c r="P251" s="1383"/>
      <c r="Q251" s="1405"/>
      <c r="R251" s="389"/>
    </row>
    <row r="252" spans="1:18" ht="26.25" customHeight="1" x14ac:dyDescent="0.2">
      <c r="A252" s="1406"/>
      <c r="B252" s="1407"/>
      <c r="C252" s="1407"/>
      <c r="D252" s="1407"/>
      <c r="E252" s="1407"/>
      <c r="F252" s="1407"/>
      <c r="G252" s="1407"/>
      <c r="H252" s="1407"/>
      <c r="I252" s="1407"/>
      <c r="J252" s="1407"/>
      <c r="K252" s="1407"/>
      <c r="L252" s="1407"/>
      <c r="M252" s="1407"/>
      <c r="N252" s="1407"/>
      <c r="O252" s="1407"/>
      <c r="P252" s="1407"/>
      <c r="Q252" s="1408"/>
      <c r="R252" s="389"/>
    </row>
    <row r="253" spans="1:18" ht="26.25" customHeight="1" x14ac:dyDescent="0.2">
      <c r="A253" s="1409" t="s">
        <v>1759</v>
      </c>
      <c r="B253" s="1410"/>
      <c r="C253" s="1410"/>
      <c r="D253" s="1410"/>
      <c r="E253" s="1410"/>
      <c r="F253" s="1410"/>
      <c r="G253" s="1410"/>
      <c r="H253" s="1410"/>
      <c r="I253" s="1410"/>
      <c r="J253" s="1410"/>
      <c r="K253" s="1410"/>
      <c r="L253" s="1410"/>
      <c r="M253" s="1410"/>
      <c r="N253" s="1410"/>
      <c r="O253" s="1410"/>
      <c r="P253" s="1410"/>
      <c r="Q253" s="1411"/>
      <c r="R253" s="389"/>
    </row>
    <row r="254" spans="1:18" ht="26.25" customHeight="1" x14ac:dyDescent="0.2">
      <c r="A254" s="1382"/>
      <c r="B254" s="1383"/>
      <c r="C254" s="1383"/>
      <c r="D254" s="1383"/>
      <c r="E254" s="1383"/>
      <c r="F254" s="1383"/>
      <c r="G254" s="1383"/>
      <c r="H254" s="1383"/>
      <c r="I254" s="1383"/>
      <c r="J254" s="1383"/>
      <c r="K254" s="1383"/>
      <c r="L254" s="1383"/>
      <c r="M254" s="1383"/>
      <c r="N254" s="1383"/>
      <c r="O254" s="1383"/>
      <c r="P254" s="1383"/>
      <c r="Q254" s="1384"/>
      <c r="R254" s="389"/>
    </row>
    <row r="255" spans="1:18" ht="26.25" customHeight="1" thickBot="1" x14ac:dyDescent="0.25">
      <c r="A255" s="1412"/>
      <c r="B255" s="1413"/>
      <c r="C255" s="1413"/>
      <c r="D255" s="1413"/>
      <c r="E255" s="1413"/>
      <c r="F255" s="1413"/>
      <c r="G255" s="1413"/>
      <c r="H255" s="1413"/>
      <c r="I255" s="1413"/>
      <c r="J255" s="1413"/>
      <c r="K255" s="1413"/>
      <c r="L255" s="1413"/>
      <c r="M255" s="1413"/>
      <c r="N255" s="1413"/>
      <c r="O255" s="1413"/>
      <c r="P255" s="1413"/>
      <c r="Q255" s="1414"/>
      <c r="R255" s="389"/>
    </row>
    <row r="256" spans="1:18" ht="26.25" customHeight="1" x14ac:dyDescent="0.2">
      <c r="A256" s="1332" t="s">
        <v>1760</v>
      </c>
      <c r="B256" s="1333"/>
      <c r="C256" s="1333"/>
      <c r="D256" s="1333"/>
      <c r="E256" s="1333"/>
      <c r="F256" s="1333"/>
      <c r="G256" s="1333"/>
      <c r="H256" s="1333"/>
      <c r="I256" s="1333"/>
      <c r="J256" s="1333"/>
      <c r="K256" s="1333"/>
      <c r="L256" s="1333"/>
      <c r="M256" s="1333"/>
      <c r="N256" s="1333"/>
      <c r="O256" s="1333"/>
      <c r="P256" s="1333"/>
      <c r="Q256" s="1415"/>
    </row>
    <row r="257" spans="1:19" ht="26.25" customHeight="1" x14ac:dyDescent="0.2">
      <c r="A257" s="1416"/>
      <c r="B257" s="1383"/>
      <c r="C257" s="1383"/>
      <c r="D257" s="1383"/>
      <c r="E257" s="1383"/>
      <c r="F257" s="1383"/>
      <c r="G257" s="1383"/>
      <c r="H257" s="1383"/>
      <c r="I257" s="1383"/>
      <c r="J257" s="1383"/>
      <c r="K257" s="1383"/>
      <c r="L257" s="1383"/>
      <c r="M257" s="1383"/>
      <c r="N257" s="1383"/>
      <c r="O257" s="1383"/>
      <c r="P257" s="1383"/>
      <c r="Q257" s="1405"/>
    </row>
    <row r="258" spans="1:19" ht="26.25" customHeight="1" thickBot="1" x14ac:dyDescent="0.25">
      <c r="A258" s="1412"/>
      <c r="B258" s="1413"/>
      <c r="C258" s="1413"/>
      <c r="D258" s="1413"/>
      <c r="E258" s="1413"/>
      <c r="F258" s="1413"/>
      <c r="G258" s="1413"/>
      <c r="H258" s="1413"/>
      <c r="I258" s="1413"/>
      <c r="J258" s="1413"/>
      <c r="K258" s="1413"/>
      <c r="L258" s="1413"/>
      <c r="M258" s="1413"/>
      <c r="N258" s="1413"/>
      <c r="O258" s="1413"/>
      <c r="P258" s="1413"/>
      <c r="Q258" s="1414"/>
      <c r="R258" s="315"/>
    </row>
    <row r="259" spans="1:19" ht="26.25" customHeight="1" x14ac:dyDescent="0.2">
      <c r="A259" s="1396" t="s">
        <v>1761</v>
      </c>
      <c r="B259" s="1397"/>
      <c r="C259" s="1397"/>
      <c r="D259" s="1397"/>
      <c r="E259" s="1397"/>
      <c r="F259" s="1397"/>
      <c r="G259" s="1397"/>
      <c r="H259" s="1397"/>
      <c r="I259" s="1397"/>
      <c r="J259" s="1397"/>
      <c r="K259" s="1397"/>
      <c r="L259" s="1397"/>
      <c r="M259" s="1397"/>
      <c r="N259" s="1397"/>
      <c r="O259" s="1397"/>
      <c r="P259" s="1397"/>
      <c r="Q259" s="1398"/>
      <c r="R259" s="316"/>
    </row>
    <row r="260" spans="1:19" ht="26.25" customHeight="1" x14ac:dyDescent="0.2">
      <c r="A260" s="1351"/>
      <c r="B260" s="1340"/>
      <c r="C260" s="1340"/>
      <c r="D260" s="1340"/>
      <c r="E260" s="1340"/>
      <c r="F260" s="1340"/>
      <c r="G260" s="1340"/>
      <c r="H260" s="1340"/>
      <c r="I260" s="1340"/>
      <c r="J260" s="1340"/>
      <c r="K260" s="1340"/>
      <c r="L260" s="1340"/>
      <c r="M260" s="1340"/>
      <c r="N260" s="1340"/>
      <c r="O260" s="1340"/>
      <c r="P260" s="1340"/>
      <c r="Q260" s="1417"/>
      <c r="R260" s="22"/>
    </row>
    <row r="261" spans="1:19" ht="26.25" customHeight="1" thickBot="1" x14ac:dyDescent="0.25">
      <c r="A261" s="1393"/>
      <c r="B261" s="1394"/>
      <c r="C261" s="1394"/>
      <c r="D261" s="1394"/>
      <c r="E261" s="1394"/>
      <c r="F261" s="1394"/>
      <c r="G261" s="1394"/>
      <c r="H261" s="1394"/>
      <c r="I261" s="1394"/>
      <c r="J261" s="1394"/>
      <c r="K261" s="1394"/>
      <c r="L261" s="1394"/>
      <c r="M261" s="1394"/>
      <c r="N261" s="1394"/>
      <c r="O261" s="1394"/>
      <c r="P261" s="1394"/>
      <c r="Q261" s="1395"/>
      <c r="R261" s="22"/>
    </row>
    <row r="262" spans="1:19" ht="26.25" customHeight="1" x14ac:dyDescent="0.2">
      <c r="A262" s="409" t="str">
        <f>$A$1</f>
        <v xml:space="preserve"> </v>
      </c>
      <c r="B262" s="389"/>
      <c r="C262" s="389"/>
      <c r="D262" s="389"/>
      <c r="E262" s="389"/>
      <c r="F262" s="389"/>
      <c r="G262" s="389"/>
      <c r="H262" s="389"/>
      <c r="I262" s="389"/>
      <c r="J262" s="389"/>
      <c r="K262" s="389"/>
      <c r="L262" s="389"/>
      <c r="M262" s="389"/>
      <c r="N262" s="389"/>
      <c r="O262" s="389"/>
      <c r="P262" s="389"/>
      <c r="Q262" s="389"/>
      <c r="R262" s="313"/>
    </row>
    <row r="263" spans="1:19" ht="26.25" customHeight="1" x14ac:dyDescent="0.2">
      <c r="A263" s="1290" t="s">
        <v>1386</v>
      </c>
      <c r="B263" s="1291"/>
      <c r="C263" s="1291"/>
      <c r="D263" s="1291"/>
      <c r="E263" s="1291"/>
      <c r="F263" s="1291"/>
      <c r="G263" s="1291"/>
      <c r="H263" s="1291"/>
      <c r="I263" s="1291"/>
      <c r="J263" s="1291"/>
      <c r="K263" s="1291"/>
      <c r="L263" s="1291"/>
      <c r="M263" s="1291"/>
      <c r="N263" s="1419" t="s">
        <v>2844</v>
      </c>
      <c r="O263" s="1419"/>
      <c r="P263" s="1419"/>
      <c r="Q263" s="1420"/>
      <c r="R263" s="392"/>
    </row>
    <row r="264" spans="1:19" ht="26.25" customHeight="1" x14ac:dyDescent="0.2">
      <c r="A264" s="1294" t="str">
        <f>IF(ISBLANK(Cap_Expend_Name),"The Capital Expenditure Contact information has NOT been provided.  Click here to go to Capital Expenditure Contact Section to fill in this information now.","")</f>
        <v/>
      </c>
      <c r="B264" s="1295"/>
      <c r="C264" s="1295"/>
      <c r="D264" s="1295"/>
      <c r="E264" s="1295"/>
      <c r="F264" s="1295"/>
      <c r="G264" s="1295"/>
      <c r="H264" s="1295"/>
      <c r="I264" s="1295"/>
      <c r="J264" s="1295"/>
      <c r="K264" s="1295"/>
      <c r="L264" s="1295"/>
      <c r="M264" s="1295"/>
      <c r="N264" s="407" t="s">
        <v>1727</v>
      </c>
      <c r="O264" s="408"/>
      <c r="P264" s="1296"/>
      <c r="Q264" s="1297"/>
      <c r="R264" s="2"/>
    </row>
    <row r="265" spans="1:19" ht="26.25" customHeight="1" thickBot="1" x14ac:dyDescent="0.25">
      <c r="A265" s="1298" t="s">
        <v>1338</v>
      </c>
      <c r="B265" s="1299"/>
      <c r="C265" s="1299"/>
      <c r="D265" s="1299"/>
      <c r="E265" s="1300"/>
      <c r="F265" s="1301"/>
      <c r="G265" s="1301"/>
      <c r="H265" s="1301"/>
      <c r="I265" s="1301"/>
      <c r="J265" s="1301"/>
      <c r="K265" s="1301"/>
      <c r="L265" s="1302"/>
      <c r="M265" s="295"/>
      <c r="N265" s="1303" t="s">
        <v>1728</v>
      </c>
      <c r="O265" s="1304"/>
      <c r="P265" s="1304"/>
      <c r="Q265" s="1305"/>
      <c r="R265" s="2"/>
    </row>
    <row r="266" spans="1:19" ht="26.25" customHeight="1" x14ac:dyDescent="0.2">
      <c r="A266" s="1306" t="s">
        <v>1729</v>
      </c>
      <c r="B266" s="1307"/>
      <c r="C266" s="1307"/>
      <c r="D266" s="1308"/>
      <c r="E266" s="1320"/>
      <c r="F266" s="1310"/>
      <c r="G266" s="1310"/>
      <c r="H266" s="1310"/>
      <c r="I266" s="1310"/>
      <c r="J266" s="1310"/>
      <c r="K266" s="1310"/>
      <c r="L266" s="1311"/>
      <c r="M266" s="1312" t="str">
        <f>IF(AND(ISBLANK(E266),OR(NOT(ISBLANK(E267)),NOT(ISBLANK(E268)),NOT(ISBLANK(E269)),NOT(ISBLANK(I270)),NOT(ISBLANK(E265)))),"This information is required.","")</f>
        <v/>
      </c>
      <c r="N266" s="1313"/>
      <c r="O266" s="1313"/>
      <c r="P266" s="1313"/>
      <c r="Q266" s="296"/>
      <c r="R266" s="2"/>
    </row>
    <row r="267" spans="1:19" ht="26.25" customHeight="1" x14ac:dyDescent="0.2">
      <c r="A267" s="1314" t="s">
        <v>1730</v>
      </c>
      <c r="B267" s="1315"/>
      <c r="C267" s="1315"/>
      <c r="D267" s="1316"/>
      <c r="E267" s="1320"/>
      <c r="F267" s="1310"/>
      <c r="G267" s="1310"/>
      <c r="H267" s="1310"/>
      <c r="I267" s="1310"/>
      <c r="J267" s="1310"/>
      <c r="K267" s="1310"/>
      <c r="L267" s="1311"/>
      <c r="M267" s="1312" t="str">
        <f>IF(AND(ISBLANK(E267),OR(NOT(ISBLANK(E266)),NOT(ISBLANK(E268)),NOT(ISBLANK(E269)),NOT(ISBLANK(I270)),NOT(ISBLANK(E265)))),"This information is required.","")</f>
        <v/>
      </c>
      <c r="N267" s="1313"/>
      <c r="O267" s="1313"/>
      <c r="P267" s="1313"/>
      <c r="Q267" s="296"/>
      <c r="R267" s="2"/>
    </row>
    <row r="268" spans="1:19" ht="26.25" customHeight="1" x14ac:dyDescent="0.2">
      <c r="A268" s="1317" t="s">
        <v>1731</v>
      </c>
      <c r="B268" s="1318"/>
      <c r="C268" s="1318"/>
      <c r="D268" s="1319"/>
      <c r="E268" s="1320"/>
      <c r="F268" s="1310"/>
      <c r="G268" s="1321" t="s">
        <v>1732</v>
      </c>
      <c r="H268" s="1321"/>
      <c r="I268" s="1321"/>
      <c r="J268" s="1321"/>
      <c r="K268" s="1321"/>
      <c r="L268" s="1321"/>
      <c r="M268" s="615" t="str">
        <f>IF(AND(ISBLANK(E268),OR(NOT(ISBLANK(E266)),NOT(ISBLANK(E267)),NOT(ISBLANK(E269)),NOT(ISBLANK(I270)),NOT(ISBLANK(E265)))),"This information is required.","")</f>
        <v/>
      </c>
      <c r="N268" s="616"/>
      <c r="O268" s="616"/>
      <c r="P268" s="616"/>
      <c r="Q268" s="297"/>
      <c r="R268" s="298"/>
    </row>
    <row r="269" spans="1:19" ht="26.25" customHeight="1" x14ac:dyDescent="0.2">
      <c r="A269" s="1314" t="s">
        <v>1733</v>
      </c>
      <c r="B269" s="1315"/>
      <c r="C269" s="1315"/>
      <c r="D269" s="1316"/>
      <c r="E269" s="1322"/>
      <c r="F269" s="1323"/>
      <c r="G269" s="299"/>
      <c r="H269" s="300"/>
      <c r="I269" s="301"/>
      <c r="J269" s="298"/>
      <c r="K269" s="298"/>
      <c r="L269" s="298"/>
      <c r="M269" s="616" t="str">
        <f>IF(AND(ISBLANK(E269),OR(NOT(ISBLANK(E266)),NOT(ISBLANK(E267)),NOT(ISBLANK(E268)),NOT(ISBLANK(I270)),NOT(ISBLANK(E265)))),"This information is required.","")</f>
        <v/>
      </c>
      <c r="N269" s="616"/>
      <c r="O269" s="616"/>
      <c r="P269" s="616"/>
      <c r="Q269" s="297"/>
      <c r="R269" s="5"/>
      <c r="S269" s="267">
        <f>IF(ISBLANK(E269),0,1)</f>
        <v>0</v>
      </c>
    </row>
    <row r="270" spans="1:19" ht="26.25" customHeight="1" thickBot="1" x14ac:dyDescent="0.25">
      <c r="A270" s="1324" t="s">
        <v>1734</v>
      </c>
      <c r="B270" s="1325"/>
      <c r="C270" s="1325"/>
      <c r="D270" s="1325"/>
      <c r="E270" s="1326"/>
      <c r="F270" s="1326"/>
      <c r="G270" s="1326"/>
      <c r="H270" s="1326"/>
      <c r="I270" s="1327"/>
      <c r="J270" s="1328"/>
      <c r="K270" s="1329" t="s">
        <v>1735</v>
      </c>
      <c r="L270" s="1330"/>
      <c r="M270" s="1331" t="str">
        <f>IF(AND(ISBLANK(I270),OR(NOT(ISBLANK(E266)),NOT(ISBLANK(E267)),NOT(ISBLANK(E268)),NOT(ISBLANK(E269)),NOT(ISBLANK(E265)))),"This information is required!","")</f>
        <v/>
      </c>
      <c r="N270" s="1331"/>
      <c r="O270" s="1331"/>
      <c r="P270" s="1331"/>
      <c r="Q270" s="302"/>
      <c r="R270" s="5"/>
    </row>
    <row r="271" spans="1:19" ht="26.25" customHeight="1" x14ac:dyDescent="0.2">
      <c r="A271" s="1332" t="s">
        <v>1736</v>
      </c>
      <c r="B271" s="1333"/>
      <c r="C271" s="1333"/>
      <c r="D271" s="1333"/>
      <c r="E271" s="1333"/>
      <c r="F271" s="1333"/>
      <c r="G271" s="1333"/>
      <c r="H271" s="1333"/>
      <c r="I271" s="1333"/>
      <c r="J271" s="1334"/>
      <c r="K271" s="1335" t="s">
        <v>1737</v>
      </c>
      <c r="L271" s="1335"/>
      <c r="M271" s="1335"/>
      <c r="N271" s="1335"/>
      <c r="O271" s="1337" t="s">
        <v>1738</v>
      </c>
      <c r="P271" s="1337"/>
      <c r="Q271" s="1338"/>
      <c r="R271" s="463" t="str">
        <f>IF(AND(ISBLANK(A272),OR(NOT(ISBLANK(I270)),NOT(ISBLANK(E269)),NOT(ISBLANK(E268)),NOT(ISBLANK(E267)),NOT(ISBLANK(E266)),NOT(ISBLANK(E265)))),"General Description is required!","")</f>
        <v/>
      </c>
    </row>
    <row r="272" spans="1:19" ht="45" customHeight="1" x14ac:dyDescent="0.2">
      <c r="A272" s="1351"/>
      <c r="B272" s="1340"/>
      <c r="C272" s="1340"/>
      <c r="D272" s="1340"/>
      <c r="E272" s="1340"/>
      <c r="F272" s="1340"/>
      <c r="G272" s="1340"/>
      <c r="H272" s="1340"/>
      <c r="I272" s="1340"/>
      <c r="J272" s="1341"/>
      <c r="K272" s="1336"/>
      <c r="L272" s="1336"/>
      <c r="M272" s="1336"/>
      <c r="N272" s="1336"/>
      <c r="O272" s="305"/>
      <c r="P272" s="306" t="s">
        <v>91</v>
      </c>
      <c r="Q272" s="307" t="s">
        <v>92</v>
      </c>
      <c r="R272" s="393"/>
    </row>
    <row r="273" spans="1:18" ht="26.25" customHeight="1" x14ac:dyDescent="0.2">
      <c r="A273" s="1342"/>
      <c r="B273" s="1343"/>
      <c r="C273" s="1343"/>
      <c r="D273" s="1343"/>
      <c r="E273" s="1343"/>
      <c r="F273" s="1343"/>
      <c r="G273" s="1343"/>
      <c r="H273" s="1343"/>
      <c r="I273" s="1343"/>
      <c r="J273" s="1344"/>
      <c r="K273" s="1345" t="s">
        <v>1739</v>
      </c>
      <c r="L273" s="1346"/>
      <c r="M273" s="1346"/>
      <c r="N273" s="1346"/>
      <c r="O273" s="1347"/>
      <c r="P273" s="388"/>
      <c r="Q273" s="309"/>
      <c r="R273" s="461" t="str">
        <f>IF(NOT(AND(ISBLANK(E265),ISBLANK(E266),ISBLANK(E267),ISBLANK(E268),ISBLANK(E269),ISBLANK(I270))),IF(COUNTBLANK(P273:Q273)=2,"Please enter response.",IF(COUNTBLANK(P273:Q273)&lt;&gt;1,"Please VERIFY response.","")),"")</f>
        <v/>
      </c>
    </row>
    <row r="274" spans="1:18" ht="26.25" customHeight="1" x14ac:dyDescent="0.2">
      <c r="A274" s="1348" t="s">
        <v>1740</v>
      </c>
      <c r="B274" s="1349"/>
      <c r="C274" s="1349"/>
      <c r="D274" s="1349"/>
      <c r="E274" s="1349"/>
      <c r="F274" s="1349"/>
      <c r="G274" s="1349"/>
      <c r="H274" s="1349"/>
      <c r="I274" s="1349"/>
      <c r="J274" s="1350"/>
      <c r="K274" s="1345" t="s">
        <v>1741</v>
      </c>
      <c r="L274" s="1346"/>
      <c r="M274" s="1346"/>
      <c r="N274" s="1346"/>
      <c r="O274" s="1347"/>
      <c r="P274" s="388"/>
      <c r="Q274" s="309"/>
      <c r="R274" s="461" t="str">
        <f>IF(NOT(AND(ISBLANK(E265),ISBLANK(E266),ISBLANK(E267),ISBLANK(E268),ISBLANK(E269),ISBLANK(I270))),IF(COUNTBLANK(P274:Q274)=2,"Please enter response.",IF(COUNTBLANK(P274:Q274)&lt;&gt;1,"Please VERIFY response.","")),"")</f>
        <v/>
      </c>
    </row>
    <row r="275" spans="1:18" ht="26.25" customHeight="1" x14ac:dyDescent="0.2">
      <c r="A275" s="1351"/>
      <c r="B275" s="1340"/>
      <c r="C275" s="1340"/>
      <c r="D275" s="1340"/>
      <c r="E275" s="1340"/>
      <c r="F275" s="1340"/>
      <c r="G275" s="1340"/>
      <c r="H275" s="1340"/>
      <c r="I275" s="1340"/>
      <c r="J275" s="1341"/>
      <c r="K275" s="1345" t="s">
        <v>1742</v>
      </c>
      <c r="L275" s="1346"/>
      <c r="M275" s="1346"/>
      <c r="N275" s="1346"/>
      <c r="O275" s="1347"/>
      <c r="P275" s="388"/>
      <c r="Q275" s="309"/>
      <c r="R275" s="461" t="str">
        <f>IF(NOT(AND(ISBLANK(E265),ISBLANK(E266),ISBLANK(E267),ISBLANK(E268),ISBLANK(E269),ISBLANK(I270))),IF(COUNTBLANK(P275:Q275)=2,"Please enter response.",IF(COUNTBLANK(P275:Q275)&lt;&gt;1,"Please VERIFY response.","")),"")</f>
        <v/>
      </c>
    </row>
    <row r="276" spans="1:18" ht="26.25" customHeight="1" x14ac:dyDescent="0.2">
      <c r="A276" s="1342"/>
      <c r="B276" s="1343"/>
      <c r="C276" s="1343"/>
      <c r="D276" s="1343"/>
      <c r="E276" s="1343"/>
      <c r="F276" s="1343"/>
      <c r="G276" s="1343"/>
      <c r="H276" s="1343"/>
      <c r="I276" s="1343"/>
      <c r="J276" s="1344"/>
      <c r="K276" s="1345" t="s">
        <v>1743</v>
      </c>
      <c r="L276" s="1346"/>
      <c r="M276" s="1346"/>
      <c r="N276" s="1346"/>
      <c r="O276" s="1347"/>
      <c r="P276" s="388"/>
      <c r="Q276" s="309"/>
      <c r="R276" s="461" t="str">
        <f>IF(NOT(AND(ISBLANK(E265),ISBLANK(E266),ISBLANK(E267),ISBLANK(E268),ISBLANK(E269),ISBLANK(I270))),IF(COUNTBLANK(P276:Q276)=2,"Please enter response.",IF(COUNTBLANK(P276:Q276)&lt;&gt;1,"Please VERIFY response.","")),"")</f>
        <v/>
      </c>
    </row>
    <row r="277" spans="1:18" ht="26.25" customHeight="1" x14ac:dyDescent="0.2">
      <c r="A277" s="1352" t="s">
        <v>1744</v>
      </c>
      <c r="B277" s="1353"/>
      <c r="C277" s="1353"/>
      <c r="D277" s="1353"/>
      <c r="E277" s="1353"/>
      <c r="F277" s="1353"/>
      <c r="G277" s="1353"/>
      <c r="H277" s="1353"/>
      <c r="I277" s="1353"/>
      <c r="J277" s="1353"/>
      <c r="K277" s="1353"/>
      <c r="L277" s="1353"/>
      <c r="M277" s="1353"/>
      <c r="N277" s="1353"/>
      <c r="O277" s="1353"/>
      <c r="P277" s="1353"/>
      <c r="Q277" s="1354"/>
      <c r="R277" s="310"/>
    </row>
    <row r="278" spans="1:18" ht="26.25" customHeight="1" x14ac:dyDescent="0.2">
      <c r="A278" s="1355" t="s">
        <v>1745</v>
      </c>
      <c r="B278" s="1356"/>
      <c r="C278" s="1356"/>
      <c r="D278" s="1356"/>
      <c r="E278" s="1356" t="s">
        <v>1746</v>
      </c>
      <c r="F278" s="1356"/>
      <c r="G278" s="1356"/>
      <c r="H278" s="1356"/>
      <c r="I278" s="1356" t="s">
        <v>1747</v>
      </c>
      <c r="J278" s="1356"/>
      <c r="K278" s="1356"/>
      <c r="L278" s="1356"/>
      <c r="M278" s="1357" t="s">
        <v>1748</v>
      </c>
      <c r="N278" s="1356"/>
      <c r="O278" s="1356"/>
      <c r="P278" s="1356"/>
      <c r="Q278" s="1358"/>
      <c r="R278" s="311"/>
    </row>
    <row r="279" spans="1:18" ht="26.25" customHeight="1" thickBot="1" x14ac:dyDescent="0.25">
      <c r="A279" s="1359"/>
      <c r="B279" s="1360"/>
      <c r="C279" s="1360"/>
      <c r="D279" s="1360"/>
      <c r="E279" s="1361"/>
      <c r="F279" s="1362"/>
      <c r="G279" s="1362"/>
      <c r="H279" s="1363"/>
      <c r="I279" s="1361"/>
      <c r="J279" s="1362"/>
      <c r="K279" s="1362"/>
      <c r="L279" s="1363"/>
      <c r="M279" s="1364"/>
      <c r="N279" s="1364"/>
      <c r="O279" s="1364"/>
      <c r="P279" s="1364"/>
      <c r="Q279" s="1365"/>
      <c r="R279" s="310"/>
    </row>
    <row r="280" spans="1:18" ht="26.25" customHeight="1" x14ac:dyDescent="0.2">
      <c r="A280" s="1366" t="s">
        <v>1749</v>
      </c>
      <c r="B280" s="1367"/>
      <c r="C280" s="1367"/>
      <c r="D280" s="1367"/>
      <c r="E280" s="1367"/>
      <c r="F280" s="1367"/>
      <c r="G280" s="1367"/>
      <c r="H280" s="1367"/>
      <c r="I280" s="1367"/>
      <c r="J280" s="1367"/>
      <c r="K280" s="1367"/>
      <c r="L280" s="1367"/>
      <c r="M280" s="1367"/>
      <c r="N280" s="1367"/>
      <c r="O280" s="1367"/>
      <c r="P280" s="1367"/>
      <c r="Q280" s="1368"/>
      <c r="R280" s="390"/>
    </row>
    <row r="281" spans="1:18" ht="26.25" customHeight="1" x14ac:dyDescent="0.2">
      <c r="A281" s="1369" t="s">
        <v>1750</v>
      </c>
      <c r="B281" s="1370"/>
      <c r="C281" s="1370"/>
      <c r="D281" s="1370"/>
      <c r="E281" s="1370"/>
      <c r="F281" s="1370"/>
      <c r="G281" s="1370"/>
      <c r="H281" s="1370"/>
      <c r="I281" s="1370"/>
      <c r="J281" s="1370"/>
      <c r="K281" s="1370"/>
      <c r="L281" s="1371"/>
      <c r="M281" s="1372"/>
      <c r="N281" s="1373"/>
      <c r="O281" s="1373"/>
      <c r="P281" s="1373"/>
      <c r="Q281" s="1374"/>
      <c r="R281" s="390"/>
    </row>
    <row r="282" spans="1:18" ht="26.25" customHeight="1" x14ac:dyDescent="0.2">
      <c r="A282" s="1369" t="s">
        <v>1751</v>
      </c>
      <c r="B282" s="1375"/>
      <c r="C282" s="1375"/>
      <c r="D282" s="1375"/>
      <c r="E282" s="1375"/>
      <c r="F282" s="1375"/>
      <c r="G282" s="1375"/>
      <c r="H282" s="1375"/>
      <c r="I282" s="1375"/>
      <c r="J282" s="1375"/>
      <c r="K282" s="1375"/>
      <c r="L282" s="1375"/>
      <c r="M282" s="1376"/>
      <c r="N282" s="1377"/>
      <c r="O282" s="1377"/>
      <c r="P282" s="1377"/>
      <c r="Q282" s="1378"/>
      <c r="R282" s="390"/>
    </row>
    <row r="283" spans="1:18" ht="26.25" customHeight="1" x14ac:dyDescent="0.2">
      <c r="A283" s="1369" t="s">
        <v>1752</v>
      </c>
      <c r="B283" s="1375"/>
      <c r="C283" s="1375"/>
      <c r="D283" s="1375"/>
      <c r="E283" s="1375"/>
      <c r="F283" s="1375"/>
      <c r="G283" s="1375"/>
      <c r="H283" s="1375"/>
      <c r="I283" s="1375"/>
      <c r="J283" s="1375"/>
      <c r="K283" s="1375"/>
      <c r="L283" s="1375"/>
      <c r="M283" s="1376"/>
      <c r="N283" s="1377"/>
      <c r="O283" s="1377"/>
      <c r="P283" s="1377"/>
      <c r="Q283" s="1378"/>
      <c r="R283" s="390"/>
    </row>
    <row r="284" spans="1:18" ht="26.25" customHeight="1" x14ac:dyDescent="0.2">
      <c r="A284" s="1379" t="s">
        <v>1753</v>
      </c>
      <c r="B284" s="1380"/>
      <c r="C284" s="1380"/>
      <c r="D284" s="1380"/>
      <c r="E284" s="1380"/>
      <c r="F284" s="1380"/>
      <c r="G284" s="1380"/>
      <c r="H284" s="1380"/>
      <c r="I284" s="1380"/>
      <c r="J284" s="1380"/>
      <c r="K284" s="1380"/>
      <c r="L284" s="1380"/>
      <c r="M284" s="1380"/>
      <c r="N284" s="1380"/>
      <c r="O284" s="1380"/>
      <c r="P284" s="1380"/>
      <c r="Q284" s="1381"/>
      <c r="R284" s="390"/>
    </row>
    <row r="285" spans="1:18" ht="26.25" customHeight="1" x14ac:dyDescent="0.2">
      <c r="A285" s="1382"/>
      <c r="B285" s="1383"/>
      <c r="C285" s="1383"/>
      <c r="D285" s="1383"/>
      <c r="E285" s="1383"/>
      <c r="F285" s="1383"/>
      <c r="G285" s="1383"/>
      <c r="H285" s="1383"/>
      <c r="I285" s="1383"/>
      <c r="J285" s="1383"/>
      <c r="K285" s="1383"/>
      <c r="L285" s="1383"/>
      <c r="M285" s="1383"/>
      <c r="N285" s="1383"/>
      <c r="O285" s="1383"/>
      <c r="P285" s="1383"/>
      <c r="Q285" s="1384"/>
      <c r="R285" s="390"/>
    </row>
    <row r="286" spans="1:18" ht="26.25" customHeight="1" x14ac:dyDescent="0.2">
      <c r="A286" s="1385"/>
      <c r="B286" s="1386"/>
      <c r="C286" s="1386"/>
      <c r="D286" s="1386"/>
      <c r="E286" s="1386"/>
      <c r="F286" s="1386"/>
      <c r="G286" s="1386"/>
      <c r="H286" s="1386"/>
      <c r="I286" s="1386"/>
      <c r="J286" s="1386"/>
      <c r="K286" s="1386"/>
      <c r="L286" s="1386"/>
      <c r="M286" s="1386"/>
      <c r="N286" s="1386"/>
      <c r="O286" s="1386"/>
      <c r="P286" s="1386"/>
      <c r="Q286" s="1387"/>
      <c r="R286" s="390"/>
    </row>
    <row r="287" spans="1:18" ht="26.25" customHeight="1" x14ac:dyDescent="0.2">
      <c r="A287" s="1388" t="s">
        <v>1754</v>
      </c>
      <c r="B287" s="1389"/>
      <c r="C287" s="1389"/>
      <c r="D287" s="1389"/>
      <c r="E287" s="1389"/>
      <c r="F287" s="1389"/>
      <c r="G287" s="1389"/>
      <c r="H287" s="1389"/>
      <c r="I287" s="1389"/>
      <c r="J287" s="1389"/>
      <c r="K287" s="1389"/>
      <c r="L287" s="1389"/>
      <c r="M287" s="1389"/>
      <c r="N287" s="1389"/>
      <c r="O287" s="1389"/>
      <c r="P287" s="1389"/>
      <c r="Q287" s="1390"/>
      <c r="R287" s="390"/>
    </row>
    <row r="288" spans="1:18" ht="26.25" customHeight="1" x14ac:dyDescent="0.2">
      <c r="A288" s="1382"/>
      <c r="B288" s="1391"/>
      <c r="C288" s="1391"/>
      <c r="D288" s="1391"/>
      <c r="E288" s="1391"/>
      <c r="F288" s="1391"/>
      <c r="G288" s="1391"/>
      <c r="H288" s="1391"/>
      <c r="I288" s="1391"/>
      <c r="J288" s="1391"/>
      <c r="K288" s="1391"/>
      <c r="L288" s="1391"/>
      <c r="M288" s="1391"/>
      <c r="N288" s="1391"/>
      <c r="O288" s="1391"/>
      <c r="P288" s="1391"/>
      <c r="Q288" s="1392"/>
      <c r="R288" s="390"/>
    </row>
    <row r="289" spans="1:18" ht="26.25" customHeight="1" thickBot="1" x14ac:dyDescent="0.25">
      <c r="A289" s="1393"/>
      <c r="B289" s="1394"/>
      <c r="C289" s="1394"/>
      <c r="D289" s="1394"/>
      <c r="E289" s="1394"/>
      <c r="F289" s="1394"/>
      <c r="G289" s="1394"/>
      <c r="H289" s="1394"/>
      <c r="I289" s="1394"/>
      <c r="J289" s="1394"/>
      <c r="K289" s="1394"/>
      <c r="L289" s="1394"/>
      <c r="M289" s="1394"/>
      <c r="N289" s="1394"/>
      <c r="O289" s="1394"/>
      <c r="P289" s="1394"/>
      <c r="Q289" s="1395"/>
      <c r="R289" s="389"/>
    </row>
    <row r="290" spans="1:18" ht="26.25" customHeight="1" x14ac:dyDescent="0.2">
      <c r="A290" s="1396" t="s">
        <v>1755</v>
      </c>
      <c r="B290" s="1397"/>
      <c r="C290" s="1397"/>
      <c r="D290" s="1397"/>
      <c r="E290" s="1397"/>
      <c r="F290" s="1397"/>
      <c r="G290" s="1397"/>
      <c r="H290" s="1397"/>
      <c r="I290" s="1397"/>
      <c r="J290" s="1397"/>
      <c r="K290" s="1397"/>
      <c r="L290" s="1397"/>
      <c r="M290" s="1397"/>
      <c r="N290" s="1397"/>
      <c r="O290" s="1397"/>
      <c r="P290" s="1397"/>
      <c r="Q290" s="1398"/>
      <c r="R290" s="390"/>
    </row>
    <row r="291" spans="1:18" ht="26.25" customHeight="1" x14ac:dyDescent="0.2">
      <c r="A291" s="1399" t="s">
        <v>1756</v>
      </c>
      <c r="B291" s="1400"/>
      <c r="C291" s="1400"/>
      <c r="D291" s="1400"/>
      <c r="E291" s="1400"/>
      <c r="F291" s="1400"/>
      <c r="G291" s="1400"/>
      <c r="H291" s="1400"/>
      <c r="I291" s="1400"/>
      <c r="J291" s="1400"/>
      <c r="K291" s="1400"/>
      <c r="L291" s="1401"/>
      <c r="M291" s="1372"/>
      <c r="N291" s="1373"/>
      <c r="O291" s="1373"/>
      <c r="P291" s="1373"/>
      <c r="Q291" s="1374"/>
      <c r="R291" s="389"/>
    </row>
    <row r="292" spans="1:18" ht="26.25" customHeight="1" x14ac:dyDescent="0.2">
      <c r="A292" s="1369" t="s">
        <v>1757</v>
      </c>
      <c r="B292" s="1370"/>
      <c r="C292" s="1370"/>
      <c r="D292" s="1370"/>
      <c r="E292" s="1370"/>
      <c r="F292" s="1370"/>
      <c r="G292" s="1370"/>
      <c r="H292" s="1370"/>
      <c r="I292" s="1370"/>
      <c r="J292" s="1370"/>
      <c r="K292" s="1370"/>
      <c r="L292" s="1371"/>
      <c r="M292" s="1376"/>
      <c r="N292" s="1377"/>
      <c r="O292" s="1377"/>
      <c r="P292" s="1377"/>
      <c r="Q292" s="1378"/>
      <c r="R292" s="389"/>
    </row>
    <row r="293" spans="1:18" ht="26.25" customHeight="1" x14ac:dyDescent="0.2">
      <c r="A293" s="1402" t="s">
        <v>1758</v>
      </c>
      <c r="B293" s="1403"/>
      <c r="C293" s="1403"/>
      <c r="D293" s="1403"/>
      <c r="E293" s="1403"/>
      <c r="F293" s="1403"/>
      <c r="G293" s="1403"/>
      <c r="H293" s="1403"/>
      <c r="I293" s="1403"/>
      <c r="J293" s="1403"/>
      <c r="K293" s="1403"/>
      <c r="L293" s="1403"/>
      <c r="M293" s="1403"/>
      <c r="N293" s="1403"/>
      <c r="O293" s="1403"/>
      <c r="P293" s="1403"/>
      <c r="Q293" s="1404"/>
      <c r="R293" s="389"/>
    </row>
    <row r="294" spans="1:18" ht="26.25" customHeight="1" x14ac:dyDescent="0.2">
      <c r="A294" s="1382"/>
      <c r="B294" s="1383"/>
      <c r="C294" s="1383"/>
      <c r="D294" s="1383"/>
      <c r="E294" s="1383"/>
      <c r="F294" s="1383"/>
      <c r="G294" s="1383"/>
      <c r="H294" s="1383"/>
      <c r="I294" s="1383"/>
      <c r="J294" s="1383"/>
      <c r="K294" s="1383"/>
      <c r="L294" s="1383"/>
      <c r="M294" s="1383"/>
      <c r="N294" s="1383"/>
      <c r="O294" s="1383"/>
      <c r="P294" s="1383"/>
      <c r="Q294" s="1405"/>
      <c r="R294" s="389"/>
    </row>
    <row r="295" spans="1:18" ht="26.25" customHeight="1" x14ac:dyDescent="0.2">
      <c r="A295" s="1406"/>
      <c r="B295" s="1407"/>
      <c r="C295" s="1407"/>
      <c r="D295" s="1407"/>
      <c r="E295" s="1407"/>
      <c r="F295" s="1407"/>
      <c r="G295" s="1407"/>
      <c r="H295" s="1407"/>
      <c r="I295" s="1407"/>
      <c r="J295" s="1407"/>
      <c r="K295" s="1407"/>
      <c r="L295" s="1407"/>
      <c r="M295" s="1407"/>
      <c r="N295" s="1407"/>
      <c r="O295" s="1407"/>
      <c r="P295" s="1407"/>
      <c r="Q295" s="1408"/>
      <c r="R295" s="389"/>
    </row>
    <row r="296" spans="1:18" ht="26.25" customHeight="1" x14ac:dyDescent="0.2">
      <c r="A296" s="1409" t="s">
        <v>1759</v>
      </c>
      <c r="B296" s="1410"/>
      <c r="C296" s="1410"/>
      <c r="D296" s="1410"/>
      <c r="E296" s="1410"/>
      <c r="F296" s="1410"/>
      <c r="G296" s="1410"/>
      <c r="H296" s="1410"/>
      <c r="I296" s="1410"/>
      <c r="J296" s="1410"/>
      <c r="K296" s="1410"/>
      <c r="L296" s="1410"/>
      <c r="M296" s="1410"/>
      <c r="N296" s="1410"/>
      <c r="O296" s="1410"/>
      <c r="P296" s="1410"/>
      <c r="Q296" s="1411"/>
      <c r="R296" s="389"/>
    </row>
    <row r="297" spans="1:18" ht="26.25" customHeight="1" x14ac:dyDescent="0.2">
      <c r="A297" s="1382"/>
      <c r="B297" s="1383"/>
      <c r="C297" s="1383"/>
      <c r="D297" s="1383"/>
      <c r="E297" s="1383"/>
      <c r="F297" s="1383"/>
      <c r="G297" s="1383"/>
      <c r="H297" s="1383"/>
      <c r="I297" s="1383"/>
      <c r="J297" s="1383"/>
      <c r="K297" s="1383"/>
      <c r="L297" s="1383"/>
      <c r="M297" s="1383"/>
      <c r="N297" s="1383"/>
      <c r="O297" s="1383"/>
      <c r="P297" s="1383"/>
      <c r="Q297" s="1384"/>
      <c r="R297" s="389"/>
    </row>
    <row r="298" spans="1:18" ht="26.25" customHeight="1" thickBot="1" x14ac:dyDescent="0.25">
      <c r="A298" s="1412"/>
      <c r="B298" s="1413"/>
      <c r="C298" s="1413"/>
      <c r="D298" s="1413"/>
      <c r="E298" s="1413"/>
      <c r="F298" s="1413"/>
      <c r="G298" s="1413"/>
      <c r="H298" s="1413"/>
      <c r="I298" s="1413"/>
      <c r="J298" s="1413"/>
      <c r="K298" s="1413"/>
      <c r="L298" s="1413"/>
      <c r="M298" s="1413"/>
      <c r="N298" s="1413"/>
      <c r="O298" s="1413"/>
      <c r="P298" s="1413"/>
      <c r="Q298" s="1414"/>
      <c r="R298" s="389"/>
    </row>
    <row r="299" spans="1:18" ht="26.25" customHeight="1" x14ac:dyDescent="0.2">
      <c r="A299" s="1332" t="s">
        <v>1760</v>
      </c>
      <c r="B299" s="1333"/>
      <c r="C299" s="1333"/>
      <c r="D299" s="1333"/>
      <c r="E299" s="1333"/>
      <c r="F299" s="1333"/>
      <c r="G299" s="1333"/>
      <c r="H299" s="1333"/>
      <c r="I299" s="1333"/>
      <c r="J299" s="1333"/>
      <c r="K299" s="1333"/>
      <c r="L299" s="1333"/>
      <c r="M299" s="1333"/>
      <c r="N299" s="1333"/>
      <c r="O299" s="1333"/>
      <c r="P299" s="1333"/>
      <c r="Q299" s="1415"/>
    </row>
    <row r="300" spans="1:18" ht="26.25" customHeight="1" x14ac:dyDescent="0.2">
      <c r="A300" s="1416"/>
      <c r="B300" s="1383"/>
      <c r="C300" s="1383"/>
      <c r="D300" s="1383"/>
      <c r="E300" s="1383"/>
      <c r="F300" s="1383"/>
      <c r="G300" s="1383"/>
      <c r="H300" s="1383"/>
      <c r="I300" s="1383"/>
      <c r="J300" s="1383"/>
      <c r="K300" s="1383"/>
      <c r="L300" s="1383"/>
      <c r="M300" s="1383"/>
      <c r="N300" s="1383"/>
      <c r="O300" s="1383"/>
      <c r="P300" s="1383"/>
      <c r="Q300" s="1405"/>
    </row>
    <row r="301" spans="1:18" ht="26.25" customHeight="1" thickBot="1" x14ac:dyDescent="0.25">
      <c r="A301" s="1412"/>
      <c r="B301" s="1413"/>
      <c r="C301" s="1413"/>
      <c r="D301" s="1413"/>
      <c r="E301" s="1413"/>
      <c r="F301" s="1413"/>
      <c r="G301" s="1413"/>
      <c r="H301" s="1413"/>
      <c r="I301" s="1413"/>
      <c r="J301" s="1413"/>
      <c r="K301" s="1413"/>
      <c r="L301" s="1413"/>
      <c r="M301" s="1413"/>
      <c r="N301" s="1413"/>
      <c r="O301" s="1413"/>
      <c r="P301" s="1413"/>
      <c r="Q301" s="1414"/>
      <c r="R301" s="315"/>
    </row>
    <row r="302" spans="1:18" ht="26.25" customHeight="1" x14ac:dyDescent="0.2">
      <c r="A302" s="1396" t="s">
        <v>1761</v>
      </c>
      <c r="B302" s="1397"/>
      <c r="C302" s="1397"/>
      <c r="D302" s="1397"/>
      <c r="E302" s="1397"/>
      <c r="F302" s="1397"/>
      <c r="G302" s="1397"/>
      <c r="H302" s="1397"/>
      <c r="I302" s="1397"/>
      <c r="J302" s="1397"/>
      <c r="K302" s="1397"/>
      <c r="L302" s="1397"/>
      <c r="M302" s="1397"/>
      <c r="N302" s="1397"/>
      <c r="O302" s="1397"/>
      <c r="P302" s="1397"/>
      <c r="Q302" s="1398"/>
      <c r="R302" s="316"/>
    </row>
    <row r="303" spans="1:18" ht="26.25" customHeight="1" x14ac:dyDescent="0.2">
      <c r="A303" s="1351"/>
      <c r="B303" s="1340"/>
      <c r="C303" s="1340"/>
      <c r="D303" s="1340"/>
      <c r="E303" s="1340"/>
      <c r="F303" s="1340"/>
      <c r="G303" s="1340"/>
      <c r="H303" s="1340"/>
      <c r="I303" s="1340"/>
      <c r="J303" s="1340"/>
      <c r="K303" s="1340"/>
      <c r="L303" s="1340"/>
      <c r="M303" s="1340"/>
      <c r="N303" s="1340"/>
      <c r="O303" s="1340"/>
      <c r="P303" s="1340"/>
      <c r="Q303" s="1417"/>
      <c r="R303" s="22"/>
    </row>
    <row r="304" spans="1:18" ht="26.25" customHeight="1" thickBot="1" x14ac:dyDescent="0.25">
      <c r="A304" s="1393"/>
      <c r="B304" s="1394"/>
      <c r="C304" s="1394"/>
      <c r="D304" s="1394"/>
      <c r="E304" s="1394"/>
      <c r="F304" s="1394"/>
      <c r="G304" s="1394"/>
      <c r="H304" s="1394"/>
      <c r="I304" s="1394"/>
      <c r="J304" s="1394"/>
      <c r="K304" s="1394"/>
      <c r="L304" s="1394"/>
      <c r="M304" s="1394"/>
      <c r="N304" s="1394"/>
      <c r="O304" s="1394"/>
      <c r="P304" s="1394"/>
      <c r="Q304" s="1395"/>
      <c r="R304" s="22"/>
    </row>
    <row r="305" spans="1:19" ht="26.25" customHeight="1" x14ac:dyDescent="0.2">
      <c r="A305" s="409" t="str">
        <f>$A$1</f>
        <v xml:space="preserve"> </v>
      </c>
      <c r="B305" s="389"/>
      <c r="C305" s="389"/>
      <c r="D305" s="389"/>
      <c r="E305" s="389"/>
      <c r="F305" s="389"/>
      <c r="G305" s="389"/>
      <c r="H305" s="389"/>
      <c r="I305" s="389"/>
      <c r="J305" s="389"/>
      <c r="K305" s="389"/>
      <c r="L305" s="389"/>
      <c r="M305" s="389"/>
      <c r="N305" s="389"/>
      <c r="O305" s="389"/>
      <c r="P305" s="389"/>
      <c r="Q305" s="389"/>
      <c r="R305" s="313"/>
    </row>
    <row r="306" spans="1:19" ht="26.25" customHeight="1" x14ac:dyDescent="0.2">
      <c r="A306" s="1290" t="s">
        <v>1387</v>
      </c>
      <c r="B306" s="1291"/>
      <c r="C306" s="1291"/>
      <c r="D306" s="1291"/>
      <c r="E306" s="1291"/>
      <c r="F306" s="1291"/>
      <c r="G306" s="1291"/>
      <c r="H306" s="1291"/>
      <c r="I306" s="1291"/>
      <c r="J306" s="1291"/>
      <c r="K306" s="1291"/>
      <c r="L306" s="1291"/>
      <c r="M306" s="1291"/>
      <c r="N306" s="1419" t="s">
        <v>2844</v>
      </c>
      <c r="O306" s="1419"/>
      <c r="P306" s="1419"/>
      <c r="Q306" s="1420"/>
      <c r="R306" s="392"/>
    </row>
    <row r="307" spans="1:19" ht="26.25" customHeight="1" x14ac:dyDescent="0.2">
      <c r="A307" s="1294" t="str">
        <f>IF(ISBLANK(Cap_Expend_Name),"The Capital Expenditure Contact information has NOT been provided.  Click here to go to Capital Expenditure Contact Section to fill in this information now.","")</f>
        <v/>
      </c>
      <c r="B307" s="1295"/>
      <c r="C307" s="1295"/>
      <c r="D307" s="1295"/>
      <c r="E307" s="1295"/>
      <c r="F307" s="1295"/>
      <c r="G307" s="1295"/>
      <c r="H307" s="1295"/>
      <c r="I307" s="1295"/>
      <c r="J307" s="1295"/>
      <c r="K307" s="1295"/>
      <c r="L307" s="1295"/>
      <c r="M307" s="1295"/>
      <c r="N307" s="407" t="s">
        <v>1727</v>
      </c>
      <c r="O307" s="408"/>
      <c r="P307" s="1296"/>
      <c r="Q307" s="1297"/>
      <c r="R307" s="2"/>
    </row>
    <row r="308" spans="1:19" ht="26.25" customHeight="1" thickBot="1" x14ac:dyDescent="0.25">
      <c r="A308" s="1298" t="s">
        <v>1338</v>
      </c>
      <c r="B308" s="1299"/>
      <c r="C308" s="1299"/>
      <c r="D308" s="1299"/>
      <c r="E308" s="1300"/>
      <c r="F308" s="1301"/>
      <c r="G308" s="1301"/>
      <c r="H308" s="1301"/>
      <c r="I308" s="1301"/>
      <c r="J308" s="1301"/>
      <c r="K308" s="1301"/>
      <c r="L308" s="1302"/>
      <c r="M308" s="295"/>
      <c r="N308" s="1303" t="s">
        <v>1728</v>
      </c>
      <c r="O308" s="1304"/>
      <c r="P308" s="1304"/>
      <c r="Q308" s="1305"/>
      <c r="R308" s="2"/>
    </row>
    <row r="309" spans="1:19" ht="26.25" customHeight="1" x14ac:dyDescent="0.2">
      <c r="A309" s="1306" t="s">
        <v>1729</v>
      </c>
      <c r="B309" s="1307"/>
      <c r="C309" s="1307"/>
      <c r="D309" s="1308"/>
      <c r="E309" s="1320"/>
      <c r="F309" s="1310"/>
      <c r="G309" s="1310"/>
      <c r="H309" s="1310"/>
      <c r="I309" s="1310"/>
      <c r="J309" s="1310"/>
      <c r="K309" s="1310"/>
      <c r="L309" s="1311"/>
      <c r="M309" s="1312" t="str">
        <f>IF(AND(ISBLANK(E309),OR(NOT(ISBLANK(E310)),NOT(ISBLANK(E311)),NOT(ISBLANK(E312)),NOT(ISBLANK(I313)),NOT(ISBLANK(E308)))),"This information is required.","")</f>
        <v/>
      </c>
      <c r="N309" s="1313"/>
      <c r="O309" s="1313"/>
      <c r="P309" s="1313"/>
      <c r="Q309" s="296"/>
      <c r="R309" s="2"/>
    </row>
    <row r="310" spans="1:19" ht="26.25" customHeight="1" x14ac:dyDescent="0.2">
      <c r="A310" s="1314" t="s">
        <v>1730</v>
      </c>
      <c r="B310" s="1315"/>
      <c r="C310" s="1315"/>
      <c r="D310" s="1316"/>
      <c r="E310" s="1320"/>
      <c r="F310" s="1310"/>
      <c r="G310" s="1310"/>
      <c r="H310" s="1310"/>
      <c r="I310" s="1310"/>
      <c r="J310" s="1310"/>
      <c r="K310" s="1310"/>
      <c r="L310" s="1311"/>
      <c r="M310" s="1312" t="str">
        <f>IF(AND(ISBLANK(E310),OR(NOT(ISBLANK(E309)),NOT(ISBLANK(E311)),NOT(ISBLANK(E312)),NOT(ISBLANK(I313)),NOT(ISBLANK(E308)))),"This information is required.","")</f>
        <v/>
      </c>
      <c r="N310" s="1313"/>
      <c r="O310" s="1313"/>
      <c r="P310" s="1313"/>
      <c r="Q310" s="296"/>
      <c r="R310" s="2"/>
    </row>
    <row r="311" spans="1:19" ht="26.25" customHeight="1" x14ac:dyDescent="0.2">
      <c r="A311" s="1317" t="s">
        <v>1731</v>
      </c>
      <c r="B311" s="1318"/>
      <c r="C311" s="1318"/>
      <c r="D311" s="1319"/>
      <c r="E311" s="1320"/>
      <c r="F311" s="1310"/>
      <c r="G311" s="1321" t="s">
        <v>1732</v>
      </c>
      <c r="H311" s="1321"/>
      <c r="I311" s="1321"/>
      <c r="J311" s="1321"/>
      <c r="K311" s="1321"/>
      <c r="L311" s="1321"/>
      <c r="M311" s="615" t="str">
        <f>IF(AND(ISBLANK(E311),OR(NOT(ISBLANK(E309)),NOT(ISBLANK(E310)),NOT(ISBLANK(E312)),NOT(ISBLANK(I313)),NOT(ISBLANK(E308)))),"This information is required.","")</f>
        <v/>
      </c>
      <c r="N311" s="616"/>
      <c r="O311" s="616"/>
      <c r="P311" s="616"/>
      <c r="Q311" s="297"/>
      <c r="R311" s="298"/>
    </row>
    <row r="312" spans="1:19" ht="26.25" customHeight="1" x14ac:dyDescent="0.2">
      <c r="A312" s="1314" t="s">
        <v>1733</v>
      </c>
      <c r="B312" s="1315"/>
      <c r="C312" s="1315"/>
      <c r="D312" s="1316"/>
      <c r="E312" s="1322"/>
      <c r="F312" s="1323"/>
      <c r="G312" s="299"/>
      <c r="H312" s="300"/>
      <c r="I312" s="301"/>
      <c r="J312" s="298"/>
      <c r="K312" s="298"/>
      <c r="L312" s="298"/>
      <c r="M312" s="616" t="str">
        <f>IF(AND(ISBLANK(E312),OR(NOT(ISBLANK(E309)),NOT(ISBLANK(E310)),NOT(ISBLANK(E311)),NOT(ISBLANK(I313)),NOT(ISBLANK(E308)))),"This information is required.","")</f>
        <v/>
      </c>
      <c r="N312" s="616"/>
      <c r="O312" s="616"/>
      <c r="P312" s="616"/>
      <c r="Q312" s="297"/>
      <c r="R312" s="5"/>
      <c r="S312" s="267">
        <f>IF(ISBLANK(E312),0,1)</f>
        <v>0</v>
      </c>
    </row>
    <row r="313" spans="1:19" ht="26.25" customHeight="1" thickBot="1" x14ac:dyDescent="0.25">
      <c r="A313" s="1324" t="s">
        <v>1734</v>
      </c>
      <c r="B313" s="1325"/>
      <c r="C313" s="1325"/>
      <c r="D313" s="1325"/>
      <c r="E313" s="1326"/>
      <c r="F313" s="1326"/>
      <c r="G313" s="1326"/>
      <c r="H313" s="1326"/>
      <c r="I313" s="1327"/>
      <c r="J313" s="1328"/>
      <c r="K313" s="1329" t="s">
        <v>1735</v>
      </c>
      <c r="L313" s="1330"/>
      <c r="M313" s="1331" t="str">
        <f>IF(AND(ISBLANK(I313),OR(NOT(ISBLANK(E309)),NOT(ISBLANK(E310)),NOT(ISBLANK(E311)),NOT(ISBLANK(E312)),NOT(ISBLANK(E308)))),"This information is required!","")</f>
        <v/>
      </c>
      <c r="N313" s="1331"/>
      <c r="O313" s="1331"/>
      <c r="P313" s="1331"/>
      <c r="Q313" s="302"/>
      <c r="R313" s="5"/>
    </row>
    <row r="314" spans="1:19" ht="27" customHeight="1" x14ac:dyDescent="0.2">
      <c r="A314" s="1332" t="s">
        <v>1736</v>
      </c>
      <c r="B314" s="1333"/>
      <c r="C314" s="1333"/>
      <c r="D314" s="1333"/>
      <c r="E314" s="1333"/>
      <c r="F314" s="1333"/>
      <c r="G314" s="1333"/>
      <c r="H314" s="1333"/>
      <c r="I314" s="1333"/>
      <c r="J314" s="1334"/>
      <c r="K314" s="1335" t="s">
        <v>1737</v>
      </c>
      <c r="L314" s="1335"/>
      <c r="M314" s="1335"/>
      <c r="N314" s="1335"/>
      <c r="O314" s="1337" t="s">
        <v>1738</v>
      </c>
      <c r="P314" s="1337"/>
      <c r="Q314" s="1338"/>
      <c r="R314" s="463" t="str">
        <f>IF(AND(ISBLANK(A315),OR(NOT(ISBLANK(I313)),NOT(ISBLANK(E312)),NOT(ISBLANK(E311)),NOT(ISBLANK(E310)),NOT(ISBLANK(E309)),NOT(ISBLANK(E308)))),"General Description is required!","")</f>
        <v/>
      </c>
    </row>
    <row r="315" spans="1:19" ht="45" customHeight="1" x14ac:dyDescent="0.2">
      <c r="A315" s="1351"/>
      <c r="B315" s="1340"/>
      <c r="C315" s="1340"/>
      <c r="D315" s="1340"/>
      <c r="E315" s="1340"/>
      <c r="F315" s="1340"/>
      <c r="G315" s="1340"/>
      <c r="H315" s="1340"/>
      <c r="I315" s="1340"/>
      <c r="J315" s="1341"/>
      <c r="K315" s="1336"/>
      <c r="L315" s="1336"/>
      <c r="M315" s="1336"/>
      <c r="N315" s="1336"/>
      <c r="O315" s="305"/>
      <c r="P315" s="306" t="s">
        <v>91</v>
      </c>
      <c r="Q315" s="307" t="s">
        <v>92</v>
      </c>
      <c r="R315" s="393"/>
    </row>
    <row r="316" spans="1:19" ht="26.25" customHeight="1" x14ac:dyDescent="0.2">
      <c r="A316" s="1342"/>
      <c r="B316" s="1343"/>
      <c r="C316" s="1343"/>
      <c r="D316" s="1343"/>
      <c r="E316" s="1343"/>
      <c r="F316" s="1343"/>
      <c r="G316" s="1343"/>
      <c r="H316" s="1343"/>
      <c r="I316" s="1343"/>
      <c r="J316" s="1344"/>
      <c r="K316" s="1345" t="s">
        <v>1739</v>
      </c>
      <c r="L316" s="1346"/>
      <c r="M316" s="1346"/>
      <c r="N316" s="1346"/>
      <c r="O316" s="1347"/>
      <c r="P316" s="388"/>
      <c r="Q316" s="309"/>
      <c r="R316" s="461" t="str">
        <f>IF(NOT(AND(ISBLANK(E308),ISBLANK(E309),ISBLANK(E310),ISBLANK(E311),ISBLANK(E312),ISBLANK(I313))),IF(COUNTBLANK(P316:Q316)=2,"Please enter response.",IF(COUNTBLANK(P316:Q316)&lt;&gt;1,"Please VERIFY response.","")),"")</f>
        <v/>
      </c>
    </row>
    <row r="317" spans="1:19" ht="26.25" customHeight="1" x14ac:dyDescent="0.2">
      <c r="A317" s="1348" t="s">
        <v>1740</v>
      </c>
      <c r="B317" s="1349"/>
      <c r="C317" s="1349"/>
      <c r="D317" s="1349"/>
      <c r="E317" s="1349"/>
      <c r="F317" s="1349"/>
      <c r="G317" s="1349"/>
      <c r="H317" s="1349"/>
      <c r="I317" s="1349"/>
      <c r="J317" s="1350"/>
      <c r="K317" s="1345" t="s">
        <v>1741</v>
      </c>
      <c r="L317" s="1346"/>
      <c r="M317" s="1346"/>
      <c r="N317" s="1346"/>
      <c r="O317" s="1347"/>
      <c r="P317" s="388"/>
      <c r="Q317" s="309"/>
      <c r="R317" s="461" t="str">
        <f>IF(NOT(AND(ISBLANK(E308),ISBLANK(E309),ISBLANK(E310),ISBLANK(E311),ISBLANK(E312),ISBLANK(I313))),IF(COUNTBLANK(P317:Q317)=2,"Please enter response.",IF(COUNTBLANK(P317:Q317)&lt;&gt;1,"Please VERIFY response.","")),"")</f>
        <v/>
      </c>
    </row>
    <row r="318" spans="1:19" ht="26.25" customHeight="1" x14ac:dyDescent="0.2">
      <c r="A318" s="1351"/>
      <c r="B318" s="1340"/>
      <c r="C318" s="1340"/>
      <c r="D318" s="1340"/>
      <c r="E318" s="1340"/>
      <c r="F318" s="1340"/>
      <c r="G318" s="1340"/>
      <c r="H318" s="1340"/>
      <c r="I318" s="1340"/>
      <c r="J318" s="1341"/>
      <c r="K318" s="1345" t="s">
        <v>1742</v>
      </c>
      <c r="L318" s="1346"/>
      <c r="M318" s="1346"/>
      <c r="N318" s="1346"/>
      <c r="O318" s="1347"/>
      <c r="P318" s="388"/>
      <c r="Q318" s="309"/>
      <c r="R318" s="461" t="str">
        <f>IF(NOT(AND(ISBLANK(E308),ISBLANK(E309),ISBLANK(E310),ISBLANK(E311),ISBLANK(E312),ISBLANK(I313))),IF(COUNTBLANK(P318:Q318)=2,"Please enter response.",IF(COUNTBLANK(P318:Q318)&lt;&gt;1,"Please VERIFY response.","")),"")</f>
        <v/>
      </c>
    </row>
    <row r="319" spans="1:19" ht="26.25" customHeight="1" x14ac:dyDescent="0.2">
      <c r="A319" s="1342"/>
      <c r="B319" s="1343"/>
      <c r="C319" s="1343"/>
      <c r="D319" s="1343"/>
      <c r="E319" s="1343"/>
      <c r="F319" s="1343"/>
      <c r="G319" s="1343"/>
      <c r="H319" s="1343"/>
      <c r="I319" s="1343"/>
      <c r="J319" s="1344"/>
      <c r="K319" s="1345" t="s">
        <v>1743</v>
      </c>
      <c r="L319" s="1346"/>
      <c r="M319" s="1346"/>
      <c r="N319" s="1346"/>
      <c r="O319" s="1347"/>
      <c r="P319" s="388"/>
      <c r="Q319" s="309"/>
      <c r="R319" s="461" t="str">
        <f>IF(NOT(AND(ISBLANK(E308),ISBLANK(E309),ISBLANK(E310),ISBLANK(E311),ISBLANK(E312),ISBLANK(I313))),IF(COUNTBLANK(P319:Q319)=2,"Please enter response.",IF(COUNTBLANK(P319:Q319)&lt;&gt;1,"Please VERIFY response.","")),"")</f>
        <v/>
      </c>
    </row>
    <row r="320" spans="1:19" ht="26.25" customHeight="1" x14ac:dyDescent="0.2">
      <c r="A320" s="1352" t="s">
        <v>1744</v>
      </c>
      <c r="B320" s="1353"/>
      <c r="C320" s="1353"/>
      <c r="D320" s="1353"/>
      <c r="E320" s="1353"/>
      <c r="F320" s="1353"/>
      <c r="G320" s="1353"/>
      <c r="H320" s="1353"/>
      <c r="I320" s="1353"/>
      <c r="J320" s="1353"/>
      <c r="K320" s="1353"/>
      <c r="L320" s="1353"/>
      <c r="M320" s="1353"/>
      <c r="N320" s="1353"/>
      <c r="O320" s="1353"/>
      <c r="P320" s="1353"/>
      <c r="Q320" s="1354"/>
      <c r="R320" s="310"/>
    </row>
    <row r="321" spans="1:18" ht="26.25" customHeight="1" x14ac:dyDescent="0.2">
      <c r="A321" s="1355" t="s">
        <v>1745</v>
      </c>
      <c r="B321" s="1356"/>
      <c r="C321" s="1356"/>
      <c r="D321" s="1356"/>
      <c r="E321" s="1356" t="s">
        <v>1746</v>
      </c>
      <c r="F321" s="1356"/>
      <c r="G321" s="1356"/>
      <c r="H321" s="1356"/>
      <c r="I321" s="1356" t="s">
        <v>1747</v>
      </c>
      <c r="J321" s="1356"/>
      <c r="K321" s="1356"/>
      <c r="L321" s="1356"/>
      <c r="M321" s="1357" t="s">
        <v>1748</v>
      </c>
      <c r="N321" s="1356"/>
      <c r="O321" s="1356"/>
      <c r="P321" s="1356"/>
      <c r="Q321" s="1358"/>
      <c r="R321" s="311"/>
    </row>
    <row r="322" spans="1:18" ht="26.25" customHeight="1" thickBot="1" x14ac:dyDescent="0.25">
      <c r="A322" s="1359"/>
      <c r="B322" s="1360"/>
      <c r="C322" s="1360"/>
      <c r="D322" s="1360"/>
      <c r="E322" s="1361"/>
      <c r="F322" s="1362"/>
      <c r="G322" s="1362"/>
      <c r="H322" s="1363"/>
      <c r="I322" s="1361"/>
      <c r="J322" s="1362"/>
      <c r="K322" s="1362"/>
      <c r="L322" s="1363"/>
      <c r="M322" s="1364"/>
      <c r="N322" s="1364"/>
      <c r="O322" s="1364"/>
      <c r="P322" s="1364"/>
      <c r="Q322" s="1365"/>
      <c r="R322" s="310"/>
    </row>
    <row r="323" spans="1:18" ht="26.25" customHeight="1" x14ac:dyDescent="0.2">
      <c r="A323" s="1366" t="s">
        <v>1749</v>
      </c>
      <c r="B323" s="1367"/>
      <c r="C323" s="1367"/>
      <c r="D323" s="1367"/>
      <c r="E323" s="1367"/>
      <c r="F323" s="1367"/>
      <c r="G323" s="1367"/>
      <c r="H323" s="1367"/>
      <c r="I323" s="1367"/>
      <c r="J323" s="1367"/>
      <c r="K323" s="1367"/>
      <c r="L323" s="1367"/>
      <c r="M323" s="1367"/>
      <c r="N323" s="1367"/>
      <c r="O323" s="1367"/>
      <c r="P323" s="1367"/>
      <c r="Q323" s="1368"/>
      <c r="R323" s="390"/>
    </row>
    <row r="324" spans="1:18" ht="26.25" customHeight="1" x14ac:dyDescent="0.2">
      <c r="A324" s="1369" t="s">
        <v>1750</v>
      </c>
      <c r="B324" s="1370"/>
      <c r="C324" s="1370"/>
      <c r="D324" s="1370"/>
      <c r="E324" s="1370"/>
      <c r="F324" s="1370"/>
      <c r="G324" s="1370"/>
      <c r="H324" s="1370"/>
      <c r="I324" s="1370"/>
      <c r="J324" s="1370"/>
      <c r="K324" s="1370"/>
      <c r="L324" s="1371"/>
      <c r="M324" s="1372"/>
      <c r="N324" s="1373"/>
      <c r="O324" s="1373"/>
      <c r="P324" s="1373"/>
      <c r="Q324" s="1374"/>
      <c r="R324" s="390"/>
    </row>
    <row r="325" spans="1:18" ht="26.25" customHeight="1" x14ac:dyDescent="0.2">
      <c r="A325" s="1369" t="s">
        <v>1751</v>
      </c>
      <c r="B325" s="1375"/>
      <c r="C325" s="1375"/>
      <c r="D325" s="1375"/>
      <c r="E325" s="1375"/>
      <c r="F325" s="1375"/>
      <c r="G325" s="1375"/>
      <c r="H325" s="1375"/>
      <c r="I325" s="1375"/>
      <c r="J325" s="1375"/>
      <c r="K325" s="1375"/>
      <c r="L325" s="1375"/>
      <c r="M325" s="1376"/>
      <c r="N325" s="1377"/>
      <c r="O325" s="1377"/>
      <c r="P325" s="1377"/>
      <c r="Q325" s="1378"/>
      <c r="R325" s="390"/>
    </row>
    <row r="326" spans="1:18" ht="26.25" customHeight="1" x14ac:dyDescent="0.2">
      <c r="A326" s="1369" t="s">
        <v>1752</v>
      </c>
      <c r="B326" s="1375"/>
      <c r="C326" s="1375"/>
      <c r="D326" s="1375"/>
      <c r="E326" s="1375"/>
      <c r="F326" s="1375"/>
      <c r="G326" s="1375"/>
      <c r="H326" s="1375"/>
      <c r="I326" s="1375"/>
      <c r="J326" s="1375"/>
      <c r="K326" s="1375"/>
      <c r="L326" s="1375"/>
      <c r="M326" s="1376"/>
      <c r="N326" s="1377"/>
      <c r="O326" s="1377"/>
      <c r="P326" s="1377"/>
      <c r="Q326" s="1378"/>
      <c r="R326" s="390"/>
    </row>
    <row r="327" spans="1:18" ht="26.25" customHeight="1" x14ac:dyDescent="0.2">
      <c r="A327" s="1379" t="s">
        <v>1753</v>
      </c>
      <c r="B327" s="1380"/>
      <c r="C327" s="1380"/>
      <c r="D327" s="1380"/>
      <c r="E327" s="1380"/>
      <c r="F327" s="1380"/>
      <c r="G327" s="1380"/>
      <c r="H327" s="1380"/>
      <c r="I327" s="1380"/>
      <c r="J327" s="1380"/>
      <c r="K327" s="1380"/>
      <c r="L327" s="1380"/>
      <c r="M327" s="1380"/>
      <c r="N327" s="1380"/>
      <c r="O327" s="1380"/>
      <c r="P327" s="1380"/>
      <c r="Q327" s="1381"/>
      <c r="R327" s="390"/>
    </row>
    <row r="328" spans="1:18" ht="26.25" customHeight="1" x14ac:dyDescent="0.2">
      <c r="A328" s="1382"/>
      <c r="B328" s="1383"/>
      <c r="C328" s="1383"/>
      <c r="D328" s="1383"/>
      <c r="E328" s="1383"/>
      <c r="F328" s="1383"/>
      <c r="G328" s="1383"/>
      <c r="H328" s="1383"/>
      <c r="I328" s="1383"/>
      <c r="J328" s="1383"/>
      <c r="K328" s="1383"/>
      <c r="L328" s="1383"/>
      <c r="M328" s="1383"/>
      <c r="N328" s="1383"/>
      <c r="O328" s="1383"/>
      <c r="P328" s="1383"/>
      <c r="Q328" s="1384"/>
      <c r="R328" s="390"/>
    </row>
    <row r="329" spans="1:18" ht="26.25" customHeight="1" x14ac:dyDescent="0.2">
      <c r="A329" s="1385"/>
      <c r="B329" s="1386"/>
      <c r="C329" s="1386"/>
      <c r="D329" s="1386"/>
      <c r="E329" s="1386"/>
      <c r="F329" s="1386"/>
      <c r="G329" s="1386"/>
      <c r="H329" s="1386"/>
      <c r="I329" s="1386"/>
      <c r="J329" s="1386"/>
      <c r="K329" s="1386"/>
      <c r="L329" s="1386"/>
      <c r="M329" s="1386"/>
      <c r="N329" s="1386"/>
      <c r="O329" s="1386"/>
      <c r="P329" s="1386"/>
      <c r="Q329" s="1387"/>
      <c r="R329" s="390"/>
    </row>
    <row r="330" spans="1:18" ht="26.25" customHeight="1" x14ac:dyDescent="0.2">
      <c r="A330" s="1388" t="s">
        <v>1754</v>
      </c>
      <c r="B330" s="1389"/>
      <c r="C330" s="1389"/>
      <c r="D330" s="1389"/>
      <c r="E330" s="1389"/>
      <c r="F330" s="1389"/>
      <c r="G330" s="1389"/>
      <c r="H330" s="1389"/>
      <c r="I330" s="1389"/>
      <c r="J330" s="1389"/>
      <c r="K330" s="1389"/>
      <c r="L330" s="1389"/>
      <c r="M330" s="1389"/>
      <c r="N330" s="1389"/>
      <c r="O330" s="1389"/>
      <c r="P330" s="1389"/>
      <c r="Q330" s="1390"/>
      <c r="R330" s="390"/>
    </row>
    <row r="331" spans="1:18" ht="26.25" customHeight="1" x14ac:dyDescent="0.2">
      <c r="A331" s="1382"/>
      <c r="B331" s="1391"/>
      <c r="C331" s="1391"/>
      <c r="D331" s="1391"/>
      <c r="E331" s="1391"/>
      <c r="F331" s="1391"/>
      <c r="G331" s="1391"/>
      <c r="H331" s="1391"/>
      <c r="I331" s="1391"/>
      <c r="J331" s="1391"/>
      <c r="K331" s="1391"/>
      <c r="L331" s="1391"/>
      <c r="M331" s="1391"/>
      <c r="N331" s="1391"/>
      <c r="O331" s="1391"/>
      <c r="P331" s="1391"/>
      <c r="Q331" s="1392"/>
      <c r="R331" s="390"/>
    </row>
    <row r="332" spans="1:18" ht="26.25" customHeight="1" thickBot="1" x14ac:dyDescent="0.25">
      <c r="A332" s="1393"/>
      <c r="B332" s="1394"/>
      <c r="C332" s="1394"/>
      <c r="D332" s="1394"/>
      <c r="E332" s="1394"/>
      <c r="F332" s="1394"/>
      <c r="G332" s="1394"/>
      <c r="H332" s="1394"/>
      <c r="I332" s="1394"/>
      <c r="J332" s="1394"/>
      <c r="K332" s="1394"/>
      <c r="L332" s="1394"/>
      <c r="M332" s="1394"/>
      <c r="N332" s="1394"/>
      <c r="O332" s="1394"/>
      <c r="P332" s="1394"/>
      <c r="Q332" s="1395"/>
      <c r="R332" s="389"/>
    </row>
    <row r="333" spans="1:18" ht="26.25" customHeight="1" x14ac:dyDescent="0.2">
      <c r="A333" s="1396" t="s">
        <v>1755</v>
      </c>
      <c r="B333" s="1397"/>
      <c r="C333" s="1397"/>
      <c r="D333" s="1397"/>
      <c r="E333" s="1397"/>
      <c r="F333" s="1397"/>
      <c r="G333" s="1397"/>
      <c r="H333" s="1397"/>
      <c r="I333" s="1397"/>
      <c r="J333" s="1397"/>
      <c r="K333" s="1397"/>
      <c r="L333" s="1397"/>
      <c r="M333" s="1397"/>
      <c r="N333" s="1397"/>
      <c r="O333" s="1397"/>
      <c r="P333" s="1397"/>
      <c r="Q333" s="1398"/>
      <c r="R333" s="390"/>
    </row>
    <row r="334" spans="1:18" ht="26.25" customHeight="1" x14ac:dyDescent="0.2">
      <c r="A334" s="1399" t="s">
        <v>1756</v>
      </c>
      <c r="B334" s="1400"/>
      <c r="C334" s="1400"/>
      <c r="D334" s="1400"/>
      <c r="E334" s="1400"/>
      <c r="F334" s="1400"/>
      <c r="G334" s="1400"/>
      <c r="H334" s="1400"/>
      <c r="I334" s="1400"/>
      <c r="J334" s="1400"/>
      <c r="K334" s="1400"/>
      <c r="L334" s="1401"/>
      <c r="M334" s="1372"/>
      <c r="N334" s="1373"/>
      <c r="O334" s="1373"/>
      <c r="P334" s="1373"/>
      <c r="Q334" s="1374"/>
      <c r="R334" s="389"/>
    </row>
    <row r="335" spans="1:18" ht="26.25" customHeight="1" x14ac:dyDescent="0.2">
      <c r="A335" s="1369" t="s">
        <v>1757</v>
      </c>
      <c r="B335" s="1370"/>
      <c r="C335" s="1370"/>
      <c r="D335" s="1370"/>
      <c r="E335" s="1370"/>
      <c r="F335" s="1370"/>
      <c r="G335" s="1370"/>
      <c r="H335" s="1370"/>
      <c r="I335" s="1370"/>
      <c r="J335" s="1370"/>
      <c r="K335" s="1370"/>
      <c r="L335" s="1371"/>
      <c r="M335" s="1376"/>
      <c r="N335" s="1377"/>
      <c r="O335" s="1377"/>
      <c r="P335" s="1377"/>
      <c r="Q335" s="1378"/>
      <c r="R335" s="389"/>
    </row>
    <row r="336" spans="1:18" ht="26.25" customHeight="1" x14ac:dyDescent="0.2">
      <c r="A336" s="1402" t="s">
        <v>1758</v>
      </c>
      <c r="B336" s="1403"/>
      <c r="C336" s="1403"/>
      <c r="D336" s="1403"/>
      <c r="E336" s="1403"/>
      <c r="F336" s="1403"/>
      <c r="G336" s="1403"/>
      <c r="H336" s="1403"/>
      <c r="I336" s="1403"/>
      <c r="J336" s="1403"/>
      <c r="K336" s="1403"/>
      <c r="L336" s="1403"/>
      <c r="M336" s="1403"/>
      <c r="N336" s="1403"/>
      <c r="O336" s="1403"/>
      <c r="P336" s="1403"/>
      <c r="Q336" s="1404"/>
      <c r="R336" s="389"/>
    </row>
    <row r="337" spans="1:18" ht="26.25" customHeight="1" x14ac:dyDescent="0.2">
      <c r="A337" s="1382"/>
      <c r="B337" s="1383"/>
      <c r="C337" s="1383"/>
      <c r="D337" s="1383"/>
      <c r="E337" s="1383"/>
      <c r="F337" s="1383"/>
      <c r="G337" s="1383"/>
      <c r="H337" s="1383"/>
      <c r="I337" s="1383"/>
      <c r="J337" s="1383"/>
      <c r="K337" s="1383"/>
      <c r="L337" s="1383"/>
      <c r="M337" s="1383"/>
      <c r="N337" s="1383"/>
      <c r="O337" s="1383"/>
      <c r="P337" s="1383"/>
      <c r="Q337" s="1405"/>
      <c r="R337" s="389"/>
    </row>
    <row r="338" spans="1:18" ht="26.25" customHeight="1" x14ac:dyDescent="0.2">
      <c r="A338" s="1406"/>
      <c r="B338" s="1407"/>
      <c r="C338" s="1407"/>
      <c r="D338" s="1407"/>
      <c r="E338" s="1407"/>
      <c r="F338" s="1407"/>
      <c r="G338" s="1407"/>
      <c r="H338" s="1407"/>
      <c r="I338" s="1407"/>
      <c r="J338" s="1407"/>
      <c r="K338" s="1407"/>
      <c r="L338" s="1407"/>
      <c r="M338" s="1407"/>
      <c r="N338" s="1407"/>
      <c r="O338" s="1407"/>
      <c r="P338" s="1407"/>
      <c r="Q338" s="1408"/>
      <c r="R338" s="389"/>
    </row>
    <row r="339" spans="1:18" ht="26.25" customHeight="1" x14ac:dyDescent="0.2">
      <c r="A339" s="1409" t="s">
        <v>1759</v>
      </c>
      <c r="B339" s="1410"/>
      <c r="C339" s="1410"/>
      <c r="D339" s="1410"/>
      <c r="E339" s="1410"/>
      <c r="F339" s="1410"/>
      <c r="G339" s="1410"/>
      <c r="H339" s="1410"/>
      <c r="I339" s="1410"/>
      <c r="J339" s="1410"/>
      <c r="K339" s="1410"/>
      <c r="L339" s="1410"/>
      <c r="M339" s="1410"/>
      <c r="N339" s="1410"/>
      <c r="O339" s="1410"/>
      <c r="P339" s="1410"/>
      <c r="Q339" s="1411"/>
      <c r="R339" s="389"/>
    </row>
    <row r="340" spans="1:18" ht="26.25" customHeight="1" x14ac:dyDescent="0.2">
      <c r="A340" s="1382"/>
      <c r="B340" s="1383"/>
      <c r="C340" s="1383"/>
      <c r="D340" s="1383"/>
      <c r="E340" s="1383"/>
      <c r="F340" s="1383"/>
      <c r="G340" s="1383"/>
      <c r="H340" s="1383"/>
      <c r="I340" s="1383"/>
      <c r="J340" s="1383"/>
      <c r="K340" s="1383"/>
      <c r="L340" s="1383"/>
      <c r="M340" s="1383"/>
      <c r="N340" s="1383"/>
      <c r="O340" s="1383"/>
      <c r="P340" s="1383"/>
      <c r="Q340" s="1384"/>
      <c r="R340" s="389"/>
    </row>
    <row r="341" spans="1:18" ht="26.25" customHeight="1" thickBot="1" x14ac:dyDescent="0.25">
      <c r="A341" s="1412"/>
      <c r="B341" s="1413"/>
      <c r="C341" s="1413"/>
      <c r="D341" s="1413"/>
      <c r="E341" s="1413"/>
      <c r="F341" s="1413"/>
      <c r="G341" s="1413"/>
      <c r="H341" s="1413"/>
      <c r="I341" s="1413"/>
      <c r="J341" s="1413"/>
      <c r="K341" s="1413"/>
      <c r="L341" s="1413"/>
      <c r="M341" s="1413"/>
      <c r="N341" s="1413"/>
      <c r="O341" s="1413"/>
      <c r="P341" s="1413"/>
      <c r="Q341" s="1414"/>
      <c r="R341" s="389"/>
    </row>
    <row r="342" spans="1:18" ht="26.25" customHeight="1" x14ac:dyDescent="0.2">
      <c r="A342" s="1332" t="s">
        <v>1760</v>
      </c>
      <c r="B342" s="1333"/>
      <c r="C342" s="1333"/>
      <c r="D342" s="1333"/>
      <c r="E342" s="1333"/>
      <c r="F342" s="1333"/>
      <c r="G342" s="1333"/>
      <c r="H342" s="1333"/>
      <c r="I342" s="1333"/>
      <c r="J342" s="1333"/>
      <c r="K342" s="1333"/>
      <c r="L342" s="1333"/>
      <c r="M342" s="1333"/>
      <c r="N342" s="1333"/>
      <c r="O342" s="1333"/>
      <c r="P342" s="1333"/>
      <c r="Q342" s="1415"/>
    </row>
    <row r="343" spans="1:18" ht="26.25" customHeight="1" x14ac:dyDescent="0.2">
      <c r="A343" s="1416"/>
      <c r="B343" s="1383"/>
      <c r="C343" s="1383"/>
      <c r="D343" s="1383"/>
      <c r="E343" s="1383"/>
      <c r="F343" s="1383"/>
      <c r="G343" s="1383"/>
      <c r="H343" s="1383"/>
      <c r="I343" s="1383"/>
      <c r="J343" s="1383"/>
      <c r="K343" s="1383"/>
      <c r="L343" s="1383"/>
      <c r="M343" s="1383"/>
      <c r="N343" s="1383"/>
      <c r="O343" s="1383"/>
      <c r="P343" s="1383"/>
      <c r="Q343" s="1405"/>
    </row>
    <row r="344" spans="1:18" ht="26.25" customHeight="1" thickBot="1" x14ac:dyDescent="0.25">
      <c r="A344" s="1412"/>
      <c r="B344" s="1413"/>
      <c r="C344" s="1413"/>
      <c r="D344" s="1413"/>
      <c r="E344" s="1413"/>
      <c r="F344" s="1413"/>
      <c r="G344" s="1413"/>
      <c r="H344" s="1413"/>
      <c r="I344" s="1413"/>
      <c r="J344" s="1413"/>
      <c r="K344" s="1413"/>
      <c r="L344" s="1413"/>
      <c r="M344" s="1413"/>
      <c r="N344" s="1413"/>
      <c r="O344" s="1413"/>
      <c r="P344" s="1413"/>
      <c r="Q344" s="1414"/>
      <c r="R344" s="315"/>
    </row>
    <row r="345" spans="1:18" ht="26.25" customHeight="1" x14ac:dyDescent="0.2">
      <c r="A345" s="1396" t="s">
        <v>1761</v>
      </c>
      <c r="B345" s="1397"/>
      <c r="C345" s="1397"/>
      <c r="D345" s="1397"/>
      <c r="E345" s="1397"/>
      <c r="F345" s="1397"/>
      <c r="G345" s="1397"/>
      <c r="H345" s="1397"/>
      <c r="I345" s="1397"/>
      <c r="J345" s="1397"/>
      <c r="K345" s="1397"/>
      <c r="L345" s="1397"/>
      <c r="M345" s="1397"/>
      <c r="N345" s="1397"/>
      <c r="O345" s="1397"/>
      <c r="P345" s="1397"/>
      <c r="Q345" s="1398"/>
      <c r="R345" s="316"/>
    </row>
    <row r="346" spans="1:18" ht="26.25" customHeight="1" x14ac:dyDescent="0.2">
      <c r="A346" s="1351"/>
      <c r="B346" s="1340"/>
      <c r="C346" s="1340"/>
      <c r="D346" s="1340"/>
      <c r="E346" s="1340"/>
      <c r="F346" s="1340"/>
      <c r="G346" s="1340"/>
      <c r="H346" s="1340"/>
      <c r="I346" s="1340"/>
      <c r="J346" s="1340"/>
      <c r="K346" s="1340"/>
      <c r="L346" s="1340"/>
      <c r="M346" s="1340"/>
      <c r="N346" s="1340"/>
      <c r="O346" s="1340"/>
      <c r="P346" s="1340"/>
      <c r="Q346" s="1417"/>
      <c r="R346" s="22"/>
    </row>
    <row r="347" spans="1:18" ht="26.25" customHeight="1" thickBot="1" x14ac:dyDescent="0.25">
      <c r="A347" s="1393"/>
      <c r="B347" s="1394"/>
      <c r="C347" s="1394"/>
      <c r="D347" s="1394"/>
      <c r="E347" s="1394"/>
      <c r="F347" s="1394"/>
      <c r="G347" s="1394"/>
      <c r="H347" s="1394"/>
      <c r="I347" s="1394"/>
      <c r="J347" s="1394"/>
      <c r="K347" s="1394"/>
      <c r="L347" s="1394"/>
      <c r="M347" s="1394"/>
      <c r="N347" s="1394"/>
      <c r="O347" s="1394"/>
      <c r="P347" s="1394"/>
      <c r="Q347" s="1395"/>
      <c r="R347" s="22"/>
    </row>
    <row r="348" spans="1:18" ht="26.25" customHeight="1" x14ac:dyDescent="0.2">
      <c r="A348" s="409" t="str">
        <f>$A$1</f>
        <v xml:space="preserve"> </v>
      </c>
      <c r="B348" s="322"/>
      <c r="C348" s="322"/>
      <c r="D348" s="322"/>
      <c r="E348" s="322"/>
      <c r="F348" s="322"/>
      <c r="G348" s="322"/>
      <c r="H348" s="322"/>
      <c r="I348" s="322"/>
      <c r="J348" s="322"/>
      <c r="K348" s="322"/>
      <c r="L348" s="322"/>
      <c r="M348" s="322"/>
      <c r="N348" s="322"/>
      <c r="O348" s="322"/>
      <c r="P348" s="322"/>
      <c r="Q348" s="322"/>
      <c r="R348" s="312"/>
    </row>
    <row r="349" spans="1:18" ht="26.25" customHeight="1" x14ac:dyDescent="0.2">
      <c r="A349" s="1290" t="s">
        <v>1388</v>
      </c>
      <c r="B349" s="1291"/>
      <c r="C349" s="1291"/>
      <c r="D349" s="1291"/>
      <c r="E349" s="1291"/>
      <c r="F349" s="1291"/>
      <c r="G349" s="1291"/>
      <c r="H349" s="1291"/>
      <c r="I349" s="1291"/>
      <c r="J349" s="1291"/>
      <c r="K349" s="1291"/>
      <c r="L349" s="1291"/>
      <c r="M349" s="1291"/>
      <c r="N349" s="1419" t="s">
        <v>2844</v>
      </c>
      <c r="O349" s="1419"/>
      <c r="P349" s="1419"/>
      <c r="Q349" s="1420"/>
      <c r="R349" s="392"/>
    </row>
    <row r="350" spans="1:18" ht="26.25" customHeight="1" x14ac:dyDescent="0.2">
      <c r="A350" s="1294" t="str">
        <f>IF(ISBLANK(Cap_Expend_Name),"The Capital Expenditure Contact information has NOT been provided.  Click here to go to Capital Expenditure Contact Section to fill in this information now.","")</f>
        <v/>
      </c>
      <c r="B350" s="1295"/>
      <c r="C350" s="1295"/>
      <c r="D350" s="1295"/>
      <c r="E350" s="1295"/>
      <c r="F350" s="1295"/>
      <c r="G350" s="1295"/>
      <c r="H350" s="1295"/>
      <c r="I350" s="1295"/>
      <c r="J350" s="1295"/>
      <c r="K350" s="1295"/>
      <c r="L350" s="1295"/>
      <c r="M350" s="1295"/>
      <c r="N350" s="407" t="s">
        <v>1727</v>
      </c>
      <c r="O350" s="408"/>
      <c r="P350" s="1296"/>
      <c r="Q350" s="1297"/>
      <c r="R350" s="2"/>
    </row>
    <row r="351" spans="1:18" ht="26.25" customHeight="1" thickBot="1" x14ac:dyDescent="0.25">
      <c r="A351" s="1298" t="s">
        <v>1338</v>
      </c>
      <c r="B351" s="1299"/>
      <c r="C351" s="1299"/>
      <c r="D351" s="1299"/>
      <c r="E351" s="1300"/>
      <c r="F351" s="1301"/>
      <c r="G351" s="1301"/>
      <c r="H351" s="1301"/>
      <c r="I351" s="1301"/>
      <c r="J351" s="1301"/>
      <c r="K351" s="1301"/>
      <c r="L351" s="1302"/>
      <c r="M351" s="295"/>
      <c r="N351" s="1303" t="s">
        <v>1728</v>
      </c>
      <c r="O351" s="1304"/>
      <c r="P351" s="1304"/>
      <c r="Q351" s="1305"/>
      <c r="R351" s="2"/>
    </row>
    <row r="352" spans="1:18" ht="26.25" customHeight="1" x14ac:dyDescent="0.2">
      <c r="A352" s="1306" t="s">
        <v>1729</v>
      </c>
      <c r="B352" s="1307"/>
      <c r="C352" s="1307"/>
      <c r="D352" s="1308"/>
      <c r="E352" s="1320"/>
      <c r="F352" s="1310"/>
      <c r="G352" s="1310"/>
      <c r="H352" s="1310"/>
      <c r="I352" s="1310"/>
      <c r="J352" s="1310"/>
      <c r="K352" s="1310"/>
      <c r="L352" s="1311"/>
      <c r="M352" s="1312" t="str">
        <f>IF(AND(ISBLANK(E352),OR(NOT(ISBLANK(E353)),NOT(ISBLANK(E354)),NOT(ISBLANK(E355)),NOT(ISBLANK(I356)),NOT(ISBLANK(E351)))),"This information is required.","")</f>
        <v/>
      </c>
      <c r="N352" s="1313"/>
      <c r="O352" s="1313"/>
      <c r="P352" s="1313"/>
      <c r="Q352" s="296"/>
      <c r="R352" s="2"/>
    </row>
    <row r="353" spans="1:19" ht="26.25" customHeight="1" x14ac:dyDescent="0.2">
      <c r="A353" s="1314" t="s">
        <v>1730</v>
      </c>
      <c r="B353" s="1315"/>
      <c r="C353" s="1315"/>
      <c r="D353" s="1316"/>
      <c r="E353" s="1320"/>
      <c r="F353" s="1310"/>
      <c r="G353" s="1310"/>
      <c r="H353" s="1310"/>
      <c r="I353" s="1310"/>
      <c r="J353" s="1310"/>
      <c r="K353" s="1310"/>
      <c r="L353" s="1311"/>
      <c r="M353" s="1312" t="str">
        <f>IF(AND(ISBLANK(E353),OR(NOT(ISBLANK(E352)),NOT(ISBLANK(E354)),NOT(ISBLANK(E355)),NOT(ISBLANK(I356)),NOT(ISBLANK(E351)))),"This information is required.","")</f>
        <v/>
      </c>
      <c r="N353" s="1313"/>
      <c r="O353" s="1313"/>
      <c r="P353" s="1313"/>
      <c r="Q353" s="296"/>
      <c r="R353" s="2"/>
    </row>
    <row r="354" spans="1:19" ht="26.25" customHeight="1" x14ac:dyDescent="0.2">
      <c r="A354" s="1317" t="s">
        <v>1731</v>
      </c>
      <c r="B354" s="1318"/>
      <c r="C354" s="1318"/>
      <c r="D354" s="1319"/>
      <c r="E354" s="1320"/>
      <c r="F354" s="1310"/>
      <c r="G354" s="1321" t="s">
        <v>1732</v>
      </c>
      <c r="H354" s="1321"/>
      <c r="I354" s="1321"/>
      <c r="J354" s="1321"/>
      <c r="K354" s="1321"/>
      <c r="L354" s="1321"/>
      <c r="M354" s="615" t="str">
        <f>IF(AND(ISBLANK(E354),OR(NOT(ISBLANK(E352)),NOT(ISBLANK(E353)),NOT(ISBLANK(E355)),NOT(ISBLANK(I356)),NOT(ISBLANK(E351)))),"This information is required.","")</f>
        <v/>
      </c>
      <c r="N354" s="616"/>
      <c r="O354" s="616"/>
      <c r="P354" s="616"/>
      <c r="Q354" s="297"/>
      <c r="R354" s="298"/>
    </row>
    <row r="355" spans="1:19" ht="26.25" customHeight="1" x14ac:dyDescent="0.2">
      <c r="A355" s="1314" t="s">
        <v>1733</v>
      </c>
      <c r="B355" s="1315"/>
      <c r="C355" s="1315"/>
      <c r="D355" s="1316"/>
      <c r="E355" s="1322"/>
      <c r="F355" s="1323"/>
      <c r="G355" s="299"/>
      <c r="H355" s="300"/>
      <c r="I355" s="301"/>
      <c r="J355" s="298"/>
      <c r="K355" s="298"/>
      <c r="L355" s="298"/>
      <c r="M355" s="616" t="str">
        <f>IF(AND(ISBLANK(E355),OR(NOT(ISBLANK(E352)),NOT(ISBLANK(E353)),NOT(ISBLANK(E354)),NOT(ISBLANK(I356)),NOT(ISBLANK(E351)))),"This information is required.","")</f>
        <v/>
      </c>
      <c r="N355" s="616"/>
      <c r="O355" s="616"/>
      <c r="P355" s="616"/>
      <c r="Q355" s="297"/>
      <c r="R355" s="5"/>
      <c r="S355" s="267">
        <f>IF(ISBLANK(E355),0,1)</f>
        <v>0</v>
      </c>
    </row>
    <row r="356" spans="1:19" ht="26.25" customHeight="1" thickBot="1" x14ac:dyDescent="0.25">
      <c r="A356" s="1324" t="s">
        <v>1734</v>
      </c>
      <c r="B356" s="1325"/>
      <c r="C356" s="1325"/>
      <c r="D356" s="1325"/>
      <c r="E356" s="1326"/>
      <c r="F356" s="1326"/>
      <c r="G356" s="1326"/>
      <c r="H356" s="1326"/>
      <c r="I356" s="1327"/>
      <c r="J356" s="1328"/>
      <c r="K356" s="1329" t="s">
        <v>1735</v>
      </c>
      <c r="L356" s="1330"/>
      <c r="M356" s="1331" t="str">
        <f>IF(AND(ISBLANK(I356),OR(NOT(ISBLANK(E352)),NOT(ISBLANK(E353)),NOT(ISBLANK(E354)),NOT(ISBLANK(E355)),NOT(ISBLANK(E351)))),"This information is required!","")</f>
        <v/>
      </c>
      <c r="N356" s="1331"/>
      <c r="O356" s="1331"/>
      <c r="P356" s="1331"/>
      <c r="Q356" s="302"/>
      <c r="R356" s="5"/>
    </row>
    <row r="357" spans="1:19" ht="26.25" customHeight="1" x14ac:dyDescent="0.2">
      <c r="A357" s="1332" t="s">
        <v>1736</v>
      </c>
      <c r="B357" s="1333"/>
      <c r="C357" s="1333"/>
      <c r="D357" s="1333"/>
      <c r="E357" s="1333"/>
      <c r="F357" s="1333"/>
      <c r="G357" s="1333"/>
      <c r="H357" s="1333"/>
      <c r="I357" s="1333"/>
      <c r="J357" s="1334"/>
      <c r="K357" s="1335" t="s">
        <v>1737</v>
      </c>
      <c r="L357" s="1335"/>
      <c r="M357" s="1335"/>
      <c r="N357" s="1335"/>
      <c r="O357" s="1337" t="s">
        <v>1738</v>
      </c>
      <c r="P357" s="1337"/>
      <c r="Q357" s="1338"/>
      <c r="R357" s="463" t="str">
        <f>IF(AND(ISBLANK(A358),OR(NOT(ISBLANK(I356)),NOT(ISBLANK(E355)),NOT(ISBLANK(E354)),NOT(ISBLANK(E353)),NOT(ISBLANK(E352)),NOT(ISBLANK(E351)))),"General Description is required!","")</f>
        <v/>
      </c>
    </row>
    <row r="358" spans="1:19" ht="45" customHeight="1" x14ac:dyDescent="0.2">
      <c r="A358" s="1351"/>
      <c r="B358" s="1340"/>
      <c r="C358" s="1340"/>
      <c r="D358" s="1340"/>
      <c r="E358" s="1340"/>
      <c r="F358" s="1340"/>
      <c r="G358" s="1340"/>
      <c r="H358" s="1340"/>
      <c r="I358" s="1340"/>
      <c r="J358" s="1341"/>
      <c r="K358" s="1336"/>
      <c r="L358" s="1336"/>
      <c r="M358" s="1336"/>
      <c r="N358" s="1336"/>
      <c r="O358" s="305"/>
      <c r="P358" s="306" t="s">
        <v>91</v>
      </c>
      <c r="Q358" s="307" t="s">
        <v>92</v>
      </c>
      <c r="R358" s="393"/>
    </row>
    <row r="359" spans="1:19" ht="26.25" customHeight="1" x14ac:dyDescent="0.2">
      <c r="A359" s="1342"/>
      <c r="B359" s="1343"/>
      <c r="C359" s="1343"/>
      <c r="D359" s="1343"/>
      <c r="E359" s="1343"/>
      <c r="F359" s="1343"/>
      <c r="G359" s="1343"/>
      <c r="H359" s="1343"/>
      <c r="I359" s="1343"/>
      <c r="J359" s="1344"/>
      <c r="K359" s="1345" t="s">
        <v>1739</v>
      </c>
      <c r="L359" s="1346"/>
      <c r="M359" s="1346"/>
      <c r="N359" s="1346"/>
      <c r="O359" s="1347"/>
      <c r="P359" s="388"/>
      <c r="Q359" s="309"/>
      <c r="R359" s="461" t="str">
        <f>IF(NOT(AND(ISBLANK(E351),ISBLANK(E352),ISBLANK(E353),ISBLANK(E354),ISBLANK(E355),ISBLANK(I356))),IF(COUNTBLANK(P359:Q359)=2,"Please enter response.",IF(COUNTBLANK(P359:Q359)&lt;&gt;1,"Please VERIFY response.","")),"")</f>
        <v/>
      </c>
    </row>
    <row r="360" spans="1:19" ht="26.25" customHeight="1" x14ac:dyDescent="0.2">
      <c r="A360" s="1348" t="s">
        <v>1740</v>
      </c>
      <c r="B360" s="1349"/>
      <c r="C360" s="1349"/>
      <c r="D360" s="1349"/>
      <c r="E360" s="1349"/>
      <c r="F360" s="1349"/>
      <c r="G360" s="1349"/>
      <c r="H360" s="1349"/>
      <c r="I360" s="1349"/>
      <c r="J360" s="1350"/>
      <c r="K360" s="1345" t="s">
        <v>1741</v>
      </c>
      <c r="L360" s="1346"/>
      <c r="M360" s="1346"/>
      <c r="N360" s="1346"/>
      <c r="O360" s="1347"/>
      <c r="P360" s="388"/>
      <c r="Q360" s="309"/>
      <c r="R360" s="461" t="str">
        <f>IF(NOT(AND(ISBLANK(E351),ISBLANK(E352),ISBLANK(E353),ISBLANK(E354),ISBLANK(E355),ISBLANK(I356))),IF(COUNTBLANK(P360:Q360)=2,"Please enter response.",IF(COUNTBLANK(P360:Q360)&lt;&gt;1,"Please VERIFY response.","")),"")</f>
        <v/>
      </c>
    </row>
    <row r="361" spans="1:19" ht="26.25" customHeight="1" x14ac:dyDescent="0.2">
      <c r="A361" s="1351"/>
      <c r="B361" s="1340"/>
      <c r="C361" s="1340"/>
      <c r="D361" s="1340"/>
      <c r="E361" s="1340"/>
      <c r="F361" s="1340"/>
      <c r="G361" s="1340"/>
      <c r="H361" s="1340"/>
      <c r="I361" s="1340"/>
      <c r="J361" s="1341"/>
      <c r="K361" s="1345" t="s">
        <v>1742</v>
      </c>
      <c r="L361" s="1346"/>
      <c r="M361" s="1346"/>
      <c r="N361" s="1346"/>
      <c r="O361" s="1347"/>
      <c r="P361" s="388"/>
      <c r="Q361" s="309"/>
      <c r="R361" s="461" t="str">
        <f>IF(NOT(AND(ISBLANK(E351),ISBLANK(E352),ISBLANK(E353),ISBLANK(E354),ISBLANK(E355),ISBLANK(I356))),IF(COUNTBLANK(P361:Q361)=2,"Please enter response.",IF(COUNTBLANK(P361:Q361)&lt;&gt;1,"Please VERIFY response.","")),"")</f>
        <v/>
      </c>
    </row>
    <row r="362" spans="1:19" ht="26.25" customHeight="1" x14ac:dyDescent="0.2">
      <c r="A362" s="1342"/>
      <c r="B362" s="1343"/>
      <c r="C362" s="1343"/>
      <c r="D362" s="1343"/>
      <c r="E362" s="1343"/>
      <c r="F362" s="1343"/>
      <c r="G362" s="1343"/>
      <c r="H362" s="1343"/>
      <c r="I362" s="1343"/>
      <c r="J362" s="1344"/>
      <c r="K362" s="1345" t="s">
        <v>1743</v>
      </c>
      <c r="L362" s="1346"/>
      <c r="M362" s="1346"/>
      <c r="N362" s="1346"/>
      <c r="O362" s="1347"/>
      <c r="P362" s="388"/>
      <c r="Q362" s="309"/>
      <c r="R362" s="461" t="str">
        <f>IF(NOT(AND(ISBLANK(E351),ISBLANK(E352),ISBLANK(E353),ISBLANK(E354),ISBLANK(E355),ISBLANK(I356))),IF(COUNTBLANK(P362:Q362)=2,"Please enter response.",IF(COUNTBLANK(P362:Q362)&lt;&gt;1,"Please VERIFY response.","")),"")</f>
        <v/>
      </c>
    </row>
    <row r="363" spans="1:19" ht="26.25" customHeight="1" x14ac:dyDescent="0.2">
      <c r="A363" s="1352" t="s">
        <v>1744</v>
      </c>
      <c r="B363" s="1353"/>
      <c r="C363" s="1353"/>
      <c r="D363" s="1353"/>
      <c r="E363" s="1353"/>
      <c r="F363" s="1353"/>
      <c r="G363" s="1353"/>
      <c r="H363" s="1353"/>
      <c r="I363" s="1353"/>
      <c r="J363" s="1353"/>
      <c r="K363" s="1353"/>
      <c r="L363" s="1353"/>
      <c r="M363" s="1353"/>
      <c r="N363" s="1353"/>
      <c r="O363" s="1353"/>
      <c r="P363" s="1353"/>
      <c r="Q363" s="1354"/>
      <c r="R363" s="310"/>
    </row>
    <row r="364" spans="1:19" ht="26.25" customHeight="1" x14ac:dyDescent="0.2">
      <c r="A364" s="1355" t="s">
        <v>1745</v>
      </c>
      <c r="B364" s="1356"/>
      <c r="C364" s="1356"/>
      <c r="D364" s="1356"/>
      <c r="E364" s="1356" t="s">
        <v>1746</v>
      </c>
      <c r="F364" s="1356"/>
      <c r="G364" s="1356"/>
      <c r="H364" s="1356"/>
      <c r="I364" s="1356" t="s">
        <v>1747</v>
      </c>
      <c r="J364" s="1356"/>
      <c r="K364" s="1356"/>
      <c r="L364" s="1356"/>
      <c r="M364" s="1357" t="s">
        <v>1748</v>
      </c>
      <c r="N364" s="1356"/>
      <c r="O364" s="1356"/>
      <c r="P364" s="1356"/>
      <c r="Q364" s="1358"/>
      <c r="R364" s="311"/>
    </row>
    <row r="365" spans="1:19" ht="26.25" customHeight="1" thickBot="1" x14ac:dyDescent="0.25">
      <c r="A365" s="1359"/>
      <c r="B365" s="1360"/>
      <c r="C365" s="1360"/>
      <c r="D365" s="1360"/>
      <c r="E365" s="1361"/>
      <c r="F365" s="1362"/>
      <c r="G365" s="1362"/>
      <c r="H365" s="1363"/>
      <c r="I365" s="1361"/>
      <c r="J365" s="1362"/>
      <c r="K365" s="1362"/>
      <c r="L365" s="1363"/>
      <c r="M365" s="1364"/>
      <c r="N365" s="1364"/>
      <c r="O365" s="1364"/>
      <c r="P365" s="1364"/>
      <c r="Q365" s="1365"/>
      <c r="R365" s="310"/>
    </row>
    <row r="366" spans="1:19" ht="26.25" customHeight="1" x14ac:dyDescent="0.2">
      <c r="A366" s="1366" t="s">
        <v>1749</v>
      </c>
      <c r="B366" s="1367"/>
      <c r="C366" s="1367"/>
      <c r="D366" s="1367"/>
      <c r="E366" s="1367"/>
      <c r="F366" s="1367"/>
      <c r="G366" s="1367"/>
      <c r="H366" s="1367"/>
      <c r="I366" s="1367"/>
      <c r="J366" s="1367"/>
      <c r="K366" s="1367"/>
      <c r="L366" s="1367"/>
      <c r="M366" s="1367"/>
      <c r="N366" s="1367"/>
      <c r="O366" s="1367"/>
      <c r="P366" s="1367"/>
      <c r="Q366" s="1368"/>
      <c r="R366" s="390"/>
    </row>
    <row r="367" spans="1:19" ht="26.25" customHeight="1" x14ac:dyDescent="0.2">
      <c r="A367" s="1369" t="s">
        <v>1750</v>
      </c>
      <c r="B367" s="1370"/>
      <c r="C367" s="1370"/>
      <c r="D367" s="1370"/>
      <c r="E367" s="1370"/>
      <c r="F367" s="1370"/>
      <c r="G367" s="1370"/>
      <c r="H367" s="1370"/>
      <c r="I367" s="1370"/>
      <c r="J367" s="1370"/>
      <c r="K367" s="1370"/>
      <c r="L367" s="1371"/>
      <c r="M367" s="1372"/>
      <c r="N367" s="1373"/>
      <c r="O367" s="1373"/>
      <c r="P367" s="1373"/>
      <c r="Q367" s="1374"/>
      <c r="R367" s="390"/>
    </row>
    <row r="368" spans="1:19" ht="26.25" customHeight="1" x14ac:dyDescent="0.2">
      <c r="A368" s="1369" t="s">
        <v>1751</v>
      </c>
      <c r="B368" s="1375"/>
      <c r="C368" s="1375"/>
      <c r="D368" s="1375"/>
      <c r="E368" s="1375"/>
      <c r="F368" s="1375"/>
      <c r="G368" s="1375"/>
      <c r="H368" s="1375"/>
      <c r="I368" s="1375"/>
      <c r="J368" s="1375"/>
      <c r="K368" s="1375"/>
      <c r="L368" s="1375"/>
      <c r="M368" s="1376"/>
      <c r="N368" s="1377"/>
      <c r="O368" s="1377"/>
      <c r="P368" s="1377"/>
      <c r="Q368" s="1378"/>
      <c r="R368" s="390"/>
    </row>
    <row r="369" spans="1:18" ht="26.25" customHeight="1" x14ac:dyDescent="0.2">
      <c r="A369" s="1369" t="s">
        <v>1752</v>
      </c>
      <c r="B369" s="1375"/>
      <c r="C369" s="1375"/>
      <c r="D369" s="1375"/>
      <c r="E369" s="1375"/>
      <c r="F369" s="1375"/>
      <c r="G369" s="1375"/>
      <c r="H369" s="1375"/>
      <c r="I369" s="1375"/>
      <c r="J369" s="1375"/>
      <c r="K369" s="1375"/>
      <c r="L369" s="1375"/>
      <c r="M369" s="1376"/>
      <c r="N369" s="1377"/>
      <c r="O369" s="1377"/>
      <c r="P369" s="1377"/>
      <c r="Q369" s="1378"/>
      <c r="R369" s="390"/>
    </row>
    <row r="370" spans="1:18" ht="26.25" customHeight="1" x14ac:dyDescent="0.2">
      <c r="A370" s="1379" t="s">
        <v>1753</v>
      </c>
      <c r="B370" s="1380"/>
      <c r="C370" s="1380"/>
      <c r="D370" s="1380"/>
      <c r="E370" s="1380"/>
      <c r="F370" s="1380"/>
      <c r="G370" s="1380"/>
      <c r="H370" s="1380"/>
      <c r="I370" s="1380"/>
      <c r="J370" s="1380"/>
      <c r="K370" s="1380"/>
      <c r="L370" s="1380"/>
      <c r="M370" s="1380"/>
      <c r="N370" s="1380"/>
      <c r="O370" s="1380"/>
      <c r="P370" s="1380"/>
      <c r="Q370" s="1381"/>
      <c r="R370" s="390"/>
    </row>
    <row r="371" spans="1:18" ht="26.25" customHeight="1" x14ac:dyDescent="0.2">
      <c r="A371" s="1382"/>
      <c r="B371" s="1383"/>
      <c r="C371" s="1383"/>
      <c r="D371" s="1383"/>
      <c r="E371" s="1383"/>
      <c r="F371" s="1383"/>
      <c r="G371" s="1383"/>
      <c r="H371" s="1383"/>
      <c r="I371" s="1383"/>
      <c r="J371" s="1383"/>
      <c r="K371" s="1383"/>
      <c r="L371" s="1383"/>
      <c r="M371" s="1383"/>
      <c r="N371" s="1383"/>
      <c r="O371" s="1383"/>
      <c r="P371" s="1383"/>
      <c r="Q371" s="1384"/>
      <c r="R371" s="390"/>
    </row>
    <row r="372" spans="1:18" ht="26.25" customHeight="1" x14ac:dyDescent="0.2">
      <c r="A372" s="1385"/>
      <c r="B372" s="1386"/>
      <c r="C372" s="1386"/>
      <c r="D372" s="1386"/>
      <c r="E372" s="1386"/>
      <c r="F372" s="1386"/>
      <c r="G372" s="1386"/>
      <c r="H372" s="1386"/>
      <c r="I372" s="1386"/>
      <c r="J372" s="1386"/>
      <c r="K372" s="1386"/>
      <c r="L372" s="1386"/>
      <c r="M372" s="1386"/>
      <c r="N372" s="1386"/>
      <c r="O372" s="1386"/>
      <c r="P372" s="1386"/>
      <c r="Q372" s="1387"/>
      <c r="R372" s="390"/>
    </row>
    <row r="373" spans="1:18" ht="26.25" customHeight="1" x14ac:dyDescent="0.2">
      <c r="A373" s="1388" t="s">
        <v>1754</v>
      </c>
      <c r="B373" s="1389"/>
      <c r="C373" s="1389"/>
      <c r="D373" s="1389"/>
      <c r="E373" s="1389"/>
      <c r="F373" s="1389"/>
      <c r="G373" s="1389"/>
      <c r="H373" s="1389"/>
      <c r="I373" s="1389"/>
      <c r="J373" s="1389"/>
      <c r="K373" s="1389"/>
      <c r="L373" s="1389"/>
      <c r="M373" s="1389"/>
      <c r="N373" s="1389"/>
      <c r="O373" s="1389"/>
      <c r="P373" s="1389"/>
      <c r="Q373" s="1390"/>
      <c r="R373" s="390"/>
    </row>
    <row r="374" spans="1:18" ht="26.25" customHeight="1" x14ac:dyDescent="0.2">
      <c r="A374" s="1382"/>
      <c r="B374" s="1391"/>
      <c r="C374" s="1391"/>
      <c r="D374" s="1391"/>
      <c r="E374" s="1391"/>
      <c r="F374" s="1391"/>
      <c r="G374" s="1391"/>
      <c r="H374" s="1391"/>
      <c r="I374" s="1391"/>
      <c r="J374" s="1391"/>
      <c r="K374" s="1391"/>
      <c r="L374" s="1391"/>
      <c r="M374" s="1391"/>
      <c r="N374" s="1391"/>
      <c r="O374" s="1391"/>
      <c r="P374" s="1391"/>
      <c r="Q374" s="1392"/>
      <c r="R374" s="390"/>
    </row>
    <row r="375" spans="1:18" ht="26.25" customHeight="1" thickBot="1" x14ac:dyDescent="0.25">
      <c r="A375" s="1393"/>
      <c r="B375" s="1394"/>
      <c r="C375" s="1394"/>
      <c r="D375" s="1394"/>
      <c r="E375" s="1394"/>
      <c r="F375" s="1394"/>
      <c r="G375" s="1394"/>
      <c r="H375" s="1394"/>
      <c r="I375" s="1394"/>
      <c r="J375" s="1394"/>
      <c r="K375" s="1394"/>
      <c r="L375" s="1394"/>
      <c r="M375" s="1394"/>
      <c r="N375" s="1394"/>
      <c r="O375" s="1394"/>
      <c r="P375" s="1394"/>
      <c r="Q375" s="1395"/>
      <c r="R375" s="389"/>
    </row>
    <row r="376" spans="1:18" ht="26.25" customHeight="1" x14ac:dyDescent="0.2">
      <c r="A376" s="1396" t="s">
        <v>1755</v>
      </c>
      <c r="B376" s="1397"/>
      <c r="C376" s="1397"/>
      <c r="D376" s="1397"/>
      <c r="E376" s="1397"/>
      <c r="F376" s="1397"/>
      <c r="G376" s="1397"/>
      <c r="H376" s="1397"/>
      <c r="I376" s="1397"/>
      <c r="J376" s="1397"/>
      <c r="K376" s="1397"/>
      <c r="L376" s="1397"/>
      <c r="M376" s="1397"/>
      <c r="N376" s="1397"/>
      <c r="O376" s="1397"/>
      <c r="P376" s="1397"/>
      <c r="Q376" s="1398"/>
      <c r="R376" s="390"/>
    </row>
    <row r="377" spans="1:18" ht="26.25" customHeight="1" x14ac:dyDescent="0.2">
      <c r="A377" s="1399" t="s">
        <v>1756</v>
      </c>
      <c r="B377" s="1400"/>
      <c r="C377" s="1400"/>
      <c r="D377" s="1400"/>
      <c r="E377" s="1400"/>
      <c r="F377" s="1400"/>
      <c r="G377" s="1400"/>
      <c r="H377" s="1400"/>
      <c r="I377" s="1400"/>
      <c r="J377" s="1400"/>
      <c r="K377" s="1400"/>
      <c r="L377" s="1401"/>
      <c r="M377" s="1372"/>
      <c r="N377" s="1373"/>
      <c r="O377" s="1373"/>
      <c r="P377" s="1373"/>
      <c r="Q377" s="1374"/>
      <c r="R377" s="389"/>
    </row>
    <row r="378" spans="1:18" ht="26.25" customHeight="1" x14ac:dyDescent="0.2">
      <c r="A378" s="1369" t="s">
        <v>1757</v>
      </c>
      <c r="B378" s="1370"/>
      <c r="C378" s="1370"/>
      <c r="D378" s="1370"/>
      <c r="E378" s="1370"/>
      <c r="F378" s="1370"/>
      <c r="G378" s="1370"/>
      <c r="H378" s="1370"/>
      <c r="I378" s="1370"/>
      <c r="J378" s="1370"/>
      <c r="K378" s="1370"/>
      <c r="L378" s="1371"/>
      <c r="M378" s="1376"/>
      <c r="N378" s="1377"/>
      <c r="O378" s="1377"/>
      <c r="P378" s="1377"/>
      <c r="Q378" s="1378"/>
      <c r="R378" s="389"/>
    </row>
    <row r="379" spans="1:18" ht="26.25" customHeight="1" x14ac:dyDescent="0.2">
      <c r="A379" s="1402" t="s">
        <v>1758</v>
      </c>
      <c r="B379" s="1403"/>
      <c r="C379" s="1403"/>
      <c r="D379" s="1403"/>
      <c r="E379" s="1403"/>
      <c r="F379" s="1403"/>
      <c r="G379" s="1403"/>
      <c r="H379" s="1403"/>
      <c r="I379" s="1403"/>
      <c r="J379" s="1403"/>
      <c r="K379" s="1403"/>
      <c r="L379" s="1403"/>
      <c r="M379" s="1403"/>
      <c r="N379" s="1403"/>
      <c r="O379" s="1403"/>
      <c r="P379" s="1403"/>
      <c r="Q379" s="1404"/>
      <c r="R379" s="389"/>
    </row>
    <row r="380" spans="1:18" ht="26.25" customHeight="1" x14ac:dyDescent="0.2">
      <c r="A380" s="1382"/>
      <c r="B380" s="1383"/>
      <c r="C380" s="1383"/>
      <c r="D380" s="1383"/>
      <c r="E380" s="1383"/>
      <c r="F380" s="1383"/>
      <c r="G380" s="1383"/>
      <c r="H380" s="1383"/>
      <c r="I380" s="1383"/>
      <c r="J380" s="1383"/>
      <c r="K380" s="1383"/>
      <c r="L380" s="1383"/>
      <c r="M380" s="1383"/>
      <c r="N380" s="1383"/>
      <c r="O380" s="1383"/>
      <c r="P380" s="1383"/>
      <c r="Q380" s="1405"/>
      <c r="R380" s="389"/>
    </row>
    <row r="381" spans="1:18" ht="26.25" customHeight="1" x14ac:dyDescent="0.2">
      <c r="A381" s="1406"/>
      <c r="B381" s="1407"/>
      <c r="C381" s="1407"/>
      <c r="D381" s="1407"/>
      <c r="E381" s="1407"/>
      <c r="F381" s="1407"/>
      <c r="G381" s="1407"/>
      <c r="H381" s="1407"/>
      <c r="I381" s="1407"/>
      <c r="J381" s="1407"/>
      <c r="K381" s="1407"/>
      <c r="L381" s="1407"/>
      <c r="M381" s="1407"/>
      <c r="N381" s="1407"/>
      <c r="O381" s="1407"/>
      <c r="P381" s="1407"/>
      <c r="Q381" s="1408"/>
      <c r="R381" s="389"/>
    </row>
    <row r="382" spans="1:18" ht="26.25" customHeight="1" x14ac:dyDescent="0.2">
      <c r="A382" s="1409" t="s">
        <v>1759</v>
      </c>
      <c r="B382" s="1410"/>
      <c r="C382" s="1410"/>
      <c r="D382" s="1410"/>
      <c r="E382" s="1410"/>
      <c r="F382" s="1410"/>
      <c r="G382" s="1410"/>
      <c r="H382" s="1410"/>
      <c r="I382" s="1410"/>
      <c r="J382" s="1410"/>
      <c r="K382" s="1410"/>
      <c r="L382" s="1410"/>
      <c r="M382" s="1410"/>
      <c r="N382" s="1410"/>
      <c r="O382" s="1410"/>
      <c r="P382" s="1410"/>
      <c r="Q382" s="1411"/>
      <c r="R382" s="389"/>
    </row>
    <row r="383" spans="1:18" ht="26.25" customHeight="1" x14ac:dyDescent="0.2">
      <c r="A383" s="1382"/>
      <c r="B383" s="1383"/>
      <c r="C383" s="1383"/>
      <c r="D383" s="1383"/>
      <c r="E383" s="1383"/>
      <c r="F383" s="1383"/>
      <c r="G383" s="1383"/>
      <c r="H383" s="1383"/>
      <c r="I383" s="1383"/>
      <c r="J383" s="1383"/>
      <c r="K383" s="1383"/>
      <c r="L383" s="1383"/>
      <c r="M383" s="1383"/>
      <c r="N383" s="1383"/>
      <c r="O383" s="1383"/>
      <c r="P383" s="1383"/>
      <c r="Q383" s="1384"/>
      <c r="R383" s="389"/>
    </row>
    <row r="384" spans="1:18" ht="26.25" customHeight="1" thickBot="1" x14ac:dyDescent="0.25">
      <c r="A384" s="1412"/>
      <c r="B384" s="1413"/>
      <c r="C384" s="1413"/>
      <c r="D384" s="1413"/>
      <c r="E384" s="1413"/>
      <c r="F384" s="1413"/>
      <c r="G384" s="1413"/>
      <c r="H384" s="1413"/>
      <c r="I384" s="1413"/>
      <c r="J384" s="1413"/>
      <c r="K384" s="1413"/>
      <c r="L384" s="1413"/>
      <c r="M384" s="1413"/>
      <c r="N384" s="1413"/>
      <c r="O384" s="1413"/>
      <c r="P384" s="1413"/>
      <c r="Q384" s="1414"/>
      <c r="R384" s="389"/>
    </row>
    <row r="385" spans="1:19" ht="26.25" customHeight="1" x14ac:dyDescent="0.2">
      <c r="A385" s="1332" t="s">
        <v>1760</v>
      </c>
      <c r="B385" s="1333"/>
      <c r="C385" s="1333"/>
      <c r="D385" s="1333"/>
      <c r="E385" s="1333"/>
      <c r="F385" s="1333"/>
      <c r="G385" s="1333"/>
      <c r="H385" s="1333"/>
      <c r="I385" s="1333"/>
      <c r="J385" s="1333"/>
      <c r="K385" s="1333"/>
      <c r="L385" s="1333"/>
      <c r="M385" s="1333"/>
      <c r="N385" s="1333"/>
      <c r="O385" s="1333"/>
      <c r="P385" s="1333"/>
      <c r="Q385" s="1415"/>
    </row>
    <row r="386" spans="1:19" ht="26.25" customHeight="1" x14ac:dyDescent="0.2">
      <c r="A386" s="1416"/>
      <c r="B386" s="1383"/>
      <c r="C386" s="1383"/>
      <c r="D386" s="1383"/>
      <c r="E386" s="1383"/>
      <c r="F386" s="1383"/>
      <c r="G386" s="1383"/>
      <c r="H386" s="1383"/>
      <c r="I386" s="1383"/>
      <c r="J386" s="1383"/>
      <c r="K386" s="1383"/>
      <c r="L386" s="1383"/>
      <c r="M386" s="1383"/>
      <c r="N386" s="1383"/>
      <c r="O386" s="1383"/>
      <c r="P386" s="1383"/>
      <c r="Q386" s="1405"/>
    </row>
    <row r="387" spans="1:19" ht="26.25" customHeight="1" thickBot="1" x14ac:dyDescent="0.25">
      <c r="A387" s="1412"/>
      <c r="B387" s="1413"/>
      <c r="C387" s="1413"/>
      <c r="D387" s="1413"/>
      <c r="E387" s="1413"/>
      <c r="F387" s="1413"/>
      <c r="G387" s="1413"/>
      <c r="H387" s="1413"/>
      <c r="I387" s="1413"/>
      <c r="J387" s="1413"/>
      <c r="K387" s="1413"/>
      <c r="L387" s="1413"/>
      <c r="M387" s="1413"/>
      <c r="N387" s="1413"/>
      <c r="O387" s="1413"/>
      <c r="P387" s="1413"/>
      <c r="Q387" s="1414"/>
      <c r="R387" s="315"/>
    </row>
    <row r="388" spans="1:19" ht="26.25" customHeight="1" x14ac:dyDescent="0.2">
      <c r="A388" s="1396" t="s">
        <v>1761</v>
      </c>
      <c r="B388" s="1397"/>
      <c r="C388" s="1397"/>
      <c r="D388" s="1397"/>
      <c r="E388" s="1397"/>
      <c r="F388" s="1397"/>
      <c r="G388" s="1397"/>
      <c r="H388" s="1397"/>
      <c r="I388" s="1397"/>
      <c r="J388" s="1397"/>
      <c r="K388" s="1397"/>
      <c r="L388" s="1397"/>
      <c r="M388" s="1397"/>
      <c r="N388" s="1397"/>
      <c r="O388" s="1397"/>
      <c r="P388" s="1397"/>
      <c r="Q388" s="1398"/>
      <c r="R388" s="316"/>
    </row>
    <row r="389" spans="1:19" ht="26.25" customHeight="1" x14ac:dyDescent="0.2">
      <c r="A389" s="1351"/>
      <c r="B389" s="1340"/>
      <c r="C389" s="1340"/>
      <c r="D389" s="1340"/>
      <c r="E389" s="1340"/>
      <c r="F389" s="1340"/>
      <c r="G389" s="1340"/>
      <c r="H389" s="1340"/>
      <c r="I389" s="1340"/>
      <c r="J389" s="1340"/>
      <c r="K389" s="1340"/>
      <c r="L389" s="1340"/>
      <c r="M389" s="1340"/>
      <c r="N389" s="1340"/>
      <c r="O389" s="1340"/>
      <c r="P389" s="1340"/>
      <c r="Q389" s="1417"/>
      <c r="R389" s="22"/>
    </row>
    <row r="390" spans="1:19" ht="26.25" customHeight="1" thickBot="1" x14ac:dyDescent="0.25">
      <c r="A390" s="1393"/>
      <c r="B390" s="1394"/>
      <c r="C390" s="1394"/>
      <c r="D390" s="1394"/>
      <c r="E390" s="1394"/>
      <c r="F390" s="1394"/>
      <c r="G390" s="1394"/>
      <c r="H390" s="1394"/>
      <c r="I390" s="1394"/>
      <c r="J390" s="1394"/>
      <c r="K390" s="1394"/>
      <c r="L390" s="1394"/>
      <c r="M390" s="1394"/>
      <c r="N390" s="1394"/>
      <c r="O390" s="1394"/>
      <c r="P390" s="1394"/>
      <c r="Q390" s="1395"/>
      <c r="R390" s="22"/>
    </row>
    <row r="391" spans="1:19" ht="26.25" customHeight="1" x14ac:dyDescent="0.2">
      <c r="A391" s="409" t="str">
        <f>$A$1</f>
        <v xml:space="preserve"> </v>
      </c>
      <c r="B391" s="389"/>
      <c r="C391" s="389"/>
      <c r="D391" s="389"/>
      <c r="E391" s="389"/>
      <c r="F391" s="389"/>
      <c r="G391" s="389"/>
      <c r="H391" s="389"/>
      <c r="I391" s="389"/>
      <c r="J391" s="389"/>
      <c r="K391" s="389"/>
      <c r="L391" s="389"/>
      <c r="M391" s="389"/>
      <c r="N391" s="389"/>
      <c r="O391" s="389"/>
      <c r="P391" s="389"/>
      <c r="Q391" s="389"/>
      <c r="R391" s="313"/>
    </row>
    <row r="392" spans="1:19" ht="26.25" customHeight="1" x14ac:dyDescent="0.2">
      <c r="A392" s="1290" t="s">
        <v>1389</v>
      </c>
      <c r="B392" s="1291"/>
      <c r="C392" s="1291"/>
      <c r="D392" s="1291"/>
      <c r="E392" s="1291"/>
      <c r="F392" s="1291"/>
      <c r="G392" s="1291"/>
      <c r="H392" s="1291"/>
      <c r="I392" s="1291"/>
      <c r="J392" s="1291"/>
      <c r="K392" s="1291"/>
      <c r="L392" s="1291"/>
      <c r="M392" s="1291"/>
      <c r="N392" s="1419" t="s">
        <v>2844</v>
      </c>
      <c r="O392" s="1419"/>
      <c r="P392" s="1419"/>
      <c r="Q392" s="1420"/>
      <c r="R392" s="392"/>
    </row>
    <row r="393" spans="1:19" ht="26.25" customHeight="1" x14ac:dyDescent="0.2">
      <c r="A393" s="1294" t="str">
        <f>IF(ISBLANK(Cap_Expend_Name),"The Capital Expenditure Contact information has NOT been provided.  Click here to go to Capital Expenditure Contact Section to fill in this information now.","")</f>
        <v/>
      </c>
      <c r="B393" s="1295"/>
      <c r="C393" s="1295"/>
      <c r="D393" s="1295"/>
      <c r="E393" s="1295"/>
      <c r="F393" s="1295"/>
      <c r="G393" s="1295"/>
      <c r="H393" s="1295"/>
      <c r="I393" s="1295"/>
      <c r="J393" s="1295"/>
      <c r="K393" s="1295"/>
      <c r="L393" s="1295"/>
      <c r="M393" s="1295"/>
      <c r="N393" s="407" t="s">
        <v>1727</v>
      </c>
      <c r="O393" s="408"/>
      <c r="P393" s="1296"/>
      <c r="Q393" s="1297"/>
      <c r="R393" s="2"/>
    </row>
    <row r="394" spans="1:19" ht="26.25" customHeight="1" thickBot="1" x14ac:dyDescent="0.25">
      <c r="A394" s="1298" t="s">
        <v>1338</v>
      </c>
      <c r="B394" s="1299"/>
      <c r="C394" s="1299"/>
      <c r="D394" s="1299"/>
      <c r="E394" s="1300"/>
      <c r="F394" s="1301"/>
      <c r="G394" s="1301"/>
      <c r="H394" s="1301"/>
      <c r="I394" s="1301"/>
      <c r="J394" s="1301"/>
      <c r="K394" s="1301"/>
      <c r="L394" s="1302"/>
      <c r="M394" s="295"/>
      <c r="N394" s="1303" t="s">
        <v>1728</v>
      </c>
      <c r="O394" s="1304"/>
      <c r="P394" s="1304"/>
      <c r="Q394" s="1305"/>
      <c r="R394" s="2"/>
    </row>
    <row r="395" spans="1:19" ht="26.25" customHeight="1" x14ac:dyDescent="0.2">
      <c r="A395" s="1306" t="s">
        <v>1729</v>
      </c>
      <c r="B395" s="1307"/>
      <c r="C395" s="1307"/>
      <c r="D395" s="1308"/>
      <c r="E395" s="1320"/>
      <c r="F395" s="1310"/>
      <c r="G395" s="1310"/>
      <c r="H395" s="1310"/>
      <c r="I395" s="1310"/>
      <c r="J395" s="1310"/>
      <c r="K395" s="1310"/>
      <c r="L395" s="1311"/>
      <c r="M395" s="1312" t="str">
        <f>IF(AND(ISBLANK(E395),OR(NOT(ISBLANK(E396)),NOT(ISBLANK(E397)),NOT(ISBLANK(E398)),NOT(ISBLANK(I399)),NOT(ISBLANK(E394)))),"This information is required.","")</f>
        <v/>
      </c>
      <c r="N395" s="1313"/>
      <c r="O395" s="1313"/>
      <c r="P395" s="1313"/>
      <c r="Q395" s="296"/>
      <c r="R395" s="2"/>
    </row>
    <row r="396" spans="1:19" ht="26.25" customHeight="1" x14ac:dyDescent="0.2">
      <c r="A396" s="1314" t="s">
        <v>1730</v>
      </c>
      <c r="B396" s="1315"/>
      <c r="C396" s="1315"/>
      <c r="D396" s="1316"/>
      <c r="E396" s="1320"/>
      <c r="F396" s="1310"/>
      <c r="G396" s="1310"/>
      <c r="H396" s="1310"/>
      <c r="I396" s="1310"/>
      <c r="J396" s="1310"/>
      <c r="K396" s="1310"/>
      <c r="L396" s="1311"/>
      <c r="M396" s="1312" t="str">
        <f>IF(AND(ISBLANK(E396),OR(NOT(ISBLANK(E395)),NOT(ISBLANK(E397)),NOT(ISBLANK(E398)),NOT(ISBLANK(I399)),NOT(ISBLANK(E394)))),"This information is required.","")</f>
        <v/>
      </c>
      <c r="N396" s="1313"/>
      <c r="O396" s="1313"/>
      <c r="P396" s="1313"/>
      <c r="Q396" s="296"/>
      <c r="R396" s="2"/>
    </row>
    <row r="397" spans="1:19" ht="26.25" customHeight="1" x14ac:dyDescent="0.2">
      <c r="A397" s="1317" t="s">
        <v>1731</v>
      </c>
      <c r="B397" s="1318"/>
      <c r="C397" s="1318"/>
      <c r="D397" s="1319"/>
      <c r="E397" s="1422"/>
      <c r="F397" s="1310"/>
      <c r="G397" s="1321" t="s">
        <v>1732</v>
      </c>
      <c r="H397" s="1321"/>
      <c r="I397" s="1321"/>
      <c r="J397" s="1321"/>
      <c r="K397" s="1321"/>
      <c r="L397" s="1321"/>
      <c r="M397" s="615" t="str">
        <f>IF(AND(ISBLANK(E397),OR(NOT(ISBLANK(E395)),NOT(ISBLANK(E396)),NOT(ISBLANK(E398)),NOT(ISBLANK(I399)),NOT(ISBLANK(E394)))),"This information is required.","")</f>
        <v/>
      </c>
      <c r="N397" s="616"/>
      <c r="O397" s="616"/>
      <c r="P397" s="616"/>
      <c r="Q397" s="297"/>
      <c r="R397" s="298"/>
    </row>
    <row r="398" spans="1:19" ht="26.25" customHeight="1" x14ac:dyDescent="0.2">
      <c r="A398" s="1314" t="s">
        <v>1733</v>
      </c>
      <c r="B398" s="1315"/>
      <c r="C398" s="1315"/>
      <c r="D398" s="1316"/>
      <c r="E398" s="1322"/>
      <c r="F398" s="1323"/>
      <c r="G398" s="299"/>
      <c r="H398" s="300"/>
      <c r="I398" s="301"/>
      <c r="J398" s="298"/>
      <c r="K398" s="298"/>
      <c r="L398" s="298"/>
      <c r="M398" s="616" t="str">
        <f>IF(AND(ISBLANK(E398),OR(NOT(ISBLANK(E395)),NOT(ISBLANK(E396)),NOT(ISBLANK(E397)),NOT(ISBLANK(I399)),NOT(ISBLANK(E394)))),"This information is required.","")</f>
        <v/>
      </c>
      <c r="N398" s="616"/>
      <c r="O398" s="616"/>
      <c r="P398" s="616"/>
      <c r="Q398" s="297"/>
      <c r="R398" s="5"/>
      <c r="S398" s="267">
        <f>IF(ISBLANK(E398),0,1)</f>
        <v>0</v>
      </c>
    </row>
    <row r="399" spans="1:19" ht="26.25" customHeight="1" thickBot="1" x14ac:dyDescent="0.25">
      <c r="A399" s="1324" t="s">
        <v>1734</v>
      </c>
      <c r="B399" s="1325"/>
      <c r="C399" s="1325"/>
      <c r="D399" s="1325"/>
      <c r="E399" s="1326"/>
      <c r="F399" s="1326"/>
      <c r="G399" s="1326"/>
      <c r="H399" s="1326"/>
      <c r="I399" s="1327"/>
      <c r="J399" s="1328"/>
      <c r="K399" s="1329" t="s">
        <v>1735</v>
      </c>
      <c r="L399" s="1330"/>
      <c r="M399" s="1331" t="str">
        <f>IF(AND(ISBLANK(I399),OR(NOT(ISBLANK(E395)),NOT(ISBLANK(E396)),NOT(ISBLANK(E397)),NOT(ISBLANK(E398)),NOT(ISBLANK(E394)))),"This information is required!","")</f>
        <v/>
      </c>
      <c r="N399" s="1331"/>
      <c r="O399" s="1331"/>
      <c r="P399" s="1331"/>
      <c r="Q399" s="302"/>
      <c r="R399" s="5"/>
    </row>
    <row r="400" spans="1:19" ht="26.25" customHeight="1" x14ac:dyDescent="0.2">
      <c r="A400" s="1332" t="s">
        <v>1736</v>
      </c>
      <c r="B400" s="1333"/>
      <c r="C400" s="1333"/>
      <c r="D400" s="1333"/>
      <c r="E400" s="1333"/>
      <c r="F400" s="1333"/>
      <c r="G400" s="1333"/>
      <c r="H400" s="1333"/>
      <c r="I400" s="1333"/>
      <c r="J400" s="1334"/>
      <c r="K400" s="1335" t="s">
        <v>1737</v>
      </c>
      <c r="L400" s="1335"/>
      <c r="M400" s="1335"/>
      <c r="N400" s="1335"/>
      <c r="O400" s="1337" t="s">
        <v>1738</v>
      </c>
      <c r="P400" s="1337"/>
      <c r="Q400" s="1338"/>
      <c r="R400" s="463" t="str">
        <f>IF(AND(ISBLANK(A401),OR(NOT(ISBLANK(I399)),NOT(ISBLANK(E398)),NOT(ISBLANK(E397)),NOT(ISBLANK(E396)),NOT(ISBLANK(E395)),NOT(ISBLANK(E394)))),"General Description is required!","")</f>
        <v/>
      </c>
    </row>
    <row r="401" spans="1:18" ht="45" customHeight="1" x14ac:dyDescent="0.2">
      <c r="A401" s="1351"/>
      <c r="B401" s="1340"/>
      <c r="C401" s="1340"/>
      <c r="D401" s="1340"/>
      <c r="E401" s="1340"/>
      <c r="F401" s="1340"/>
      <c r="G401" s="1340"/>
      <c r="H401" s="1340"/>
      <c r="I401" s="1340"/>
      <c r="J401" s="1341"/>
      <c r="K401" s="1336"/>
      <c r="L401" s="1336"/>
      <c r="M401" s="1336"/>
      <c r="N401" s="1336"/>
      <c r="O401" s="305"/>
      <c r="P401" s="306" t="s">
        <v>91</v>
      </c>
      <c r="Q401" s="307" t="s">
        <v>92</v>
      </c>
      <c r="R401" s="393"/>
    </row>
    <row r="402" spans="1:18" ht="26.25" customHeight="1" x14ac:dyDescent="0.2">
      <c r="A402" s="1342"/>
      <c r="B402" s="1343"/>
      <c r="C402" s="1343"/>
      <c r="D402" s="1343"/>
      <c r="E402" s="1343"/>
      <c r="F402" s="1343"/>
      <c r="G402" s="1343"/>
      <c r="H402" s="1343"/>
      <c r="I402" s="1343"/>
      <c r="J402" s="1344"/>
      <c r="K402" s="1345" t="s">
        <v>1739</v>
      </c>
      <c r="L402" s="1346"/>
      <c r="M402" s="1346"/>
      <c r="N402" s="1346"/>
      <c r="O402" s="1347"/>
      <c r="P402" s="388"/>
      <c r="Q402" s="309"/>
      <c r="R402" s="461" t="str">
        <f>IF(NOT(AND(ISBLANK(E394),ISBLANK(E395),ISBLANK(E396),ISBLANK(E397),ISBLANK(E398),ISBLANK(I399))),IF(COUNTBLANK(P402:Q402)=2,"Please enter response.",IF(COUNTBLANK(P402:Q402)&lt;&gt;1,"Please VERIFY response.","")),"")</f>
        <v/>
      </c>
    </row>
    <row r="403" spans="1:18" ht="26.25" customHeight="1" x14ac:dyDescent="0.2">
      <c r="A403" s="1348" t="s">
        <v>1740</v>
      </c>
      <c r="B403" s="1349"/>
      <c r="C403" s="1349"/>
      <c r="D403" s="1349"/>
      <c r="E403" s="1349"/>
      <c r="F403" s="1349"/>
      <c r="G403" s="1349"/>
      <c r="H403" s="1349"/>
      <c r="I403" s="1349"/>
      <c r="J403" s="1350"/>
      <c r="K403" s="1345" t="s">
        <v>1741</v>
      </c>
      <c r="L403" s="1346"/>
      <c r="M403" s="1346"/>
      <c r="N403" s="1346"/>
      <c r="O403" s="1347"/>
      <c r="P403" s="388"/>
      <c r="Q403" s="309"/>
      <c r="R403" s="461" t="str">
        <f>IF(NOT(AND(ISBLANK(E394),ISBLANK(E395),ISBLANK(E396),ISBLANK(E397),ISBLANK(E398),ISBLANK(I399))),IF(COUNTBLANK(P403:Q403)=2,"Please enter response.",IF(COUNTBLANK(P403:Q403)&lt;&gt;1,"Please VERIFY response.","")),"")</f>
        <v/>
      </c>
    </row>
    <row r="404" spans="1:18" ht="26.25" customHeight="1" x14ac:dyDescent="0.2">
      <c r="A404" s="1351"/>
      <c r="B404" s="1340"/>
      <c r="C404" s="1340"/>
      <c r="D404" s="1340"/>
      <c r="E404" s="1340"/>
      <c r="F404" s="1340"/>
      <c r="G404" s="1340"/>
      <c r="H404" s="1340"/>
      <c r="I404" s="1340"/>
      <c r="J404" s="1341"/>
      <c r="K404" s="1345" t="s">
        <v>1742</v>
      </c>
      <c r="L404" s="1346"/>
      <c r="M404" s="1346"/>
      <c r="N404" s="1346"/>
      <c r="O404" s="1347"/>
      <c r="P404" s="388"/>
      <c r="Q404" s="309"/>
      <c r="R404" s="461" t="str">
        <f>IF(NOT(AND(ISBLANK(E394),ISBLANK(E395),ISBLANK(E396),ISBLANK(E397),ISBLANK(E398),ISBLANK(I399))),IF(COUNTBLANK(P404:Q404)=2,"Please enter response.",IF(COUNTBLANK(P404:Q404)&lt;&gt;1,"Please VERIFY response.","")),"")</f>
        <v/>
      </c>
    </row>
    <row r="405" spans="1:18" ht="26.25" customHeight="1" x14ac:dyDescent="0.2">
      <c r="A405" s="1342"/>
      <c r="B405" s="1343"/>
      <c r="C405" s="1343"/>
      <c r="D405" s="1343"/>
      <c r="E405" s="1343"/>
      <c r="F405" s="1343"/>
      <c r="G405" s="1343"/>
      <c r="H405" s="1343"/>
      <c r="I405" s="1343"/>
      <c r="J405" s="1344"/>
      <c r="K405" s="1345" t="s">
        <v>1743</v>
      </c>
      <c r="L405" s="1346"/>
      <c r="M405" s="1346"/>
      <c r="N405" s="1346"/>
      <c r="O405" s="1347"/>
      <c r="P405" s="388"/>
      <c r="Q405" s="309"/>
      <c r="R405" s="461" t="str">
        <f>IF(NOT(AND(ISBLANK(E394),ISBLANK(E395),ISBLANK(E396),ISBLANK(E397),ISBLANK(E398),ISBLANK(I399))),IF(COUNTBLANK(P405:Q405)=2,"Please enter response.",IF(COUNTBLANK(P405:Q405)&lt;&gt;1,"Please VERIFY response.","")),"")</f>
        <v/>
      </c>
    </row>
    <row r="406" spans="1:18" ht="26.25" customHeight="1" x14ac:dyDescent="0.2">
      <c r="A406" s="1352" t="s">
        <v>1744</v>
      </c>
      <c r="B406" s="1353"/>
      <c r="C406" s="1353"/>
      <c r="D406" s="1353"/>
      <c r="E406" s="1353"/>
      <c r="F406" s="1353"/>
      <c r="G406" s="1353"/>
      <c r="H406" s="1353"/>
      <c r="I406" s="1353"/>
      <c r="J406" s="1353"/>
      <c r="K406" s="1353"/>
      <c r="L406" s="1353"/>
      <c r="M406" s="1353"/>
      <c r="N406" s="1353"/>
      <c r="O406" s="1353"/>
      <c r="P406" s="1353"/>
      <c r="Q406" s="1354"/>
      <c r="R406" s="310"/>
    </row>
    <row r="407" spans="1:18" ht="26.25" customHeight="1" x14ac:dyDescent="0.2">
      <c r="A407" s="1355" t="s">
        <v>1745</v>
      </c>
      <c r="B407" s="1356"/>
      <c r="C407" s="1356"/>
      <c r="D407" s="1356"/>
      <c r="E407" s="1356" t="s">
        <v>1746</v>
      </c>
      <c r="F407" s="1356"/>
      <c r="G407" s="1356"/>
      <c r="H407" s="1356"/>
      <c r="I407" s="1356" t="s">
        <v>1747</v>
      </c>
      <c r="J407" s="1356"/>
      <c r="K407" s="1356"/>
      <c r="L407" s="1356"/>
      <c r="M407" s="1357" t="s">
        <v>1748</v>
      </c>
      <c r="N407" s="1356"/>
      <c r="O407" s="1356"/>
      <c r="P407" s="1356"/>
      <c r="Q407" s="1358"/>
      <c r="R407" s="311"/>
    </row>
    <row r="408" spans="1:18" ht="26.25" customHeight="1" thickBot="1" x14ac:dyDescent="0.25">
      <c r="A408" s="1359"/>
      <c r="B408" s="1360"/>
      <c r="C408" s="1360"/>
      <c r="D408" s="1360"/>
      <c r="E408" s="1361"/>
      <c r="F408" s="1362"/>
      <c r="G408" s="1362"/>
      <c r="H408" s="1363"/>
      <c r="I408" s="1361"/>
      <c r="J408" s="1362"/>
      <c r="K408" s="1362"/>
      <c r="L408" s="1363"/>
      <c r="M408" s="1364"/>
      <c r="N408" s="1364"/>
      <c r="O408" s="1364"/>
      <c r="P408" s="1364"/>
      <c r="Q408" s="1365"/>
      <c r="R408" s="310"/>
    </row>
    <row r="409" spans="1:18" ht="26.25" customHeight="1" x14ac:dyDescent="0.2">
      <c r="A409" s="1366" t="s">
        <v>1749</v>
      </c>
      <c r="B409" s="1367"/>
      <c r="C409" s="1367"/>
      <c r="D409" s="1367"/>
      <c r="E409" s="1367"/>
      <c r="F409" s="1367"/>
      <c r="G409" s="1367"/>
      <c r="H409" s="1367"/>
      <c r="I409" s="1367"/>
      <c r="J409" s="1367"/>
      <c r="K409" s="1367"/>
      <c r="L409" s="1367"/>
      <c r="M409" s="1367"/>
      <c r="N409" s="1367"/>
      <c r="O409" s="1367"/>
      <c r="P409" s="1367"/>
      <c r="Q409" s="1368"/>
      <c r="R409" s="390"/>
    </row>
    <row r="410" spans="1:18" ht="26.25" customHeight="1" x14ac:dyDescent="0.2">
      <c r="A410" s="1369" t="s">
        <v>1750</v>
      </c>
      <c r="B410" s="1370"/>
      <c r="C410" s="1370"/>
      <c r="D410" s="1370"/>
      <c r="E410" s="1370"/>
      <c r="F410" s="1370"/>
      <c r="G410" s="1370"/>
      <c r="H410" s="1370"/>
      <c r="I410" s="1370"/>
      <c r="J410" s="1370"/>
      <c r="K410" s="1370"/>
      <c r="L410" s="1371"/>
      <c r="M410" s="1372"/>
      <c r="N410" s="1373"/>
      <c r="O410" s="1373"/>
      <c r="P410" s="1373"/>
      <c r="Q410" s="1374"/>
      <c r="R410" s="390"/>
    </row>
    <row r="411" spans="1:18" ht="26.25" customHeight="1" x14ac:dyDescent="0.2">
      <c r="A411" s="1369" t="s">
        <v>1751</v>
      </c>
      <c r="B411" s="1375"/>
      <c r="C411" s="1375"/>
      <c r="D411" s="1375"/>
      <c r="E411" s="1375"/>
      <c r="F411" s="1375"/>
      <c r="G411" s="1375"/>
      <c r="H411" s="1375"/>
      <c r="I411" s="1375"/>
      <c r="J411" s="1375"/>
      <c r="K411" s="1375"/>
      <c r="L411" s="1375"/>
      <c r="M411" s="1376"/>
      <c r="N411" s="1377"/>
      <c r="O411" s="1377"/>
      <c r="P411" s="1377"/>
      <c r="Q411" s="1378"/>
      <c r="R411" s="390"/>
    </row>
    <row r="412" spans="1:18" ht="26.25" customHeight="1" x14ac:dyDescent="0.2">
      <c r="A412" s="1369" t="s">
        <v>1752</v>
      </c>
      <c r="B412" s="1375"/>
      <c r="C412" s="1375"/>
      <c r="D412" s="1375"/>
      <c r="E412" s="1375"/>
      <c r="F412" s="1375"/>
      <c r="G412" s="1375"/>
      <c r="H412" s="1375"/>
      <c r="I412" s="1375"/>
      <c r="J412" s="1375"/>
      <c r="K412" s="1375"/>
      <c r="L412" s="1375"/>
      <c r="M412" s="1376"/>
      <c r="N412" s="1377"/>
      <c r="O412" s="1377"/>
      <c r="P412" s="1377"/>
      <c r="Q412" s="1378"/>
      <c r="R412" s="390"/>
    </row>
    <row r="413" spans="1:18" ht="26.25" customHeight="1" x14ac:dyDescent="0.2">
      <c r="A413" s="1379" t="s">
        <v>1753</v>
      </c>
      <c r="B413" s="1380"/>
      <c r="C413" s="1380"/>
      <c r="D413" s="1380"/>
      <c r="E413" s="1380"/>
      <c r="F413" s="1380"/>
      <c r="G413" s="1380"/>
      <c r="H413" s="1380"/>
      <c r="I413" s="1380"/>
      <c r="J413" s="1380"/>
      <c r="K413" s="1380"/>
      <c r="L413" s="1380"/>
      <c r="M413" s="1380"/>
      <c r="N413" s="1380"/>
      <c r="O413" s="1380"/>
      <c r="P413" s="1380"/>
      <c r="Q413" s="1381"/>
      <c r="R413" s="390"/>
    </row>
    <row r="414" spans="1:18" ht="26.25" customHeight="1" x14ac:dyDescent="0.2">
      <c r="A414" s="1382"/>
      <c r="B414" s="1383"/>
      <c r="C414" s="1383"/>
      <c r="D414" s="1383"/>
      <c r="E414" s="1383"/>
      <c r="F414" s="1383"/>
      <c r="G414" s="1383"/>
      <c r="H414" s="1383"/>
      <c r="I414" s="1383"/>
      <c r="J414" s="1383"/>
      <c r="K414" s="1383"/>
      <c r="L414" s="1383"/>
      <c r="M414" s="1383"/>
      <c r="N414" s="1383"/>
      <c r="O414" s="1383"/>
      <c r="P414" s="1383"/>
      <c r="Q414" s="1384"/>
      <c r="R414" s="390"/>
    </row>
    <row r="415" spans="1:18" ht="26.25" customHeight="1" x14ac:dyDescent="0.2">
      <c r="A415" s="1385"/>
      <c r="B415" s="1386"/>
      <c r="C415" s="1386"/>
      <c r="D415" s="1386"/>
      <c r="E415" s="1386"/>
      <c r="F415" s="1386"/>
      <c r="G415" s="1386"/>
      <c r="H415" s="1386"/>
      <c r="I415" s="1386"/>
      <c r="J415" s="1386"/>
      <c r="K415" s="1386"/>
      <c r="L415" s="1386"/>
      <c r="M415" s="1386"/>
      <c r="N415" s="1386"/>
      <c r="O415" s="1386"/>
      <c r="P415" s="1386"/>
      <c r="Q415" s="1387"/>
      <c r="R415" s="390"/>
    </row>
    <row r="416" spans="1:18" ht="26.25" customHeight="1" x14ac:dyDescent="0.2">
      <c r="A416" s="1388" t="s">
        <v>1754</v>
      </c>
      <c r="B416" s="1389"/>
      <c r="C416" s="1389"/>
      <c r="D416" s="1389"/>
      <c r="E416" s="1389"/>
      <c r="F416" s="1389"/>
      <c r="G416" s="1389"/>
      <c r="H416" s="1389"/>
      <c r="I416" s="1389"/>
      <c r="J416" s="1389"/>
      <c r="K416" s="1389"/>
      <c r="L416" s="1389"/>
      <c r="M416" s="1389"/>
      <c r="N416" s="1389"/>
      <c r="O416" s="1389"/>
      <c r="P416" s="1389"/>
      <c r="Q416" s="1390"/>
      <c r="R416" s="390"/>
    </row>
    <row r="417" spans="1:18" ht="26.25" customHeight="1" x14ac:dyDescent="0.2">
      <c r="A417" s="1382"/>
      <c r="B417" s="1391"/>
      <c r="C417" s="1391"/>
      <c r="D417" s="1391"/>
      <c r="E417" s="1391"/>
      <c r="F417" s="1391"/>
      <c r="G417" s="1391"/>
      <c r="H417" s="1391"/>
      <c r="I417" s="1391"/>
      <c r="J417" s="1391"/>
      <c r="K417" s="1391"/>
      <c r="L417" s="1391"/>
      <c r="M417" s="1391"/>
      <c r="N417" s="1391"/>
      <c r="O417" s="1391"/>
      <c r="P417" s="1391"/>
      <c r="Q417" s="1392"/>
      <c r="R417" s="390"/>
    </row>
    <row r="418" spans="1:18" ht="26.25" customHeight="1" thickBot="1" x14ac:dyDescent="0.25">
      <c r="A418" s="1393"/>
      <c r="B418" s="1394"/>
      <c r="C418" s="1394"/>
      <c r="D418" s="1394"/>
      <c r="E418" s="1394"/>
      <c r="F418" s="1394"/>
      <c r="G418" s="1394"/>
      <c r="H418" s="1394"/>
      <c r="I418" s="1394"/>
      <c r="J418" s="1394"/>
      <c r="K418" s="1394"/>
      <c r="L418" s="1394"/>
      <c r="M418" s="1394"/>
      <c r="N418" s="1394"/>
      <c r="O418" s="1394"/>
      <c r="P418" s="1394"/>
      <c r="Q418" s="1395"/>
      <c r="R418" s="389"/>
    </row>
    <row r="419" spans="1:18" ht="26.25" customHeight="1" x14ac:dyDescent="0.2">
      <c r="A419" s="1396" t="s">
        <v>1755</v>
      </c>
      <c r="B419" s="1397"/>
      <c r="C419" s="1397"/>
      <c r="D419" s="1397"/>
      <c r="E419" s="1397"/>
      <c r="F419" s="1397"/>
      <c r="G419" s="1397"/>
      <c r="H419" s="1397"/>
      <c r="I419" s="1397"/>
      <c r="J419" s="1397"/>
      <c r="K419" s="1397"/>
      <c r="L419" s="1397"/>
      <c r="M419" s="1397"/>
      <c r="N419" s="1397"/>
      <c r="O419" s="1397"/>
      <c r="P419" s="1397"/>
      <c r="Q419" s="1398"/>
      <c r="R419" s="390"/>
    </row>
    <row r="420" spans="1:18" ht="26.25" customHeight="1" x14ac:dyDescent="0.2">
      <c r="A420" s="1399" t="s">
        <v>1756</v>
      </c>
      <c r="B420" s="1400"/>
      <c r="C420" s="1400"/>
      <c r="D420" s="1400"/>
      <c r="E420" s="1400"/>
      <c r="F420" s="1400"/>
      <c r="G420" s="1400"/>
      <c r="H420" s="1400"/>
      <c r="I420" s="1400"/>
      <c r="J420" s="1400"/>
      <c r="K420" s="1400"/>
      <c r="L420" s="1401"/>
      <c r="M420" s="1372"/>
      <c r="N420" s="1373"/>
      <c r="O420" s="1373"/>
      <c r="P420" s="1373"/>
      <c r="Q420" s="1374"/>
      <c r="R420" s="389"/>
    </row>
    <row r="421" spans="1:18" ht="26.25" customHeight="1" x14ac:dyDescent="0.2">
      <c r="A421" s="1369" t="s">
        <v>1757</v>
      </c>
      <c r="B421" s="1370"/>
      <c r="C421" s="1370"/>
      <c r="D421" s="1370"/>
      <c r="E421" s="1370"/>
      <c r="F421" s="1370"/>
      <c r="G421" s="1370"/>
      <c r="H421" s="1370"/>
      <c r="I421" s="1370"/>
      <c r="J421" s="1370"/>
      <c r="K421" s="1370"/>
      <c r="L421" s="1371"/>
      <c r="M421" s="1376"/>
      <c r="N421" s="1377"/>
      <c r="O421" s="1377"/>
      <c r="P421" s="1377"/>
      <c r="Q421" s="1378"/>
      <c r="R421" s="389"/>
    </row>
    <row r="422" spans="1:18" ht="26.25" customHeight="1" x14ac:dyDescent="0.2">
      <c r="A422" s="1402" t="s">
        <v>1758</v>
      </c>
      <c r="B422" s="1403"/>
      <c r="C422" s="1403"/>
      <c r="D422" s="1403"/>
      <c r="E422" s="1403"/>
      <c r="F422" s="1403"/>
      <c r="G422" s="1403"/>
      <c r="H422" s="1403"/>
      <c r="I422" s="1403"/>
      <c r="J422" s="1403"/>
      <c r="K422" s="1403"/>
      <c r="L422" s="1403"/>
      <c r="M422" s="1403"/>
      <c r="N422" s="1403"/>
      <c r="O422" s="1403"/>
      <c r="P422" s="1403"/>
      <c r="Q422" s="1404"/>
      <c r="R422" s="389"/>
    </row>
    <row r="423" spans="1:18" ht="26.25" customHeight="1" x14ac:dyDescent="0.2">
      <c r="A423" s="1382"/>
      <c r="B423" s="1383"/>
      <c r="C423" s="1383"/>
      <c r="D423" s="1383"/>
      <c r="E423" s="1383"/>
      <c r="F423" s="1383"/>
      <c r="G423" s="1383"/>
      <c r="H423" s="1383"/>
      <c r="I423" s="1383"/>
      <c r="J423" s="1383"/>
      <c r="K423" s="1383"/>
      <c r="L423" s="1383"/>
      <c r="M423" s="1383"/>
      <c r="N423" s="1383"/>
      <c r="O423" s="1383"/>
      <c r="P423" s="1383"/>
      <c r="Q423" s="1405"/>
      <c r="R423" s="389"/>
    </row>
    <row r="424" spans="1:18" ht="26.25" customHeight="1" x14ac:dyDescent="0.2">
      <c r="A424" s="1406"/>
      <c r="B424" s="1407"/>
      <c r="C424" s="1407"/>
      <c r="D424" s="1407"/>
      <c r="E424" s="1407"/>
      <c r="F424" s="1407"/>
      <c r="G424" s="1407"/>
      <c r="H424" s="1407"/>
      <c r="I424" s="1407"/>
      <c r="J424" s="1407"/>
      <c r="K424" s="1407"/>
      <c r="L424" s="1407"/>
      <c r="M424" s="1407"/>
      <c r="N424" s="1407"/>
      <c r="O424" s="1407"/>
      <c r="P424" s="1407"/>
      <c r="Q424" s="1408"/>
      <c r="R424" s="389"/>
    </row>
    <row r="425" spans="1:18" ht="26.25" customHeight="1" x14ac:dyDescent="0.2">
      <c r="A425" s="1409" t="s">
        <v>1759</v>
      </c>
      <c r="B425" s="1410"/>
      <c r="C425" s="1410"/>
      <c r="D425" s="1410"/>
      <c r="E425" s="1410"/>
      <c r="F425" s="1410"/>
      <c r="G425" s="1410"/>
      <c r="H425" s="1410"/>
      <c r="I425" s="1410"/>
      <c r="J425" s="1410"/>
      <c r="K425" s="1410"/>
      <c r="L425" s="1410"/>
      <c r="M425" s="1410"/>
      <c r="N425" s="1410"/>
      <c r="O425" s="1410"/>
      <c r="P425" s="1410"/>
      <c r="Q425" s="1411"/>
      <c r="R425" s="389"/>
    </row>
    <row r="426" spans="1:18" ht="26.25" customHeight="1" x14ac:dyDescent="0.2">
      <c r="A426" s="1382"/>
      <c r="B426" s="1383"/>
      <c r="C426" s="1383"/>
      <c r="D426" s="1383"/>
      <c r="E426" s="1383"/>
      <c r="F426" s="1383"/>
      <c r="G426" s="1383"/>
      <c r="H426" s="1383"/>
      <c r="I426" s="1383"/>
      <c r="J426" s="1383"/>
      <c r="K426" s="1383"/>
      <c r="L426" s="1383"/>
      <c r="M426" s="1383"/>
      <c r="N426" s="1383"/>
      <c r="O426" s="1383"/>
      <c r="P426" s="1383"/>
      <c r="Q426" s="1384"/>
      <c r="R426" s="389"/>
    </row>
    <row r="427" spans="1:18" ht="26.25" customHeight="1" thickBot="1" x14ac:dyDescent="0.25">
      <c r="A427" s="1412"/>
      <c r="B427" s="1413"/>
      <c r="C427" s="1413"/>
      <c r="D427" s="1413"/>
      <c r="E427" s="1413"/>
      <c r="F427" s="1413"/>
      <c r="G427" s="1413"/>
      <c r="H427" s="1413"/>
      <c r="I427" s="1413"/>
      <c r="J427" s="1413"/>
      <c r="K427" s="1413"/>
      <c r="L427" s="1413"/>
      <c r="M427" s="1413"/>
      <c r="N427" s="1413"/>
      <c r="O427" s="1413"/>
      <c r="P427" s="1413"/>
      <c r="Q427" s="1414"/>
      <c r="R427" s="389"/>
    </row>
    <row r="428" spans="1:18" ht="26.25" customHeight="1" x14ac:dyDescent="0.2">
      <c r="A428" s="1332" t="s">
        <v>1760</v>
      </c>
      <c r="B428" s="1333"/>
      <c r="C428" s="1333"/>
      <c r="D428" s="1333"/>
      <c r="E428" s="1333"/>
      <c r="F428" s="1333"/>
      <c r="G428" s="1333"/>
      <c r="H428" s="1333"/>
      <c r="I428" s="1333"/>
      <c r="J428" s="1333"/>
      <c r="K428" s="1333"/>
      <c r="L428" s="1333"/>
      <c r="M428" s="1333"/>
      <c r="N428" s="1333"/>
      <c r="O428" s="1333"/>
      <c r="P428" s="1333"/>
      <c r="Q428" s="1415"/>
    </row>
    <row r="429" spans="1:18" ht="26.25" customHeight="1" x14ac:dyDescent="0.2">
      <c r="A429" s="1416"/>
      <c r="B429" s="1383"/>
      <c r="C429" s="1383"/>
      <c r="D429" s="1383"/>
      <c r="E429" s="1383"/>
      <c r="F429" s="1383"/>
      <c r="G429" s="1383"/>
      <c r="H429" s="1383"/>
      <c r="I429" s="1383"/>
      <c r="J429" s="1383"/>
      <c r="K429" s="1383"/>
      <c r="L429" s="1383"/>
      <c r="M429" s="1383"/>
      <c r="N429" s="1383"/>
      <c r="O429" s="1383"/>
      <c r="P429" s="1383"/>
      <c r="Q429" s="1405"/>
    </row>
    <row r="430" spans="1:18" ht="26.25" customHeight="1" thickBot="1" x14ac:dyDescent="0.25">
      <c r="A430" s="1412"/>
      <c r="B430" s="1413"/>
      <c r="C430" s="1413"/>
      <c r="D430" s="1413"/>
      <c r="E430" s="1413"/>
      <c r="F430" s="1413"/>
      <c r="G430" s="1413"/>
      <c r="H430" s="1413"/>
      <c r="I430" s="1413"/>
      <c r="J430" s="1413"/>
      <c r="K430" s="1413"/>
      <c r="L430" s="1413"/>
      <c r="M430" s="1413"/>
      <c r="N430" s="1413"/>
      <c r="O430" s="1413"/>
      <c r="P430" s="1413"/>
      <c r="Q430" s="1414"/>
      <c r="R430" s="315"/>
    </row>
    <row r="431" spans="1:18" ht="26.25" customHeight="1" x14ac:dyDescent="0.2">
      <c r="A431" s="1396" t="s">
        <v>1761</v>
      </c>
      <c r="B431" s="1397"/>
      <c r="C431" s="1397"/>
      <c r="D431" s="1397"/>
      <c r="E431" s="1397"/>
      <c r="F431" s="1397"/>
      <c r="G431" s="1397"/>
      <c r="H431" s="1397"/>
      <c r="I431" s="1397"/>
      <c r="J431" s="1397"/>
      <c r="K431" s="1397"/>
      <c r="L431" s="1397"/>
      <c r="M431" s="1397"/>
      <c r="N431" s="1397"/>
      <c r="O431" s="1397"/>
      <c r="P431" s="1397"/>
      <c r="Q431" s="1398"/>
      <c r="R431" s="316"/>
    </row>
    <row r="432" spans="1:18" ht="26.25" customHeight="1" x14ac:dyDescent="0.2">
      <c r="A432" s="1351"/>
      <c r="B432" s="1340"/>
      <c r="C432" s="1340"/>
      <c r="D432" s="1340"/>
      <c r="E432" s="1340"/>
      <c r="F432" s="1340"/>
      <c r="G432" s="1340"/>
      <c r="H432" s="1340"/>
      <c r="I432" s="1340"/>
      <c r="J432" s="1340"/>
      <c r="K432" s="1340"/>
      <c r="L432" s="1340"/>
      <c r="M432" s="1340"/>
      <c r="N432" s="1340"/>
      <c r="O432" s="1340"/>
      <c r="P432" s="1340"/>
      <c r="Q432" s="1417"/>
      <c r="R432" s="22"/>
    </row>
    <row r="433" spans="1:18" ht="26.25" customHeight="1" thickBot="1" x14ac:dyDescent="0.25">
      <c r="A433" s="1393"/>
      <c r="B433" s="1394"/>
      <c r="C433" s="1394"/>
      <c r="D433" s="1394"/>
      <c r="E433" s="1394"/>
      <c r="F433" s="1394"/>
      <c r="G433" s="1394"/>
      <c r="H433" s="1394"/>
      <c r="I433" s="1394"/>
      <c r="J433" s="1394"/>
      <c r="K433" s="1394"/>
      <c r="L433" s="1394"/>
      <c r="M433" s="1394"/>
      <c r="N433" s="1394"/>
      <c r="O433" s="1394"/>
      <c r="P433" s="1394"/>
      <c r="Q433" s="1395"/>
      <c r="R433" s="22"/>
    </row>
    <row r="434" spans="1:18" ht="26.25" customHeight="1" x14ac:dyDescent="0.2">
      <c r="A434" s="1421"/>
      <c r="B434" s="1421"/>
      <c r="C434" s="1421"/>
      <c r="D434" s="1421"/>
      <c r="E434" s="1421"/>
      <c r="F434" s="1421"/>
      <c r="G434" s="1421"/>
      <c r="H434" s="1421"/>
      <c r="I434" s="1421"/>
      <c r="J434" s="1421"/>
      <c r="K434" s="1421"/>
      <c r="L434" s="1421"/>
      <c r="M434" s="1421"/>
      <c r="N434" s="1421"/>
      <c r="O434" s="1421"/>
      <c r="P434" s="1421"/>
      <c r="Q434" s="1421"/>
      <c r="R434" s="313"/>
    </row>
    <row r="435" spans="1:18" ht="26.25" customHeight="1" x14ac:dyDescent="0.2">
      <c r="A435" s="1421"/>
      <c r="B435" s="1421"/>
      <c r="C435" s="1421"/>
      <c r="D435" s="1421"/>
      <c r="E435" s="1421"/>
      <c r="F435" s="1421"/>
      <c r="G435" s="1421"/>
      <c r="H435" s="1421"/>
      <c r="I435" s="1421"/>
      <c r="J435" s="1421"/>
      <c r="K435" s="1421"/>
      <c r="L435" s="1421"/>
      <c r="M435" s="1421"/>
      <c r="N435" s="1421"/>
      <c r="O435" s="1421"/>
      <c r="P435" s="1421"/>
      <c r="Q435" s="1421"/>
      <c r="R435" s="313"/>
    </row>
    <row r="436" spans="1:18" ht="26.25" customHeight="1" x14ac:dyDescent="0.2">
      <c r="A436" s="1421"/>
      <c r="B436" s="1421"/>
      <c r="C436" s="1421"/>
      <c r="D436" s="1421"/>
      <c r="E436" s="1421"/>
      <c r="F436" s="1421"/>
      <c r="G436" s="1421"/>
      <c r="H436" s="1421"/>
      <c r="I436" s="1421"/>
      <c r="J436" s="1421"/>
      <c r="K436" s="1421"/>
      <c r="L436" s="1421"/>
      <c r="M436" s="1421"/>
      <c r="N436" s="1421"/>
      <c r="O436" s="1421"/>
      <c r="P436" s="1421"/>
      <c r="Q436" s="1421"/>
      <c r="R436" s="313"/>
    </row>
    <row r="437" spans="1:18" ht="26.25" customHeight="1" x14ac:dyDescent="0.2">
      <c r="A437" s="1421"/>
      <c r="B437" s="1421"/>
      <c r="C437" s="1421"/>
      <c r="D437" s="1421"/>
      <c r="E437" s="1421"/>
      <c r="F437" s="1421"/>
      <c r="G437" s="1421"/>
      <c r="H437" s="1421"/>
      <c r="I437" s="1421"/>
      <c r="J437" s="1421"/>
      <c r="K437" s="1421"/>
      <c r="L437" s="1421"/>
      <c r="M437" s="1421"/>
      <c r="N437" s="1421"/>
      <c r="O437" s="1421"/>
      <c r="P437" s="1421"/>
      <c r="Q437" s="1421"/>
      <c r="R437" s="313"/>
    </row>
    <row r="438" spans="1:18" ht="26.25" customHeight="1" x14ac:dyDescent="0.2">
      <c r="A438" s="1421"/>
      <c r="B438" s="1421"/>
      <c r="C438" s="1421"/>
      <c r="D438" s="1421"/>
      <c r="E438" s="1421"/>
      <c r="F438" s="1421"/>
      <c r="G438" s="1421"/>
      <c r="H438" s="1421"/>
      <c r="I438" s="1421"/>
      <c r="J438" s="1421"/>
      <c r="K438" s="1421"/>
      <c r="L438" s="1421"/>
      <c r="M438" s="1421"/>
      <c r="N438" s="1421"/>
      <c r="O438" s="1421"/>
      <c r="P438" s="1421"/>
      <c r="Q438" s="1421"/>
      <c r="R438" s="313"/>
    </row>
    <row r="439" spans="1:18" ht="26.25" customHeight="1" x14ac:dyDescent="0.2">
      <c r="A439" s="1421"/>
      <c r="B439" s="1421"/>
      <c r="C439" s="1421"/>
      <c r="D439" s="1421"/>
      <c r="E439" s="1421"/>
      <c r="F439" s="1421"/>
      <c r="G439" s="1421"/>
      <c r="H439" s="1421"/>
      <c r="I439" s="1421"/>
      <c r="J439" s="1421"/>
      <c r="K439" s="1421"/>
      <c r="L439" s="1421"/>
      <c r="M439" s="1421"/>
      <c r="N439" s="1421"/>
      <c r="O439" s="1421"/>
      <c r="P439" s="1421"/>
      <c r="Q439" s="1421"/>
      <c r="R439" s="313"/>
    </row>
    <row r="440" spans="1:18" ht="26.25" customHeight="1" x14ac:dyDescent="0.2">
      <c r="A440" s="1421"/>
      <c r="B440" s="1421"/>
      <c r="C440" s="1421"/>
      <c r="D440" s="1421"/>
      <c r="E440" s="1421"/>
      <c r="F440" s="1421"/>
      <c r="G440" s="1421"/>
      <c r="H440" s="1421"/>
      <c r="I440" s="1421"/>
      <c r="J440" s="1421"/>
      <c r="K440" s="1421"/>
      <c r="L440" s="1421"/>
      <c r="M440" s="1421"/>
      <c r="N440" s="1421"/>
      <c r="O440" s="1421"/>
      <c r="P440" s="1421"/>
      <c r="Q440" s="1421"/>
      <c r="R440" s="313"/>
    </row>
    <row r="441" spans="1:18" ht="26.25" customHeight="1" x14ac:dyDescent="0.2">
      <c r="A441" s="1421"/>
      <c r="B441" s="1421"/>
      <c r="C441" s="1421"/>
      <c r="D441" s="1421"/>
      <c r="E441" s="1421"/>
      <c r="F441" s="1421"/>
      <c r="G441" s="1421"/>
      <c r="H441" s="1421"/>
      <c r="I441" s="1421"/>
      <c r="J441" s="1421"/>
      <c r="K441" s="1421"/>
      <c r="L441" s="1421"/>
      <c r="M441" s="1421"/>
      <c r="N441" s="1421"/>
      <c r="O441" s="1421"/>
      <c r="P441" s="1421"/>
      <c r="Q441" s="1421"/>
      <c r="R441" s="313"/>
    </row>
    <row r="442" spans="1:18" ht="26.25" customHeight="1" x14ac:dyDescent="0.2">
      <c r="A442" s="1421"/>
      <c r="B442" s="1421"/>
      <c r="C442" s="1421"/>
      <c r="D442" s="1421"/>
      <c r="E442" s="1421"/>
      <c r="F442" s="1421"/>
      <c r="G442" s="1421"/>
      <c r="H442" s="1421"/>
      <c r="I442" s="1421"/>
      <c r="J442" s="1421"/>
      <c r="K442" s="1421"/>
      <c r="L442" s="1421"/>
      <c r="M442" s="1421"/>
      <c r="N442" s="1421"/>
      <c r="O442" s="1421"/>
      <c r="P442" s="1421"/>
      <c r="Q442" s="1421"/>
      <c r="R442" s="313"/>
    </row>
    <row r="443" spans="1:18" ht="26.25" customHeight="1" x14ac:dyDescent="0.2">
      <c r="A443" s="318"/>
      <c r="B443" s="318"/>
      <c r="C443" s="318"/>
      <c r="D443" s="318"/>
      <c r="E443" s="318"/>
      <c r="F443" s="318"/>
      <c r="G443" s="318"/>
      <c r="H443" s="318"/>
      <c r="I443" s="318"/>
      <c r="J443" s="318"/>
      <c r="K443" s="318"/>
      <c r="L443" s="318"/>
      <c r="M443" s="318"/>
      <c r="N443" s="318"/>
      <c r="O443" s="318"/>
      <c r="P443" s="318"/>
      <c r="Q443" s="318"/>
      <c r="R443" s="318"/>
    </row>
    <row r="444" spans="1:18" ht="26.25" customHeight="1" x14ac:dyDescent="0.2">
      <c r="A444" s="1423"/>
      <c r="B444" s="1423"/>
      <c r="C444" s="1423"/>
      <c r="D444" s="1423"/>
      <c r="E444" s="1423"/>
      <c r="F444" s="1423"/>
      <c r="G444" s="1423"/>
      <c r="H444" s="1423"/>
      <c r="I444" s="1423"/>
      <c r="J444" s="1423"/>
      <c r="K444" s="1423"/>
      <c r="L444" s="1423"/>
      <c r="M444" s="1423"/>
      <c r="N444" s="1423"/>
      <c r="O444" s="1423"/>
      <c r="P444" s="1423"/>
      <c r="Q444" s="1423"/>
      <c r="R444" s="312"/>
    </row>
    <row r="445" spans="1:18" ht="26.25" customHeight="1" x14ac:dyDescent="0.2">
      <c r="A445" s="1421"/>
      <c r="B445" s="1421"/>
      <c r="C445" s="1421"/>
      <c r="D445" s="1421"/>
      <c r="E445" s="1421"/>
      <c r="F445" s="1421"/>
      <c r="G445" s="1421"/>
      <c r="H445" s="1421"/>
      <c r="I445" s="1421"/>
      <c r="J445" s="1421"/>
      <c r="K445" s="1421"/>
      <c r="L445" s="1421"/>
      <c r="M445" s="1421"/>
      <c r="N445" s="1421"/>
      <c r="O445" s="1421"/>
      <c r="P445" s="1421"/>
      <c r="Q445" s="1421"/>
      <c r="R445" s="313"/>
    </row>
    <row r="446" spans="1:18" ht="26.25" customHeight="1" x14ac:dyDescent="0.2">
      <c r="A446" s="1421"/>
      <c r="B446" s="1421"/>
      <c r="C446" s="1421"/>
      <c r="D446" s="1421"/>
      <c r="E446" s="1421"/>
      <c r="F446" s="1421"/>
      <c r="G446" s="1421"/>
      <c r="H446" s="1421"/>
      <c r="I446" s="1421"/>
      <c r="J446" s="1421"/>
      <c r="K446" s="1421"/>
      <c r="L446" s="1421"/>
      <c r="M446" s="1421"/>
      <c r="N446" s="1421"/>
      <c r="O446" s="1421"/>
      <c r="P446" s="1421"/>
      <c r="Q446" s="1421"/>
      <c r="R446" s="313"/>
    </row>
    <row r="447" spans="1:18" ht="26.25" customHeight="1" x14ac:dyDescent="0.2">
      <c r="A447" s="1421"/>
      <c r="B447" s="1421"/>
      <c r="C447" s="1421"/>
      <c r="D447" s="1421"/>
      <c r="E447" s="1421"/>
      <c r="F447" s="1421"/>
      <c r="G447" s="1421"/>
      <c r="H447" s="1421"/>
      <c r="I447" s="1421"/>
      <c r="J447" s="1421"/>
      <c r="K447" s="1421"/>
      <c r="L447" s="1421"/>
      <c r="M447" s="1421"/>
      <c r="N447" s="1421"/>
      <c r="O447" s="1421"/>
      <c r="P447" s="1421"/>
      <c r="Q447" s="1421"/>
      <c r="R447" s="313"/>
    </row>
    <row r="448" spans="1:18" ht="26.25" customHeight="1" x14ac:dyDescent="0.2">
      <c r="A448" s="1421"/>
      <c r="B448" s="1421"/>
      <c r="C448" s="1421"/>
      <c r="D448" s="1421"/>
      <c r="E448" s="1421"/>
      <c r="F448" s="1421"/>
      <c r="G448" s="1421"/>
      <c r="H448" s="1421"/>
      <c r="I448" s="1421"/>
      <c r="J448" s="1421"/>
      <c r="K448" s="1421"/>
      <c r="L448" s="1421"/>
      <c r="M448" s="1421"/>
      <c r="N448" s="1421"/>
      <c r="O448" s="1421"/>
      <c r="P448" s="1421"/>
      <c r="Q448" s="1421"/>
      <c r="R448" s="313"/>
    </row>
    <row r="449" spans="1:18" ht="26.25" customHeight="1" x14ac:dyDescent="0.2">
      <c r="A449" s="1421"/>
      <c r="B449" s="1421"/>
      <c r="C449" s="1421"/>
      <c r="D449" s="1421"/>
      <c r="E449" s="1421"/>
      <c r="F449" s="1421"/>
      <c r="G449" s="1421"/>
      <c r="H449" s="1421"/>
      <c r="I449" s="1421"/>
      <c r="J449" s="1421"/>
      <c r="K449" s="1421"/>
      <c r="L449" s="1421"/>
      <c r="M449" s="1421"/>
      <c r="N449" s="1421"/>
      <c r="O449" s="1421"/>
      <c r="P449" s="1421"/>
      <c r="Q449" s="1421"/>
      <c r="R449" s="313"/>
    </row>
    <row r="450" spans="1:18" ht="26.25" customHeight="1" x14ac:dyDescent="0.2">
      <c r="A450" s="1421"/>
      <c r="B450" s="1421"/>
      <c r="C450" s="1421"/>
      <c r="D450" s="1421"/>
      <c r="E450" s="1421"/>
      <c r="F450" s="1421"/>
      <c r="G450" s="1421"/>
      <c r="H450" s="1421"/>
      <c r="I450" s="1421"/>
      <c r="J450" s="1421"/>
      <c r="K450" s="1421"/>
      <c r="L450" s="1421"/>
      <c r="M450" s="1421"/>
      <c r="N450" s="1421"/>
      <c r="O450" s="1421"/>
      <c r="P450" s="1421"/>
      <c r="Q450" s="1421"/>
      <c r="R450" s="313"/>
    </row>
    <row r="451" spans="1:18" ht="26.25" customHeight="1" x14ac:dyDescent="0.2">
      <c r="A451" s="1421"/>
      <c r="B451" s="1421"/>
      <c r="C451" s="1421"/>
      <c r="D451" s="1421"/>
      <c r="E451" s="1421"/>
      <c r="F451" s="1421"/>
      <c r="G451" s="1421"/>
      <c r="H451" s="1421"/>
      <c r="I451" s="1421"/>
      <c r="J451" s="1421"/>
      <c r="K451" s="1421"/>
      <c r="L451" s="1421"/>
      <c r="M451" s="1421"/>
      <c r="N451" s="1421"/>
      <c r="O451" s="1421"/>
      <c r="P451" s="1421"/>
      <c r="Q451" s="1421"/>
      <c r="R451" s="313"/>
    </row>
    <row r="452" spans="1:18" ht="26.25" customHeight="1" x14ac:dyDescent="0.2">
      <c r="A452" s="1421"/>
      <c r="B452" s="1421"/>
      <c r="C452" s="1421"/>
      <c r="D452" s="1421"/>
      <c r="E452" s="1421"/>
      <c r="F452" s="1421"/>
      <c r="G452" s="1421"/>
      <c r="H452" s="1421"/>
      <c r="I452" s="1421"/>
      <c r="J452" s="1421"/>
      <c r="K452" s="1421"/>
      <c r="L452" s="1421"/>
      <c r="M452" s="1421"/>
      <c r="N452" s="1421"/>
      <c r="O452" s="1421"/>
      <c r="P452" s="1421"/>
      <c r="Q452" s="1421"/>
      <c r="R452" s="313"/>
    </row>
    <row r="453" spans="1:18" ht="26.25" customHeight="1" x14ac:dyDescent="0.2">
      <c r="A453" s="1421"/>
      <c r="B453" s="1421"/>
      <c r="C453" s="1421"/>
      <c r="D453" s="1421"/>
      <c r="E453" s="1421"/>
      <c r="F453" s="1421"/>
      <c r="G453" s="1421"/>
      <c r="H453" s="1421"/>
      <c r="I453" s="1421"/>
      <c r="J453" s="1421"/>
      <c r="K453" s="1421"/>
      <c r="L453" s="1421"/>
      <c r="M453" s="1421"/>
      <c r="N453" s="1421"/>
      <c r="O453" s="1421"/>
      <c r="P453" s="1421"/>
      <c r="Q453" s="1421"/>
      <c r="R453" s="313"/>
    </row>
    <row r="454" spans="1:18" ht="26.25" customHeight="1" x14ac:dyDescent="0.2">
      <c r="A454" s="317"/>
      <c r="B454" s="313"/>
      <c r="C454" s="313"/>
      <c r="D454" s="313"/>
      <c r="E454" s="313"/>
      <c r="F454" s="313"/>
      <c r="G454" s="313"/>
      <c r="H454" s="313"/>
      <c r="I454" s="313"/>
      <c r="J454" s="313"/>
      <c r="K454" s="313"/>
      <c r="L454" s="313"/>
      <c r="M454" s="313"/>
      <c r="N454" s="313"/>
      <c r="O454" s="313"/>
      <c r="P454" s="1418"/>
      <c r="Q454" s="1418"/>
      <c r="R454" s="319"/>
    </row>
    <row r="455" spans="1:18" ht="51.75" customHeight="1" x14ac:dyDescent="0.2">
      <c r="A455" s="1423"/>
      <c r="B455" s="1423"/>
      <c r="C455" s="1423"/>
      <c r="D455" s="1423"/>
      <c r="E455" s="1423"/>
      <c r="F455" s="1423"/>
      <c r="G455" s="1423"/>
      <c r="H455" s="1423"/>
      <c r="I455" s="1423"/>
      <c r="J455" s="1423"/>
      <c r="K455" s="1423"/>
      <c r="L455" s="1423"/>
      <c r="M455" s="1423"/>
      <c r="N455" s="1423"/>
      <c r="O455" s="1423"/>
      <c r="P455" s="1423"/>
      <c r="Q455" s="1423"/>
      <c r="R455" s="312"/>
    </row>
    <row r="456" spans="1:18" ht="26.25" customHeight="1" x14ac:dyDescent="0.2">
      <c r="A456" s="1421"/>
      <c r="B456" s="1421"/>
      <c r="C456" s="1421"/>
      <c r="D456" s="1421"/>
      <c r="E456" s="1421"/>
      <c r="F456" s="1421"/>
      <c r="G456" s="1421"/>
      <c r="H456" s="1421"/>
      <c r="I456" s="1421"/>
      <c r="J456" s="1421"/>
      <c r="K456" s="1421"/>
      <c r="L456" s="1421"/>
      <c r="M456" s="1421"/>
      <c r="N456" s="1421"/>
      <c r="O456" s="1421"/>
      <c r="P456" s="1421"/>
      <c r="Q456" s="1421"/>
      <c r="R456" s="313"/>
    </row>
    <row r="457" spans="1:18" ht="26.25" customHeight="1" x14ac:dyDescent="0.2">
      <c r="A457" s="1421"/>
      <c r="B457" s="1421"/>
      <c r="C457" s="1421"/>
      <c r="D457" s="1421"/>
      <c r="E457" s="1421"/>
      <c r="F457" s="1421"/>
      <c r="G457" s="1421"/>
      <c r="H457" s="1421"/>
      <c r="I457" s="1421"/>
      <c r="J457" s="1421"/>
      <c r="K457" s="1421"/>
      <c r="L457" s="1421"/>
      <c r="M457" s="1421"/>
      <c r="N457" s="1421"/>
      <c r="O457" s="1421"/>
      <c r="P457" s="1421"/>
      <c r="Q457" s="1421"/>
      <c r="R457" s="313"/>
    </row>
    <row r="458" spans="1:18" ht="26.25" customHeight="1" x14ac:dyDescent="0.2">
      <c r="A458" s="1421"/>
      <c r="B458" s="1421"/>
      <c r="C458" s="1421"/>
      <c r="D458" s="1421"/>
      <c r="E458" s="1421"/>
      <c r="F458" s="1421"/>
      <c r="G458" s="1421"/>
      <c r="H458" s="1421"/>
      <c r="I458" s="1421"/>
      <c r="J458" s="1421"/>
      <c r="K458" s="1421"/>
      <c r="L458" s="1421"/>
      <c r="M458" s="1421"/>
      <c r="N458" s="1421"/>
      <c r="O458" s="1421"/>
      <c r="P458" s="1421"/>
      <c r="Q458" s="1421"/>
      <c r="R458" s="313"/>
    </row>
    <row r="459" spans="1:18" ht="26.25" customHeight="1" x14ac:dyDescent="0.2">
      <c r="A459" s="1421"/>
      <c r="B459" s="1421"/>
      <c r="C459" s="1421"/>
      <c r="D459" s="1421"/>
      <c r="E459" s="1421"/>
      <c r="F459" s="1421"/>
      <c r="G459" s="1421"/>
      <c r="H459" s="1421"/>
      <c r="I459" s="1421"/>
      <c r="J459" s="1421"/>
      <c r="K459" s="1421"/>
      <c r="L459" s="1421"/>
      <c r="M459" s="1421"/>
      <c r="N459" s="1421"/>
      <c r="O459" s="1421"/>
      <c r="P459" s="1421"/>
      <c r="Q459" s="1421"/>
      <c r="R459" s="313"/>
    </row>
    <row r="460" spans="1:18" ht="26.25" customHeight="1" x14ac:dyDescent="0.2">
      <c r="A460" s="1421"/>
      <c r="B460" s="1421"/>
      <c r="C460" s="1421"/>
      <c r="D460" s="1421"/>
      <c r="E460" s="1421"/>
      <c r="F460" s="1421"/>
      <c r="G460" s="1421"/>
      <c r="H460" s="1421"/>
      <c r="I460" s="1421"/>
      <c r="J460" s="1421"/>
      <c r="K460" s="1421"/>
      <c r="L460" s="1421"/>
      <c r="M460" s="1421"/>
      <c r="N460" s="1421"/>
      <c r="O460" s="1421"/>
      <c r="P460" s="1421"/>
      <c r="Q460" s="1421"/>
      <c r="R460" s="313"/>
    </row>
    <row r="461" spans="1:18" ht="26.25" customHeight="1" x14ac:dyDescent="0.2">
      <c r="A461" s="1421"/>
      <c r="B461" s="1421"/>
      <c r="C461" s="1421"/>
      <c r="D461" s="1421"/>
      <c r="E461" s="1421"/>
      <c r="F461" s="1421"/>
      <c r="G461" s="1421"/>
      <c r="H461" s="1421"/>
      <c r="I461" s="1421"/>
      <c r="J461" s="1421"/>
      <c r="K461" s="1421"/>
      <c r="L461" s="1421"/>
      <c r="M461" s="1421"/>
      <c r="N461" s="1421"/>
      <c r="O461" s="1421"/>
      <c r="P461" s="1421"/>
      <c r="Q461" s="1421"/>
      <c r="R461" s="313"/>
    </row>
    <row r="462" spans="1:18" ht="26.25" customHeight="1" x14ac:dyDescent="0.2">
      <c r="A462" s="1421"/>
      <c r="B462" s="1421"/>
      <c r="C462" s="1421"/>
      <c r="D462" s="1421"/>
      <c r="E462" s="1421"/>
      <c r="F462" s="1421"/>
      <c r="G462" s="1421"/>
      <c r="H462" s="1421"/>
      <c r="I462" s="1421"/>
      <c r="J462" s="1421"/>
      <c r="K462" s="1421"/>
      <c r="L462" s="1421"/>
      <c r="M462" s="1421"/>
      <c r="N462" s="1421"/>
      <c r="O462" s="1421"/>
      <c r="P462" s="1421"/>
      <c r="Q462" s="1421"/>
      <c r="R462" s="313"/>
    </row>
    <row r="463" spans="1:18" ht="26.25" customHeight="1" x14ac:dyDescent="0.2">
      <c r="A463" s="1421"/>
      <c r="B463" s="1421"/>
      <c r="C463" s="1421"/>
      <c r="D463" s="1421"/>
      <c r="E463" s="1421"/>
      <c r="F463" s="1421"/>
      <c r="G463" s="1421"/>
      <c r="H463" s="1421"/>
      <c r="I463" s="1421"/>
      <c r="J463" s="1421"/>
      <c r="K463" s="1421"/>
      <c r="L463" s="1421"/>
      <c r="M463" s="1421"/>
      <c r="N463" s="1421"/>
      <c r="O463" s="1421"/>
      <c r="P463" s="1421"/>
      <c r="Q463" s="1421"/>
      <c r="R463" s="313"/>
    </row>
    <row r="464" spans="1:18" ht="26.25" customHeight="1" x14ac:dyDescent="0.2">
      <c r="A464" s="1421"/>
      <c r="B464" s="1421"/>
      <c r="C464" s="1421"/>
      <c r="D464" s="1421"/>
      <c r="E464" s="1421"/>
      <c r="F464" s="1421"/>
      <c r="G464" s="1421"/>
      <c r="H464" s="1421"/>
      <c r="I464" s="1421"/>
      <c r="J464" s="1421"/>
      <c r="K464" s="1421"/>
      <c r="L464" s="1421"/>
      <c r="M464" s="1421"/>
      <c r="N464" s="1421"/>
      <c r="O464" s="1421"/>
      <c r="P464" s="1421"/>
      <c r="Q464" s="1421"/>
      <c r="R464" s="313"/>
    </row>
    <row r="465" spans="1:18" ht="26.25" customHeight="1" x14ac:dyDescent="0.2">
      <c r="A465" s="318"/>
      <c r="B465" s="318"/>
      <c r="C465" s="318"/>
      <c r="D465" s="318"/>
      <c r="E465" s="318"/>
      <c r="F465" s="318"/>
      <c r="G465" s="318"/>
      <c r="H465" s="318"/>
      <c r="I465" s="318"/>
      <c r="J465" s="318"/>
      <c r="K465" s="318"/>
      <c r="L465" s="318"/>
      <c r="M465" s="318"/>
      <c r="N465" s="318"/>
      <c r="O465" s="318"/>
      <c r="P465" s="318"/>
      <c r="Q465" s="318"/>
      <c r="R465" s="318"/>
    </row>
    <row r="466" spans="1:18" ht="26.25" customHeight="1" x14ac:dyDescent="0.2">
      <c r="A466" s="1424"/>
      <c r="B466" s="1424"/>
      <c r="C466" s="1424"/>
      <c r="D466" s="1424"/>
      <c r="E466" s="1424"/>
      <c r="F466" s="1424"/>
      <c r="G466" s="1424"/>
      <c r="H466" s="1424"/>
      <c r="I466" s="1424"/>
      <c r="J466" s="1424"/>
      <c r="K466" s="1424"/>
      <c r="L466" s="1424"/>
      <c r="M466" s="1424"/>
      <c r="N466" s="1424"/>
      <c r="O466" s="1424"/>
      <c r="P466" s="1424"/>
      <c r="Q466" s="1424"/>
      <c r="R466" s="314"/>
    </row>
    <row r="467" spans="1:18" ht="26.25" customHeight="1" x14ac:dyDescent="0.2">
      <c r="A467" s="1421"/>
      <c r="B467" s="1421"/>
      <c r="C467" s="1421"/>
      <c r="D467" s="1421"/>
      <c r="E467" s="1421"/>
      <c r="F467" s="1421"/>
      <c r="G467" s="1421"/>
      <c r="H467" s="1421"/>
      <c r="I467" s="1421"/>
      <c r="J467" s="1421"/>
      <c r="K467" s="1421"/>
      <c r="L467" s="1421"/>
      <c r="M467" s="1421"/>
      <c r="N467" s="1421"/>
      <c r="O467" s="1421"/>
      <c r="P467" s="1421"/>
      <c r="Q467" s="1421"/>
      <c r="R467" s="313"/>
    </row>
    <row r="468" spans="1:18" ht="26.25" customHeight="1" x14ac:dyDescent="0.2">
      <c r="A468" s="1421"/>
      <c r="B468" s="1421"/>
      <c r="C468" s="1421"/>
      <c r="D468" s="1421"/>
      <c r="E468" s="1421"/>
      <c r="F468" s="1421"/>
      <c r="G468" s="1421"/>
      <c r="H468" s="1421"/>
      <c r="I468" s="1421"/>
      <c r="J468" s="1421"/>
      <c r="K468" s="1421"/>
      <c r="L468" s="1421"/>
      <c r="M468" s="1421"/>
      <c r="N468" s="1421"/>
      <c r="O468" s="1421"/>
      <c r="P468" s="1421"/>
      <c r="Q468" s="1421"/>
      <c r="R468" s="313"/>
    </row>
    <row r="469" spans="1:18" ht="26.25" customHeight="1" x14ac:dyDescent="0.2">
      <c r="A469" s="1421"/>
      <c r="B469" s="1421"/>
      <c r="C469" s="1421"/>
      <c r="D469" s="1421"/>
      <c r="E469" s="1421"/>
      <c r="F469" s="1421"/>
      <c r="G469" s="1421"/>
      <c r="H469" s="1421"/>
      <c r="I469" s="1421"/>
      <c r="J469" s="1421"/>
      <c r="K469" s="1421"/>
      <c r="L469" s="1421"/>
      <c r="M469" s="1421"/>
      <c r="N469" s="1421"/>
      <c r="O469" s="1421"/>
      <c r="P469" s="1421"/>
      <c r="Q469" s="1421"/>
      <c r="R469" s="313"/>
    </row>
    <row r="470" spans="1:18" ht="26.25" customHeight="1" x14ac:dyDescent="0.2">
      <c r="A470" s="1421"/>
      <c r="B470" s="1421"/>
      <c r="C470" s="1421"/>
      <c r="D470" s="1421"/>
      <c r="E470" s="1421"/>
      <c r="F470" s="1421"/>
      <c r="G470" s="1421"/>
      <c r="H470" s="1421"/>
      <c r="I470" s="1421"/>
      <c r="J470" s="1421"/>
      <c r="K470" s="1421"/>
      <c r="L470" s="1421"/>
      <c r="M470" s="1421"/>
      <c r="N470" s="1421"/>
      <c r="O470" s="1421"/>
      <c r="P470" s="1421"/>
      <c r="Q470" s="1421"/>
      <c r="R470" s="313"/>
    </row>
    <row r="471" spans="1:18" ht="26.25" customHeight="1" x14ac:dyDescent="0.2">
      <c r="A471" s="1421"/>
      <c r="B471" s="1421"/>
      <c r="C471" s="1421"/>
      <c r="D471" s="1421"/>
      <c r="E471" s="1421"/>
      <c r="F471" s="1421"/>
      <c r="G471" s="1421"/>
      <c r="H471" s="1421"/>
      <c r="I471" s="1421"/>
      <c r="J471" s="1421"/>
      <c r="K471" s="1421"/>
      <c r="L471" s="1421"/>
      <c r="M471" s="1421"/>
      <c r="N471" s="1421"/>
      <c r="O471" s="1421"/>
      <c r="P471" s="1421"/>
      <c r="Q471" s="1421"/>
      <c r="R471" s="313"/>
    </row>
    <row r="472" spans="1:18" ht="26.25" customHeight="1" x14ac:dyDescent="0.2">
      <c r="A472" s="1421"/>
      <c r="B472" s="1421"/>
      <c r="C472" s="1421"/>
      <c r="D472" s="1421"/>
      <c r="E472" s="1421"/>
      <c r="F472" s="1421"/>
      <c r="G472" s="1421"/>
      <c r="H472" s="1421"/>
      <c r="I472" s="1421"/>
      <c r="J472" s="1421"/>
      <c r="K472" s="1421"/>
      <c r="L472" s="1421"/>
      <c r="M472" s="1421"/>
      <c r="N472" s="1421"/>
      <c r="O472" s="1421"/>
      <c r="P472" s="1421"/>
      <c r="Q472" s="1421"/>
      <c r="R472" s="313"/>
    </row>
    <row r="473" spans="1:18" ht="26.25" customHeight="1" x14ac:dyDescent="0.2">
      <c r="A473" s="1421"/>
      <c r="B473" s="1421"/>
      <c r="C473" s="1421"/>
      <c r="D473" s="1421"/>
      <c r="E473" s="1421"/>
      <c r="F473" s="1421"/>
      <c r="G473" s="1421"/>
      <c r="H473" s="1421"/>
      <c r="I473" s="1421"/>
      <c r="J473" s="1421"/>
      <c r="K473" s="1421"/>
      <c r="L473" s="1421"/>
      <c r="M473" s="1421"/>
      <c r="N473" s="1421"/>
      <c r="O473" s="1421"/>
      <c r="P473" s="1421"/>
      <c r="Q473" s="1421"/>
      <c r="R473" s="313"/>
    </row>
    <row r="474" spans="1:18" ht="26.25" customHeight="1" x14ac:dyDescent="0.2">
      <c r="A474" s="1421"/>
      <c r="B474" s="1421"/>
      <c r="C474" s="1421"/>
      <c r="D474" s="1421"/>
      <c r="E474" s="1421"/>
      <c r="F474" s="1421"/>
      <c r="G474" s="1421"/>
      <c r="H474" s="1421"/>
      <c r="I474" s="1421"/>
      <c r="J474" s="1421"/>
      <c r="K474" s="1421"/>
      <c r="L474" s="1421"/>
      <c r="M474" s="1421"/>
      <c r="N474" s="1421"/>
      <c r="O474" s="1421"/>
      <c r="P474" s="1421"/>
      <c r="Q474" s="1421"/>
      <c r="R474" s="313"/>
    </row>
    <row r="475" spans="1:18" ht="26.25" customHeight="1" x14ac:dyDescent="0.2">
      <c r="A475" s="1421"/>
      <c r="B475" s="1421"/>
      <c r="C475" s="1421"/>
      <c r="D475" s="1421"/>
      <c r="E475" s="1421"/>
      <c r="F475" s="1421"/>
      <c r="G475" s="1421"/>
      <c r="H475" s="1421"/>
      <c r="I475" s="1421"/>
      <c r="J475" s="1421"/>
      <c r="K475" s="1421"/>
      <c r="L475" s="1421"/>
      <c r="M475" s="1421"/>
      <c r="N475" s="1421"/>
      <c r="O475" s="1421"/>
      <c r="P475" s="1421"/>
      <c r="Q475" s="1421"/>
      <c r="R475" s="313"/>
    </row>
    <row r="476" spans="1:18" ht="26.25" customHeight="1" x14ac:dyDescent="0.2">
      <c r="A476" s="318"/>
      <c r="B476" s="318"/>
      <c r="C476" s="318"/>
      <c r="D476" s="318"/>
      <c r="E476" s="318"/>
      <c r="F476" s="318"/>
      <c r="G476" s="318"/>
      <c r="H476" s="318"/>
      <c r="I476" s="318"/>
      <c r="J476" s="318"/>
      <c r="K476" s="318"/>
      <c r="L476" s="318"/>
      <c r="M476" s="318"/>
      <c r="N476" s="318"/>
      <c r="O476" s="318"/>
      <c r="P476" s="318"/>
      <c r="Q476" s="318"/>
      <c r="R476" s="318"/>
    </row>
    <row r="477" spans="1:18" ht="26.25" customHeight="1" x14ac:dyDescent="0.2">
      <c r="A477" s="1423"/>
      <c r="B477" s="1423"/>
      <c r="C477" s="1423"/>
      <c r="D477" s="1423"/>
      <c r="E477" s="1423"/>
      <c r="F477" s="1423"/>
      <c r="G477" s="1423"/>
      <c r="H477" s="1423"/>
      <c r="I477" s="1423"/>
      <c r="J477" s="1423"/>
      <c r="K477" s="1423"/>
      <c r="L477" s="1423"/>
      <c r="M477" s="1423"/>
      <c r="N477" s="1423"/>
      <c r="O477" s="1423"/>
      <c r="P477" s="1423"/>
      <c r="Q477" s="1423"/>
      <c r="R477" s="312"/>
    </row>
    <row r="478" spans="1:18" ht="26.25" customHeight="1" x14ac:dyDescent="0.2">
      <c r="A478" s="1421"/>
      <c r="B478" s="1421"/>
      <c r="C478" s="1421"/>
      <c r="D478" s="1421"/>
      <c r="E478" s="1421"/>
      <c r="F478" s="1421"/>
      <c r="G478" s="1421"/>
      <c r="H478" s="1421"/>
      <c r="I478" s="1421"/>
      <c r="J478" s="1421"/>
      <c r="K478" s="1421"/>
      <c r="L478" s="1421"/>
      <c r="M478" s="1421"/>
      <c r="N478" s="1421"/>
      <c r="O478" s="1421"/>
      <c r="P478" s="1421"/>
      <c r="Q478" s="1421"/>
      <c r="R478" s="313"/>
    </row>
    <row r="479" spans="1:18" ht="26.25" customHeight="1" x14ac:dyDescent="0.2">
      <c r="A479" s="1421"/>
      <c r="B479" s="1421"/>
      <c r="C479" s="1421"/>
      <c r="D479" s="1421"/>
      <c r="E479" s="1421"/>
      <c r="F479" s="1421"/>
      <c r="G479" s="1421"/>
      <c r="H479" s="1421"/>
      <c r="I479" s="1421"/>
      <c r="J479" s="1421"/>
      <c r="K479" s="1421"/>
      <c r="L479" s="1421"/>
      <c r="M479" s="1421"/>
      <c r="N479" s="1421"/>
      <c r="O479" s="1421"/>
      <c r="P479" s="1421"/>
      <c r="Q479" s="1421"/>
      <c r="R479" s="313"/>
    </row>
    <row r="480" spans="1:18" ht="26.25" customHeight="1" x14ac:dyDescent="0.2">
      <c r="A480" s="1421"/>
      <c r="B480" s="1421"/>
      <c r="C480" s="1421"/>
      <c r="D480" s="1421"/>
      <c r="E480" s="1421"/>
      <c r="F480" s="1421"/>
      <c r="G480" s="1421"/>
      <c r="H480" s="1421"/>
      <c r="I480" s="1421"/>
      <c r="J480" s="1421"/>
      <c r="K480" s="1421"/>
      <c r="L480" s="1421"/>
      <c r="M480" s="1421"/>
      <c r="N480" s="1421"/>
      <c r="O480" s="1421"/>
      <c r="P480" s="1421"/>
      <c r="Q480" s="1421"/>
      <c r="R480" s="313"/>
    </row>
    <row r="481" spans="1:18" ht="26.25" customHeight="1" x14ac:dyDescent="0.2">
      <c r="A481" s="1421"/>
      <c r="B481" s="1421"/>
      <c r="C481" s="1421"/>
      <c r="D481" s="1421"/>
      <c r="E481" s="1421"/>
      <c r="F481" s="1421"/>
      <c r="G481" s="1421"/>
      <c r="H481" s="1421"/>
      <c r="I481" s="1421"/>
      <c r="J481" s="1421"/>
      <c r="K481" s="1421"/>
      <c r="L481" s="1421"/>
      <c r="M481" s="1421"/>
      <c r="N481" s="1421"/>
      <c r="O481" s="1421"/>
      <c r="P481" s="1421"/>
      <c r="Q481" s="1421"/>
      <c r="R481" s="313"/>
    </row>
    <row r="482" spans="1:18" ht="26.25" customHeight="1" x14ac:dyDescent="0.2">
      <c r="A482" s="1421"/>
      <c r="B482" s="1421"/>
      <c r="C482" s="1421"/>
      <c r="D482" s="1421"/>
      <c r="E482" s="1421"/>
      <c r="F482" s="1421"/>
      <c r="G482" s="1421"/>
      <c r="H482" s="1421"/>
      <c r="I482" s="1421"/>
      <c r="J482" s="1421"/>
      <c r="K482" s="1421"/>
      <c r="L482" s="1421"/>
      <c r="M482" s="1421"/>
      <c r="N482" s="1421"/>
      <c r="O482" s="1421"/>
      <c r="P482" s="1421"/>
      <c r="Q482" s="1421"/>
      <c r="R482" s="313"/>
    </row>
    <row r="483" spans="1:18" ht="26.25" customHeight="1" x14ac:dyDescent="0.2">
      <c r="A483" s="1421"/>
      <c r="B483" s="1421"/>
      <c r="C483" s="1421"/>
      <c r="D483" s="1421"/>
      <c r="E483" s="1421"/>
      <c r="F483" s="1421"/>
      <c r="G483" s="1421"/>
      <c r="H483" s="1421"/>
      <c r="I483" s="1421"/>
      <c r="J483" s="1421"/>
      <c r="K483" s="1421"/>
      <c r="L483" s="1421"/>
      <c r="M483" s="1421"/>
      <c r="N483" s="1421"/>
      <c r="O483" s="1421"/>
      <c r="P483" s="1421"/>
      <c r="Q483" s="1421"/>
      <c r="R483" s="313"/>
    </row>
    <row r="484" spans="1:18" ht="26.25" customHeight="1" x14ac:dyDescent="0.2">
      <c r="A484" s="1421"/>
      <c r="B484" s="1421"/>
      <c r="C484" s="1421"/>
      <c r="D484" s="1421"/>
      <c r="E484" s="1421"/>
      <c r="F484" s="1421"/>
      <c r="G484" s="1421"/>
      <c r="H484" s="1421"/>
      <c r="I484" s="1421"/>
      <c r="J484" s="1421"/>
      <c r="K484" s="1421"/>
      <c r="L484" s="1421"/>
      <c r="M484" s="1421"/>
      <c r="N484" s="1421"/>
      <c r="O484" s="1421"/>
      <c r="P484" s="1421"/>
      <c r="Q484" s="1421"/>
      <c r="R484" s="313"/>
    </row>
    <row r="485" spans="1:18" ht="26.25" customHeight="1" x14ac:dyDescent="0.2">
      <c r="A485" s="1421"/>
      <c r="B485" s="1421"/>
      <c r="C485" s="1421"/>
      <c r="D485" s="1421"/>
      <c r="E485" s="1421"/>
      <c r="F485" s="1421"/>
      <c r="G485" s="1421"/>
      <c r="H485" s="1421"/>
      <c r="I485" s="1421"/>
      <c r="J485" s="1421"/>
      <c r="K485" s="1421"/>
      <c r="L485" s="1421"/>
      <c r="M485" s="1421"/>
      <c r="N485" s="1421"/>
      <c r="O485" s="1421"/>
      <c r="P485" s="1421"/>
      <c r="Q485" s="1421"/>
      <c r="R485" s="313"/>
    </row>
    <row r="486" spans="1:18" ht="26.25" customHeight="1" x14ac:dyDescent="0.2">
      <c r="A486" s="1421"/>
      <c r="B486" s="1421"/>
      <c r="C486" s="1421"/>
      <c r="D486" s="1421"/>
      <c r="E486" s="1421"/>
      <c r="F486" s="1421"/>
      <c r="G486" s="1421"/>
      <c r="H486" s="1421"/>
      <c r="I486" s="1421"/>
      <c r="J486" s="1421"/>
      <c r="K486" s="1421"/>
      <c r="L486" s="1421"/>
      <c r="M486" s="1421"/>
      <c r="N486" s="1421"/>
      <c r="O486" s="1421"/>
      <c r="P486" s="1421"/>
      <c r="Q486" s="1421"/>
      <c r="R486" s="313"/>
    </row>
    <row r="487" spans="1:18" ht="26.25" customHeight="1" x14ac:dyDescent="0.2">
      <c r="A487" s="317"/>
      <c r="B487" s="318"/>
      <c r="C487" s="318"/>
      <c r="D487" s="318"/>
      <c r="E487" s="318"/>
      <c r="F487" s="318"/>
      <c r="G487" s="318"/>
      <c r="H487" s="318"/>
      <c r="I487" s="318"/>
      <c r="J487" s="318"/>
      <c r="K487" s="318"/>
      <c r="L487" s="318"/>
      <c r="M487" s="318"/>
      <c r="N487" s="318"/>
      <c r="O487" s="318"/>
      <c r="P487" s="1418"/>
      <c r="Q487" s="1418"/>
      <c r="R487" s="319"/>
    </row>
    <row r="488" spans="1:18" ht="26.25" customHeight="1" x14ac:dyDescent="0.2">
      <c r="A488" s="1425"/>
      <c r="B488" s="1425"/>
      <c r="C488" s="1425"/>
      <c r="D488" s="1425"/>
      <c r="E488" s="1425"/>
      <c r="F488" s="1425"/>
      <c r="G488" s="1425"/>
      <c r="H488" s="1425"/>
      <c r="I488" s="1425"/>
      <c r="J488" s="1425"/>
      <c r="K488" s="1425"/>
      <c r="L488" s="1425"/>
      <c r="M488" s="1425"/>
      <c r="N488" s="1426"/>
      <c r="O488" s="1426"/>
      <c r="P488" s="1426"/>
      <c r="Q488" s="1426"/>
      <c r="R488" s="320"/>
    </row>
    <row r="489" spans="1:18" ht="26.25" customHeight="1" x14ac:dyDescent="0.2">
      <c r="A489" s="1427"/>
      <c r="B489" s="1427"/>
      <c r="C489" s="1427"/>
      <c r="D489" s="1427"/>
      <c r="E489" s="1427"/>
      <c r="F489" s="1427"/>
      <c r="G489" s="1427"/>
      <c r="H489" s="1427"/>
      <c r="I489" s="1427"/>
      <c r="J489" s="318"/>
      <c r="K489" s="318"/>
      <c r="L489" s="318"/>
      <c r="M489" s="318"/>
      <c r="N489" s="318"/>
      <c r="O489" s="318"/>
      <c r="P489" s="318"/>
      <c r="Q489" s="318"/>
      <c r="R489" s="318"/>
    </row>
    <row r="490" spans="1:18" ht="26.25" customHeight="1" x14ac:dyDescent="0.2">
      <c r="A490" s="1423"/>
      <c r="B490" s="1428"/>
      <c r="C490" s="1428"/>
      <c r="D490" s="1429"/>
      <c r="E490" s="1429"/>
      <c r="F490" s="1429"/>
      <c r="G490" s="1429"/>
      <c r="H490" s="1429"/>
      <c r="I490" s="1429"/>
      <c r="J490" s="318"/>
      <c r="K490" s="318"/>
      <c r="L490" s="318"/>
      <c r="M490" s="318"/>
      <c r="N490" s="318"/>
      <c r="O490" s="318"/>
      <c r="P490" s="318"/>
      <c r="Q490" s="318"/>
      <c r="R490" s="318"/>
    </row>
    <row r="491" spans="1:18" ht="26.25" customHeight="1" x14ac:dyDescent="0.2">
      <c r="A491" s="1430"/>
      <c r="B491" s="1430"/>
      <c r="C491" s="1430"/>
      <c r="D491" s="1431"/>
      <c r="E491" s="1431"/>
      <c r="F491" s="1431"/>
      <c r="G491" s="1431"/>
      <c r="H491" s="1431"/>
      <c r="I491" s="1431"/>
      <c r="J491" s="1432"/>
      <c r="K491" s="1432"/>
      <c r="L491" s="1432"/>
      <c r="M491" s="1432"/>
      <c r="N491" s="1432"/>
      <c r="O491" s="1432"/>
      <c r="P491" s="1432"/>
      <c r="Q491" s="318"/>
      <c r="R491" s="318"/>
    </row>
    <row r="492" spans="1:18" ht="26.25" customHeight="1" x14ac:dyDescent="0.2">
      <c r="A492" s="1430"/>
      <c r="B492" s="1430"/>
      <c r="C492" s="1430"/>
      <c r="D492" s="1431"/>
      <c r="E492" s="1431"/>
      <c r="F492" s="1431"/>
      <c r="G492" s="1431"/>
      <c r="H492" s="1431"/>
      <c r="I492" s="1431"/>
      <c r="J492" s="1432"/>
      <c r="K492" s="1432"/>
      <c r="L492" s="1432"/>
      <c r="M492" s="1432"/>
      <c r="N492" s="1432"/>
      <c r="O492" s="1432"/>
      <c r="P492" s="1432"/>
      <c r="Q492" s="318"/>
      <c r="R492" s="318"/>
    </row>
    <row r="493" spans="1:18" ht="26.25" customHeight="1" x14ac:dyDescent="0.2">
      <c r="A493" s="318"/>
      <c r="B493" s="318"/>
      <c r="C493" s="318"/>
      <c r="D493" s="318"/>
      <c r="E493" s="318"/>
      <c r="F493" s="318"/>
      <c r="G493" s="318"/>
      <c r="H493" s="318"/>
      <c r="I493" s="318"/>
      <c r="J493" s="318"/>
      <c r="K493" s="318"/>
      <c r="L493" s="318"/>
      <c r="M493" s="318"/>
      <c r="N493" s="318"/>
      <c r="O493" s="318"/>
      <c r="P493" s="318"/>
      <c r="Q493" s="318"/>
      <c r="R493" s="318"/>
    </row>
    <row r="494" spans="1:18" ht="26.25" customHeight="1" x14ac:dyDescent="0.2">
      <c r="A494" s="1433"/>
      <c r="B494" s="1433"/>
      <c r="C494" s="1433"/>
      <c r="D494" s="1434"/>
      <c r="E494" s="1434"/>
      <c r="F494" s="1435"/>
      <c r="G494" s="1435"/>
      <c r="H494" s="1435"/>
      <c r="I494" s="1435"/>
      <c r="J494" s="1435"/>
      <c r="K494" s="1436"/>
      <c r="L494" s="1436"/>
      <c r="M494" s="1436"/>
      <c r="N494" s="1436"/>
      <c r="O494" s="1436"/>
      <c r="P494" s="1436"/>
      <c r="Q494" s="1436"/>
      <c r="R494" s="303"/>
    </row>
    <row r="495" spans="1:18" ht="26.25" customHeight="1" x14ac:dyDescent="0.2">
      <c r="A495" s="1430"/>
      <c r="B495" s="1430"/>
      <c r="C495" s="1430"/>
      <c r="D495" s="1437"/>
      <c r="E495" s="1437"/>
      <c r="F495" s="1436"/>
      <c r="G495" s="1436"/>
      <c r="H495" s="1436"/>
      <c r="I495" s="1436"/>
      <c r="J495" s="1436"/>
      <c r="K495" s="1436"/>
      <c r="L495" s="1436"/>
      <c r="M495" s="318"/>
      <c r="N495" s="318"/>
      <c r="O495" s="318"/>
      <c r="P495" s="318"/>
      <c r="Q495" s="318"/>
      <c r="R495" s="318"/>
    </row>
    <row r="496" spans="1:18" ht="26.25" customHeight="1" x14ac:dyDescent="0.2">
      <c r="A496" s="1438"/>
      <c r="B496" s="1438"/>
      <c r="C496" s="1438"/>
      <c r="D496" s="1438"/>
      <c r="E496" s="1438"/>
      <c r="F496" s="321"/>
      <c r="G496" s="1436"/>
      <c r="H496" s="1436"/>
      <c r="I496" s="1436"/>
      <c r="J496" s="1436"/>
      <c r="K496" s="1436"/>
      <c r="L496" s="1436"/>
      <c r="M496" s="1436"/>
      <c r="N496" s="318"/>
      <c r="O496" s="318"/>
      <c r="P496" s="318"/>
      <c r="Q496" s="318"/>
      <c r="R496" s="318"/>
    </row>
    <row r="497" spans="1:18" ht="26.25" customHeight="1" x14ac:dyDescent="0.2">
      <c r="A497" s="318"/>
      <c r="B497" s="318"/>
      <c r="C497" s="318"/>
      <c r="D497" s="318"/>
      <c r="E497" s="318"/>
      <c r="F497" s="318"/>
      <c r="G497" s="318"/>
      <c r="H497" s="318"/>
      <c r="I497" s="318"/>
      <c r="J497" s="318"/>
      <c r="K497" s="318"/>
      <c r="L497" s="318"/>
      <c r="M497" s="318"/>
      <c r="N497" s="318"/>
      <c r="O497" s="318"/>
      <c r="P497" s="318"/>
      <c r="Q497" s="318"/>
      <c r="R497" s="318"/>
    </row>
    <row r="498" spans="1:18" ht="26.25" customHeight="1" x14ac:dyDescent="0.2">
      <c r="A498" s="1423"/>
      <c r="B498" s="1439"/>
      <c r="C498" s="1439"/>
      <c r="D498" s="1439"/>
      <c r="E498" s="1439"/>
      <c r="F498" s="1439"/>
      <c r="G498" s="1439"/>
      <c r="H498" s="1439"/>
      <c r="I498" s="1439"/>
      <c r="J498" s="1439"/>
      <c r="K498" s="1436"/>
      <c r="L498" s="1436"/>
      <c r="M498" s="1436"/>
      <c r="N498" s="1436"/>
      <c r="O498" s="1436"/>
      <c r="P498" s="1436"/>
      <c r="Q498" s="1436"/>
      <c r="R498" s="303"/>
    </row>
    <row r="499" spans="1:18" ht="26.25" customHeight="1" x14ac:dyDescent="0.2">
      <c r="A499" s="1421"/>
      <c r="B499" s="1421"/>
      <c r="C499" s="1421"/>
      <c r="D499" s="1421"/>
      <c r="E499" s="1421"/>
      <c r="F499" s="1421"/>
      <c r="G499" s="1421"/>
      <c r="H499" s="1421"/>
      <c r="I499" s="1421"/>
      <c r="J499" s="1421"/>
      <c r="K499" s="1421"/>
      <c r="L499" s="1421"/>
      <c r="M499" s="1421"/>
      <c r="N499" s="1421"/>
      <c r="O499" s="1421"/>
      <c r="P499" s="1421"/>
      <c r="Q499" s="1421"/>
      <c r="R499" s="313"/>
    </row>
    <row r="500" spans="1:18" ht="26.25" customHeight="1" x14ac:dyDescent="0.2">
      <c r="A500" s="1421"/>
      <c r="B500" s="1421"/>
      <c r="C500" s="1421"/>
      <c r="D500" s="1421"/>
      <c r="E500" s="1421"/>
      <c r="F500" s="1421"/>
      <c r="G500" s="1421"/>
      <c r="H500" s="1421"/>
      <c r="I500" s="1421"/>
      <c r="J500" s="1421"/>
      <c r="K500" s="1421"/>
      <c r="L500" s="1421"/>
      <c r="M500" s="1421"/>
      <c r="N500" s="1421"/>
      <c r="O500" s="1421"/>
      <c r="P500" s="1421"/>
      <c r="Q500" s="1421"/>
      <c r="R500" s="313"/>
    </row>
    <row r="501" spans="1:18" ht="26.25" customHeight="1" x14ac:dyDescent="0.2">
      <c r="A501" s="1421"/>
      <c r="B501" s="1421"/>
      <c r="C501" s="1421"/>
      <c r="D501" s="1421"/>
      <c r="E501" s="1421"/>
      <c r="F501" s="1421"/>
      <c r="G501" s="1421"/>
      <c r="H501" s="1421"/>
      <c r="I501" s="1421"/>
      <c r="J501" s="1421"/>
      <c r="K501" s="1421"/>
      <c r="L501" s="1421"/>
      <c r="M501" s="1421"/>
      <c r="N501" s="1421"/>
      <c r="O501" s="1421"/>
      <c r="P501" s="1421"/>
      <c r="Q501" s="1421"/>
      <c r="R501" s="313"/>
    </row>
    <row r="502" spans="1:18" ht="26.25" customHeight="1" x14ac:dyDescent="0.2">
      <c r="A502" s="1421"/>
      <c r="B502" s="1421"/>
      <c r="C502" s="1421"/>
      <c r="D502" s="1421"/>
      <c r="E502" s="1421"/>
      <c r="F502" s="1421"/>
      <c r="G502" s="1421"/>
      <c r="H502" s="1421"/>
      <c r="I502" s="1421"/>
      <c r="J502" s="1421"/>
      <c r="K502" s="1421"/>
      <c r="L502" s="1421"/>
      <c r="M502" s="1421"/>
      <c r="N502" s="1421"/>
      <c r="O502" s="1421"/>
      <c r="P502" s="1421"/>
      <c r="Q502" s="1421"/>
      <c r="R502" s="313"/>
    </row>
    <row r="503" spans="1:18" ht="26.25" customHeight="1" x14ac:dyDescent="0.2">
      <c r="A503" s="1421"/>
      <c r="B503" s="1421"/>
      <c r="C503" s="1421"/>
      <c r="D503" s="1421"/>
      <c r="E503" s="1421"/>
      <c r="F503" s="1421"/>
      <c r="G503" s="1421"/>
      <c r="H503" s="1421"/>
      <c r="I503" s="1421"/>
      <c r="J503" s="1421"/>
      <c r="K503" s="1421"/>
      <c r="L503" s="1421"/>
      <c r="M503" s="1421"/>
      <c r="N503" s="1421"/>
      <c r="O503" s="1421"/>
      <c r="P503" s="1421"/>
      <c r="Q503" s="1421"/>
      <c r="R503" s="313"/>
    </row>
    <row r="504" spans="1:18" ht="26.25" customHeight="1" x14ac:dyDescent="0.2">
      <c r="A504" s="1421"/>
      <c r="B504" s="1421"/>
      <c r="C504" s="1421"/>
      <c r="D504" s="1421"/>
      <c r="E504" s="1421"/>
      <c r="F504" s="1421"/>
      <c r="G504" s="1421"/>
      <c r="H504" s="1421"/>
      <c r="I504" s="1421"/>
      <c r="J504" s="1421"/>
      <c r="K504" s="1421"/>
      <c r="L504" s="1421"/>
      <c r="M504" s="1421"/>
      <c r="N504" s="1421"/>
      <c r="O504" s="1421"/>
      <c r="P504" s="1421"/>
      <c r="Q504" s="1421"/>
      <c r="R504" s="313"/>
    </row>
    <row r="505" spans="1:18" ht="26.25" customHeight="1" x14ac:dyDescent="0.2">
      <c r="A505" s="1421"/>
      <c r="B505" s="1421"/>
      <c r="C505" s="1421"/>
      <c r="D505" s="1421"/>
      <c r="E505" s="1421"/>
      <c r="F505" s="1421"/>
      <c r="G505" s="1421"/>
      <c r="H505" s="1421"/>
      <c r="I505" s="1421"/>
      <c r="J505" s="1421"/>
      <c r="K505" s="1421"/>
      <c r="L505" s="1421"/>
      <c r="M505" s="1421"/>
      <c r="N505" s="1421"/>
      <c r="O505" s="1421"/>
      <c r="P505" s="1421"/>
      <c r="Q505" s="1421"/>
      <c r="R505" s="313"/>
    </row>
    <row r="506" spans="1:18" ht="26.25" customHeight="1" x14ac:dyDescent="0.2">
      <c r="A506" s="1421"/>
      <c r="B506" s="1421"/>
      <c r="C506" s="1421"/>
      <c r="D506" s="1421"/>
      <c r="E506" s="1421"/>
      <c r="F506" s="1421"/>
      <c r="G506" s="1421"/>
      <c r="H506" s="1421"/>
      <c r="I506" s="1421"/>
      <c r="J506" s="1421"/>
      <c r="K506" s="1421"/>
      <c r="L506" s="1421"/>
      <c r="M506" s="1421"/>
      <c r="N506" s="1421"/>
      <c r="O506" s="1421"/>
      <c r="P506" s="1421"/>
      <c r="Q506" s="1421"/>
      <c r="R506" s="313"/>
    </row>
    <row r="507" spans="1:18" ht="26.25" customHeight="1" x14ac:dyDescent="0.2">
      <c r="A507" s="1421"/>
      <c r="B507" s="1421"/>
      <c r="C507" s="1421"/>
      <c r="D507" s="1421"/>
      <c r="E507" s="1421"/>
      <c r="F507" s="1421"/>
      <c r="G507" s="1421"/>
      <c r="H507" s="1421"/>
      <c r="I507" s="1421"/>
      <c r="J507" s="1421"/>
      <c r="K507" s="1421"/>
      <c r="L507" s="1421"/>
      <c r="M507" s="1421"/>
      <c r="N507" s="1421"/>
      <c r="O507" s="1421"/>
      <c r="P507" s="1421"/>
      <c r="Q507" s="1421"/>
      <c r="R507" s="313"/>
    </row>
    <row r="508" spans="1:18" ht="26.25" customHeight="1" x14ac:dyDescent="0.2">
      <c r="A508" s="318"/>
      <c r="B508" s="318"/>
      <c r="C508" s="318"/>
      <c r="D508" s="318"/>
      <c r="E508" s="318"/>
      <c r="F508" s="318"/>
      <c r="G508" s="318"/>
      <c r="H508" s="318"/>
      <c r="I508" s="318"/>
      <c r="J508" s="318"/>
      <c r="K508" s="318"/>
      <c r="L508" s="318"/>
      <c r="M508" s="318"/>
      <c r="N508" s="318"/>
      <c r="O508" s="318"/>
      <c r="P508" s="318"/>
      <c r="Q508" s="318"/>
      <c r="R508" s="318"/>
    </row>
    <row r="509" spans="1:18" ht="26.25" customHeight="1" x14ac:dyDescent="0.2">
      <c r="A509" s="1423"/>
      <c r="B509" s="1423"/>
      <c r="C509" s="1423"/>
      <c r="D509" s="1423"/>
      <c r="E509" s="1423"/>
      <c r="F509" s="1423"/>
      <c r="G509" s="1423"/>
      <c r="H509" s="1423"/>
      <c r="I509" s="1423"/>
      <c r="J509" s="1423"/>
      <c r="K509" s="1423"/>
      <c r="L509" s="1423"/>
      <c r="M509" s="1423"/>
      <c r="N509" s="1423"/>
      <c r="O509" s="1423"/>
      <c r="P509" s="1423"/>
      <c r="Q509" s="1423"/>
      <c r="R509" s="312"/>
    </row>
    <row r="510" spans="1:18" ht="26.25" customHeight="1" x14ac:dyDescent="0.2">
      <c r="A510" s="1421"/>
      <c r="B510" s="1421"/>
      <c r="C510" s="1421"/>
      <c r="D510" s="1421"/>
      <c r="E510" s="1421"/>
      <c r="F510" s="1421"/>
      <c r="G510" s="1421"/>
      <c r="H510" s="1421"/>
      <c r="I510" s="1421"/>
      <c r="J510" s="1421"/>
      <c r="K510" s="1421"/>
      <c r="L510" s="1421"/>
      <c r="M510" s="1421"/>
      <c r="N510" s="1421"/>
      <c r="O510" s="1421"/>
      <c r="P510" s="1421"/>
      <c r="Q510" s="1421"/>
      <c r="R510" s="313"/>
    </row>
    <row r="511" spans="1:18" ht="26.25" customHeight="1" x14ac:dyDescent="0.2">
      <c r="A511" s="1421"/>
      <c r="B511" s="1421"/>
      <c r="C511" s="1421"/>
      <c r="D511" s="1421"/>
      <c r="E511" s="1421"/>
      <c r="F511" s="1421"/>
      <c r="G511" s="1421"/>
      <c r="H511" s="1421"/>
      <c r="I511" s="1421"/>
      <c r="J511" s="1421"/>
      <c r="K511" s="1421"/>
      <c r="L511" s="1421"/>
      <c r="M511" s="1421"/>
      <c r="N511" s="1421"/>
      <c r="O511" s="1421"/>
      <c r="P511" s="1421"/>
      <c r="Q511" s="1421"/>
      <c r="R511" s="313"/>
    </row>
    <row r="512" spans="1:18" ht="26.25" customHeight="1" x14ac:dyDescent="0.2">
      <c r="A512" s="1421"/>
      <c r="B512" s="1421"/>
      <c r="C512" s="1421"/>
      <c r="D512" s="1421"/>
      <c r="E512" s="1421"/>
      <c r="F512" s="1421"/>
      <c r="G512" s="1421"/>
      <c r="H512" s="1421"/>
      <c r="I512" s="1421"/>
      <c r="J512" s="1421"/>
      <c r="K512" s="1421"/>
      <c r="L512" s="1421"/>
      <c r="M512" s="1421"/>
      <c r="N512" s="1421"/>
      <c r="O512" s="1421"/>
      <c r="P512" s="1421"/>
      <c r="Q512" s="1421"/>
      <c r="R512" s="313"/>
    </row>
    <row r="513" spans="1:18" ht="26.25" customHeight="1" x14ac:dyDescent="0.2">
      <c r="A513" s="1421"/>
      <c r="B513" s="1421"/>
      <c r="C513" s="1421"/>
      <c r="D513" s="1421"/>
      <c r="E513" s="1421"/>
      <c r="F513" s="1421"/>
      <c r="G513" s="1421"/>
      <c r="H513" s="1421"/>
      <c r="I513" s="1421"/>
      <c r="J513" s="1421"/>
      <c r="K513" s="1421"/>
      <c r="L513" s="1421"/>
      <c r="M513" s="1421"/>
      <c r="N513" s="1421"/>
      <c r="O513" s="1421"/>
      <c r="P513" s="1421"/>
      <c r="Q513" s="1421"/>
      <c r="R513" s="313"/>
    </row>
    <row r="514" spans="1:18" ht="26.25" customHeight="1" x14ac:dyDescent="0.2">
      <c r="A514" s="1421"/>
      <c r="B514" s="1421"/>
      <c r="C514" s="1421"/>
      <c r="D514" s="1421"/>
      <c r="E514" s="1421"/>
      <c r="F514" s="1421"/>
      <c r="G514" s="1421"/>
      <c r="H514" s="1421"/>
      <c r="I514" s="1421"/>
      <c r="J514" s="1421"/>
      <c r="K514" s="1421"/>
      <c r="L514" s="1421"/>
      <c r="M514" s="1421"/>
      <c r="N514" s="1421"/>
      <c r="O514" s="1421"/>
      <c r="P514" s="1421"/>
      <c r="Q514" s="1421"/>
      <c r="R514" s="313"/>
    </row>
    <row r="515" spans="1:18" ht="26.25" customHeight="1" x14ac:dyDescent="0.2">
      <c r="A515" s="1421"/>
      <c r="B515" s="1421"/>
      <c r="C515" s="1421"/>
      <c r="D515" s="1421"/>
      <c r="E515" s="1421"/>
      <c r="F515" s="1421"/>
      <c r="G515" s="1421"/>
      <c r="H515" s="1421"/>
      <c r="I515" s="1421"/>
      <c r="J515" s="1421"/>
      <c r="K515" s="1421"/>
      <c r="L515" s="1421"/>
      <c r="M515" s="1421"/>
      <c r="N515" s="1421"/>
      <c r="O515" s="1421"/>
      <c r="P515" s="1421"/>
      <c r="Q515" s="1421"/>
      <c r="R515" s="313"/>
    </row>
    <row r="516" spans="1:18" ht="26.25" customHeight="1" x14ac:dyDescent="0.2">
      <c r="A516" s="1421"/>
      <c r="B516" s="1421"/>
      <c r="C516" s="1421"/>
      <c r="D516" s="1421"/>
      <c r="E516" s="1421"/>
      <c r="F516" s="1421"/>
      <c r="G516" s="1421"/>
      <c r="H516" s="1421"/>
      <c r="I516" s="1421"/>
      <c r="J516" s="1421"/>
      <c r="K516" s="1421"/>
      <c r="L516" s="1421"/>
      <c r="M516" s="1421"/>
      <c r="N516" s="1421"/>
      <c r="O516" s="1421"/>
      <c r="P516" s="1421"/>
      <c r="Q516" s="1421"/>
      <c r="R516" s="313"/>
    </row>
    <row r="517" spans="1:18" ht="26.25" customHeight="1" x14ac:dyDescent="0.2">
      <c r="A517" s="1421"/>
      <c r="B517" s="1421"/>
      <c r="C517" s="1421"/>
      <c r="D517" s="1421"/>
      <c r="E517" s="1421"/>
      <c r="F517" s="1421"/>
      <c r="G517" s="1421"/>
      <c r="H517" s="1421"/>
      <c r="I517" s="1421"/>
      <c r="J517" s="1421"/>
      <c r="K517" s="1421"/>
      <c r="L517" s="1421"/>
      <c r="M517" s="1421"/>
      <c r="N517" s="1421"/>
      <c r="O517" s="1421"/>
      <c r="P517" s="1421"/>
      <c r="Q517" s="1421"/>
      <c r="R517" s="313"/>
    </row>
    <row r="518" spans="1:18" ht="26.25" customHeight="1" x14ac:dyDescent="0.2">
      <c r="A518" s="1421"/>
      <c r="B518" s="1421"/>
      <c r="C518" s="1421"/>
      <c r="D518" s="1421"/>
      <c r="E518" s="1421"/>
      <c r="F518" s="1421"/>
      <c r="G518" s="1421"/>
      <c r="H518" s="1421"/>
      <c r="I518" s="1421"/>
      <c r="J518" s="1421"/>
      <c r="K518" s="1421"/>
      <c r="L518" s="1421"/>
      <c r="M518" s="1421"/>
      <c r="N518" s="1421"/>
      <c r="O518" s="1421"/>
      <c r="P518" s="1421"/>
      <c r="Q518" s="1421"/>
      <c r="R518" s="313"/>
    </row>
    <row r="519" spans="1:18" ht="26.25" customHeight="1" x14ac:dyDescent="0.2">
      <c r="A519" s="317"/>
      <c r="B519" s="313"/>
      <c r="C519" s="313"/>
      <c r="D519" s="313"/>
      <c r="E519" s="313"/>
      <c r="F519" s="313"/>
      <c r="G519" s="313"/>
      <c r="H519" s="313"/>
      <c r="I519" s="313"/>
      <c r="J519" s="313"/>
      <c r="K519" s="313"/>
      <c r="L519" s="313"/>
      <c r="M519" s="313"/>
      <c r="N519" s="313"/>
      <c r="O519" s="313"/>
      <c r="P519" s="1418"/>
      <c r="Q519" s="1418"/>
      <c r="R519" s="319"/>
    </row>
    <row r="520" spans="1:18" ht="51.75" customHeight="1" x14ac:dyDescent="0.2">
      <c r="A520" s="1423"/>
      <c r="B520" s="1423"/>
      <c r="C520" s="1423"/>
      <c r="D520" s="1423"/>
      <c r="E520" s="1423"/>
      <c r="F520" s="1423"/>
      <c r="G520" s="1423"/>
      <c r="H520" s="1423"/>
      <c r="I520" s="1423"/>
      <c r="J520" s="1423"/>
      <c r="K520" s="1423"/>
      <c r="L520" s="1423"/>
      <c r="M520" s="1423"/>
      <c r="N520" s="1423"/>
      <c r="O520" s="1423"/>
      <c r="P520" s="1423"/>
      <c r="Q520" s="1423"/>
      <c r="R520" s="312"/>
    </row>
    <row r="521" spans="1:18" ht="26.25" customHeight="1" x14ac:dyDescent="0.2">
      <c r="A521" s="1421"/>
      <c r="B521" s="1421"/>
      <c r="C521" s="1421"/>
      <c r="D521" s="1421"/>
      <c r="E521" s="1421"/>
      <c r="F521" s="1421"/>
      <c r="G521" s="1421"/>
      <c r="H521" s="1421"/>
      <c r="I521" s="1421"/>
      <c r="J521" s="1421"/>
      <c r="K521" s="1421"/>
      <c r="L521" s="1421"/>
      <c r="M521" s="1421"/>
      <c r="N521" s="1421"/>
      <c r="O521" s="1421"/>
      <c r="P521" s="1421"/>
      <c r="Q521" s="1421"/>
      <c r="R521" s="313"/>
    </row>
    <row r="522" spans="1:18" ht="26.25" customHeight="1" x14ac:dyDescent="0.2">
      <c r="A522" s="1421"/>
      <c r="B522" s="1421"/>
      <c r="C522" s="1421"/>
      <c r="D522" s="1421"/>
      <c r="E522" s="1421"/>
      <c r="F522" s="1421"/>
      <c r="G522" s="1421"/>
      <c r="H522" s="1421"/>
      <c r="I522" s="1421"/>
      <c r="J522" s="1421"/>
      <c r="K522" s="1421"/>
      <c r="L522" s="1421"/>
      <c r="M522" s="1421"/>
      <c r="N522" s="1421"/>
      <c r="O522" s="1421"/>
      <c r="P522" s="1421"/>
      <c r="Q522" s="1421"/>
      <c r="R522" s="313"/>
    </row>
    <row r="523" spans="1:18" ht="26.25" customHeight="1" x14ac:dyDescent="0.2">
      <c r="A523" s="1421"/>
      <c r="B523" s="1421"/>
      <c r="C523" s="1421"/>
      <c r="D523" s="1421"/>
      <c r="E523" s="1421"/>
      <c r="F523" s="1421"/>
      <c r="G523" s="1421"/>
      <c r="H523" s="1421"/>
      <c r="I523" s="1421"/>
      <c r="J523" s="1421"/>
      <c r="K523" s="1421"/>
      <c r="L523" s="1421"/>
      <c r="M523" s="1421"/>
      <c r="N523" s="1421"/>
      <c r="O523" s="1421"/>
      <c r="P523" s="1421"/>
      <c r="Q523" s="1421"/>
      <c r="R523" s="313"/>
    </row>
    <row r="524" spans="1:18" ht="26.25" customHeight="1" x14ac:dyDescent="0.2">
      <c r="A524" s="1421"/>
      <c r="B524" s="1421"/>
      <c r="C524" s="1421"/>
      <c r="D524" s="1421"/>
      <c r="E524" s="1421"/>
      <c r="F524" s="1421"/>
      <c r="G524" s="1421"/>
      <c r="H524" s="1421"/>
      <c r="I524" s="1421"/>
      <c r="J524" s="1421"/>
      <c r="K524" s="1421"/>
      <c r="L524" s="1421"/>
      <c r="M524" s="1421"/>
      <c r="N524" s="1421"/>
      <c r="O524" s="1421"/>
      <c r="P524" s="1421"/>
      <c r="Q524" s="1421"/>
      <c r="R524" s="313"/>
    </row>
    <row r="525" spans="1:18" ht="26.25" customHeight="1" x14ac:dyDescent="0.2">
      <c r="A525" s="1421"/>
      <c r="B525" s="1421"/>
      <c r="C525" s="1421"/>
      <c r="D525" s="1421"/>
      <c r="E525" s="1421"/>
      <c r="F525" s="1421"/>
      <c r="G525" s="1421"/>
      <c r="H525" s="1421"/>
      <c r="I525" s="1421"/>
      <c r="J525" s="1421"/>
      <c r="K525" s="1421"/>
      <c r="L525" s="1421"/>
      <c r="M525" s="1421"/>
      <c r="N525" s="1421"/>
      <c r="O525" s="1421"/>
      <c r="P525" s="1421"/>
      <c r="Q525" s="1421"/>
      <c r="R525" s="313"/>
    </row>
    <row r="526" spans="1:18" ht="26.25" customHeight="1" x14ac:dyDescent="0.2">
      <c r="A526" s="1421"/>
      <c r="B526" s="1421"/>
      <c r="C526" s="1421"/>
      <c r="D526" s="1421"/>
      <c r="E526" s="1421"/>
      <c r="F526" s="1421"/>
      <c r="G526" s="1421"/>
      <c r="H526" s="1421"/>
      <c r="I526" s="1421"/>
      <c r="J526" s="1421"/>
      <c r="K526" s="1421"/>
      <c r="L526" s="1421"/>
      <c r="M526" s="1421"/>
      <c r="N526" s="1421"/>
      <c r="O526" s="1421"/>
      <c r="P526" s="1421"/>
      <c r="Q526" s="1421"/>
      <c r="R526" s="313"/>
    </row>
    <row r="527" spans="1:18" ht="26.25" customHeight="1" x14ac:dyDescent="0.2">
      <c r="A527" s="1421"/>
      <c r="B527" s="1421"/>
      <c r="C527" s="1421"/>
      <c r="D527" s="1421"/>
      <c r="E527" s="1421"/>
      <c r="F527" s="1421"/>
      <c r="G527" s="1421"/>
      <c r="H527" s="1421"/>
      <c r="I527" s="1421"/>
      <c r="J527" s="1421"/>
      <c r="K527" s="1421"/>
      <c r="L527" s="1421"/>
      <c r="M527" s="1421"/>
      <c r="N527" s="1421"/>
      <c r="O527" s="1421"/>
      <c r="P527" s="1421"/>
      <c r="Q527" s="1421"/>
      <c r="R527" s="313"/>
    </row>
    <row r="528" spans="1:18" ht="26.25" customHeight="1" x14ac:dyDescent="0.2">
      <c r="A528" s="1421"/>
      <c r="B528" s="1421"/>
      <c r="C528" s="1421"/>
      <c r="D528" s="1421"/>
      <c r="E528" s="1421"/>
      <c r="F528" s="1421"/>
      <c r="G528" s="1421"/>
      <c r="H528" s="1421"/>
      <c r="I528" s="1421"/>
      <c r="J528" s="1421"/>
      <c r="K528" s="1421"/>
      <c r="L528" s="1421"/>
      <c r="M528" s="1421"/>
      <c r="N528" s="1421"/>
      <c r="O528" s="1421"/>
      <c r="P528" s="1421"/>
      <c r="Q528" s="1421"/>
      <c r="R528" s="313"/>
    </row>
    <row r="529" spans="1:18" ht="26.25" customHeight="1" x14ac:dyDescent="0.2">
      <c r="A529" s="1421"/>
      <c r="B529" s="1421"/>
      <c r="C529" s="1421"/>
      <c r="D529" s="1421"/>
      <c r="E529" s="1421"/>
      <c r="F529" s="1421"/>
      <c r="G529" s="1421"/>
      <c r="H529" s="1421"/>
      <c r="I529" s="1421"/>
      <c r="J529" s="1421"/>
      <c r="K529" s="1421"/>
      <c r="L529" s="1421"/>
      <c r="M529" s="1421"/>
      <c r="N529" s="1421"/>
      <c r="O529" s="1421"/>
      <c r="P529" s="1421"/>
      <c r="Q529" s="1421"/>
      <c r="R529" s="313"/>
    </row>
    <row r="530" spans="1:18" ht="26.25" customHeight="1" x14ac:dyDescent="0.2">
      <c r="A530" s="318"/>
      <c r="B530" s="318"/>
      <c r="C530" s="318"/>
      <c r="D530" s="318"/>
      <c r="E530" s="318"/>
      <c r="F530" s="318"/>
      <c r="G530" s="318"/>
      <c r="H530" s="318"/>
      <c r="I530" s="318"/>
      <c r="J530" s="318"/>
      <c r="K530" s="318"/>
      <c r="L530" s="318"/>
      <c r="M530" s="318"/>
      <c r="N530" s="318"/>
      <c r="O530" s="318"/>
      <c r="P530" s="318"/>
      <c r="Q530" s="318"/>
      <c r="R530" s="318"/>
    </row>
    <row r="531" spans="1:18" ht="26.25" customHeight="1" x14ac:dyDescent="0.2">
      <c r="A531" s="1424"/>
      <c r="B531" s="1424"/>
      <c r="C531" s="1424"/>
      <c r="D531" s="1424"/>
      <c r="E531" s="1424"/>
      <c r="F531" s="1424"/>
      <c r="G531" s="1424"/>
      <c r="H531" s="1424"/>
      <c r="I531" s="1424"/>
      <c r="J531" s="1424"/>
      <c r="K531" s="1424"/>
      <c r="L531" s="1424"/>
      <c r="M531" s="1424"/>
      <c r="N531" s="1424"/>
      <c r="O531" s="1424"/>
      <c r="P531" s="1424"/>
      <c r="Q531" s="1424"/>
      <c r="R531" s="314"/>
    </row>
    <row r="532" spans="1:18" ht="26.25" customHeight="1" x14ac:dyDescent="0.2">
      <c r="A532" s="1421"/>
      <c r="B532" s="1421"/>
      <c r="C532" s="1421"/>
      <c r="D532" s="1421"/>
      <c r="E532" s="1421"/>
      <c r="F532" s="1421"/>
      <c r="G532" s="1421"/>
      <c r="H532" s="1421"/>
      <c r="I532" s="1421"/>
      <c r="J532" s="1421"/>
      <c r="K532" s="1421"/>
      <c r="L532" s="1421"/>
      <c r="M532" s="1421"/>
      <c r="N532" s="1421"/>
      <c r="O532" s="1421"/>
      <c r="P532" s="1421"/>
      <c r="Q532" s="1421"/>
      <c r="R532" s="313"/>
    </row>
    <row r="533" spans="1:18" ht="26.25" customHeight="1" x14ac:dyDescent="0.2">
      <c r="A533" s="1421"/>
      <c r="B533" s="1421"/>
      <c r="C533" s="1421"/>
      <c r="D533" s="1421"/>
      <c r="E533" s="1421"/>
      <c r="F533" s="1421"/>
      <c r="G533" s="1421"/>
      <c r="H533" s="1421"/>
      <c r="I533" s="1421"/>
      <c r="J533" s="1421"/>
      <c r="K533" s="1421"/>
      <c r="L533" s="1421"/>
      <c r="M533" s="1421"/>
      <c r="N533" s="1421"/>
      <c r="O533" s="1421"/>
      <c r="P533" s="1421"/>
      <c r="Q533" s="1421"/>
      <c r="R533" s="313"/>
    </row>
    <row r="534" spans="1:18" ht="26.25" customHeight="1" x14ac:dyDescent="0.2">
      <c r="A534" s="1421"/>
      <c r="B534" s="1421"/>
      <c r="C534" s="1421"/>
      <c r="D534" s="1421"/>
      <c r="E534" s="1421"/>
      <c r="F534" s="1421"/>
      <c r="G534" s="1421"/>
      <c r="H534" s="1421"/>
      <c r="I534" s="1421"/>
      <c r="J534" s="1421"/>
      <c r="K534" s="1421"/>
      <c r="L534" s="1421"/>
      <c r="M534" s="1421"/>
      <c r="N534" s="1421"/>
      <c r="O534" s="1421"/>
      <c r="P534" s="1421"/>
      <c r="Q534" s="1421"/>
      <c r="R534" s="313"/>
    </row>
    <row r="535" spans="1:18" ht="26.25" customHeight="1" x14ac:dyDescent="0.2">
      <c r="A535" s="1421"/>
      <c r="B535" s="1421"/>
      <c r="C535" s="1421"/>
      <c r="D535" s="1421"/>
      <c r="E535" s="1421"/>
      <c r="F535" s="1421"/>
      <c r="G535" s="1421"/>
      <c r="H535" s="1421"/>
      <c r="I535" s="1421"/>
      <c r="J535" s="1421"/>
      <c r="K535" s="1421"/>
      <c r="L535" s="1421"/>
      <c r="M535" s="1421"/>
      <c r="N535" s="1421"/>
      <c r="O535" s="1421"/>
      <c r="P535" s="1421"/>
      <c r="Q535" s="1421"/>
      <c r="R535" s="313"/>
    </row>
    <row r="536" spans="1:18" ht="26.25" customHeight="1" x14ac:dyDescent="0.2">
      <c r="A536" s="1421"/>
      <c r="B536" s="1421"/>
      <c r="C536" s="1421"/>
      <c r="D536" s="1421"/>
      <c r="E536" s="1421"/>
      <c r="F536" s="1421"/>
      <c r="G536" s="1421"/>
      <c r="H536" s="1421"/>
      <c r="I536" s="1421"/>
      <c r="J536" s="1421"/>
      <c r="K536" s="1421"/>
      <c r="L536" s="1421"/>
      <c r="M536" s="1421"/>
      <c r="N536" s="1421"/>
      <c r="O536" s="1421"/>
      <c r="P536" s="1421"/>
      <c r="Q536" s="1421"/>
      <c r="R536" s="313"/>
    </row>
    <row r="537" spans="1:18" ht="26.25" customHeight="1" x14ac:dyDescent="0.2">
      <c r="A537" s="1421"/>
      <c r="B537" s="1421"/>
      <c r="C537" s="1421"/>
      <c r="D537" s="1421"/>
      <c r="E537" s="1421"/>
      <c r="F537" s="1421"/>
      <c r="G537" s="1421"/>
      <c r="H537" s="1421"/>
      <c r="I537" s="1421"/>
      <c r="J537" s="1421"/>
      <c r="K537" s="1421"/>
      <c r="L537" s="1421"/>
      <c r="M537" s="1421"/>
      <c r="N537" s="1421"/>
      <c r="O537" s="1421"/>
      <c r="P537" s="1421"/>
      <c r="Q537" s="1421"/>
      <c r="R537" s="313"/>
    </row>
    <row r="538" spans="1:18" ht="26.25" customHeight="1" x14ac:dyDescent="0.2">
      <c r="A538" s="1421"/>
      <c r="B538" s="1421"/>
      <c r="C538" s="1421"/>
      <c r="D538" s="1421"/>
      <c r="E538" s="1421"/>
      <c r="F538" s="1421"/>
      <c r="G538" s="1421"/>
      <c r="H538" s="1421"/>
      <c r="I538" s="1421"/>
      <c r="J538" s="1421"/>
      <c r="K538" s="1421"/>
      <c r="L538" s="1421"/>
      <c r="M538" s="1421"/>
      <c r="N538" s="1421"/>
      <c r="O538" s="1421"/>
      <c r="P538" s="1421"/>
      <c r="Q538" s="1421"/>
      <c r="R538" s="313"/>
    </row>
    <row r="539" spans="1:18" ht="26.25" customHeight="1" x14ac:dyDescent="0.2">
      <c r="A539" s="1421"/>
      <c r="B539" s="1421"/>
      <c r="C539" s="1421"/>
      <c r="D539" s="1421"/>
      <c r="E539" s="1421"/>
      <c r="F539" s="1421"/>
      <c r="G539" s="1421"/>
      <c r="H539" s="1421"/>
      <c r="I539" s="1421"/>
      <c r="J539" s="1421"/>
      <c r="K539" s="1421"/>
      <c r="L539" s="1421"/>
      <c r="M539" s="1421"/>
      <c r="N539" s="1421"/>
      <c r="O539" s="1421"/>
      <c r="P539" s="1421"/>
      <c r="Q539" s="1421"/>
      <c r="R539" s="313"/>
    </row>
    <row r="540" spans="1:18" ht="26.25" customHeight="1" x14ac:dyDescent="0.2">
      <c r="A540" s="1421"/>
      <c r="B540" s="1421"/>
      <c r="C540" s="1421"/>
      <c r="D540" s="1421"/>
      <c r="E540" s="1421"/>
      <c r="F540" s="1421"/>
      <c r="G540" s="1421"/>
      <c r="H540" s="1421"/>
      <c r="I540" s="1421"/>
      <c r="J540" s="1421"/>
      <c r="K540" s="1421"/>
      <c r="L540" s="1421"/>
      <c r="M540" s="1421"/>
      <c r="N540" s="1421"/>
      <c r="O540" s="1421"/>
      <c r="P540" s="1421"/>
      <c r="Q540" s="1421"/>
      <c r="R540" s="313"/>
    </row>
    <row r="541" spans="1:18" ht="26.25" customHeight="1" x14ac:dyDescent="0.2">
      <c r="A541" s="318"/>
      <c r="B541" s="318"/>
      <c r="C541" s="318"/>
      <c r="D541" s="318"/>
      <c r="E541" s="318"/>
      <c r="F541" s="318"/>
      <c r="G541" s="318"/>
      <c r="H541" s="318"/>
      <c r="I541" s="318"/>
      <c r="J541" s="318"/>
      <c r="K541" s="318"/>
      <c r="L541" s="318"/>
      <c r="M541" s="318"/>
      <c r="N541" s="318"/>
      <c r="O541" s="318"/>
      <c r="P541" s="318"/>
      <c r="Q541" s="318"/>
      <c r="R541" s="318"/>
    </row>
    <row r="542" spans="1:18" ht="26.25" customHeight="1" x14ac:dyDescent="0.2">
      <c r="A542" s="1423"/>
      <c r="B542" s="1423"/>
      <c r="C542" s="1423"/>
      <c r="D542" s="1423"/>
      <c r="E542" s="1423"/>
      <c r="F542" s="1423"/>
      <c r="G542" s="1423"/>
      <c r="H542" s="1423"/>
      <c r="I542" s="1423"/>
      <c r="J542" s="1423"/>
      <c r="K542" s="1423"/>
      <c r="L542" s="1423"/>
      <c r="M542" s="1423"/>
      <c r="N542" s="1423"/>
      <c r="O542" s="1423"/>
      <c r="P542" s="1423"/>
      <c r="Q542" s="1423"/>
      <c r="R542" s="312"/>
    </row>
    <row r="543" spans="1:18" ht="26.25" customHeight="1" x14ac:dyDescent="0.2">
      <c r="A543" s="1421"/>
      <c r="B543" s="1421"/>
      <c r="C543" s="1421"/>
      <c r="D543" s="1421"/>
      <c r="E543" s="1421"/>
      <c r="F543" s="1421"/>
      <c r="G543" s="1421"/>
      <c r="H543" s="1421"/>
      <c r="I543" s="1421"/>
      <c r="J543" s="1421"/>
      <c r="K543" s="1421"/>
      <c r="L543" s="1421"/>
      <c r="M543" s="1421"/>
      <c r="N543" s="1421"/>
      <c r="O543" s="1421"/>
      <c r="P543" s="1421"/>
      <c r="Q543" s="1421"/>
      <c r="R543" s="313"/>
    </row>
    <row r="544" spans="1:18" ht="26.25" customHeight="1" x14ac:dyDescent="0.2">
      <c r="A544" s="1421"/>
      <c r="B544" s="1421"/>
      <c r="C544" s="1421"/>
      <c r="D544" s="1421"/>
      <c r="E544" s="1421"/>
      <c r="F544" s="1421"/>
      <c r="G544" s="1421"/>
      <c r="H544" s="1421"/>
      <c r="I544" s="1421"/>
      <c r="J544" s="1421"/>
      <c r="K544" s="1421"/>
      <c r="L544" s="1421"/>
      <c r="M544" s="1421"/>
      <c r="N544" s="1421"/>
      <c r="O544" s="1421"/>
      <c r="P544" s="1421"/>
      <c r="Q544" s="1421"/>
      <c r="R544" s="313"/>
    </row>
    <row r="545" spans="1:18" ht="26.25" customHeight="1" x14ac:dyDescent="0.2">
      <c r="A545" s="1421"/>
      <c r="B545" s="1421"/>
      <c r="C545" s="1421"/>
      <c r="D545" s="1421"/>
      <c r="E545" s="1421"/>
      <c r="F545" s="1421"/>
      <c r="G545" s="1421"/>
      <c r="H545" s="1421"/>
      <c r="I545" s="1421"/>
      <c r="J545" s="1421"/>
      <c r="K545" s="1421"/>
      <c r="L545" s="1421"/>
      <c r="M545" s="1421"/>
      <c r="N545" s="1421"/>
      <c r="O545" s="1421"/>
      <c r="P545" s="1421"/>
      <c r="Q545" s="1421"/>
      <c r="R545" s="313"/>
    </row>
    <row r="546" spans="1:18" ht="26.25" customHeight="1" x14ac:dyDescent="0.2">
      <c r="A546" s="1421"/>
      <c r="B546" s="1421"/>
      <c r="C546" s="1421"/>
      <c r="D546" s="1421"/>
      <c r="E546" s="1421"/>
      <c r="F546" s="1421"/>
      <c r="G546" s="1421"/>
      <c r="H546" s="1421"/>
      <c r="I546" s="1421"/>
      <c r="J546" s="1421"/>
      <c r="K546" s="1421"/>
      <c r="L546" s="1421"/>
      <c r="M546" s="1421"/>
      <c r="N546" s="1421"/>
      <c r="O546" s="1421"/>
      <c r="P546" s="1421"/>
      <c r="Q546" s="1421"/>
      <c r="R546" s="313"/>
    </row>
    <row r="547" spans="1:18" ht="26.25" customHeight="1" x14ac:dyDescent="0.2">
      <c r="A547" s="1421"/>
      <c r="B547" s="1421"/>
      <c r="C547" s="1421"/>
      <c r="D547" s="1421"/>
      <c r="E547" s="1421"/>
      <c r="F547" s="1421"/>
      <c r="G547" s="1421"/>
      <c r="H547" s="1421"/>
      <c r="I547" s="1421"/>
      <c r="J547" s="1421"/>
      <c r="K547" s="1421"/>
      <c r="L547" s="1421"/>
      <c r="M547" s="1421"/>
      <c r="N547" s="1421"/>
      <c r="O547" s="1421"/>
      <c r="P547" s="1421"/>
      <c r="Q547" s="1421"/>
      <c r="R547" s="313"/>
    </row>
    <row r="548" spans="1:18" ht="26.25" customHeight="1" x14ac:dyDescent="0.2">
      <c r="A548" s="1421"/>
      <c r="B548" s="1421"/>
      <c r="C548" s="1421"/>
      <c r="D548" s="1421"/>
      <c r="E548" s="1421"/>
      <c r="F548" s="1421"/>
      <c r="G548" s="1421"/>
      <c r="H548" s="1421"/>
      <c r="I548" s="1421"/>
      <c r="J548" s="1421"/>
      <c r="K548" s="1421"/>
      <c r="L548" s="1421"/>
      <c r="M548" s="1421"/>
      <c r="N548" s="1421"/>
      <c r="O548" s="1421"/>
      <c r="P548" s="1421"/>
      <c r="Q548" s="1421"/>
      <c r="R548" s="313"/>
    </row>
    <row r="549" spans="1:18" ht="26.25" customHeight="1" x14ac:dyDescent="0.2">
      <c r="A549" s="1421"/>
      <c r="B549" s="1421"/>
      <c r="C549" s="1421"/>
      <c r="D549" s="1421"/>
      <c r="E549" s="1421"/>
      <c r="F549" s="1421"/>
      <c r="G549" s="1421"/>
      <c r="H549" s="1421"/>
      <c r="I549" s="1421"/>
      <c r="J549" s="1421"/>
      <c r="K549" s="1421"/>
      <c r="L549" s="1421"/>
      <c r="M549" s="1421"/>
      <c r="N549" s="1421"/>
      <c r="O549" s="1421"/>
      <c r="P549" s="1421"/>
      <c r="Q549" s="1421"/>
      <c r="R549" s="313"/>
    </row>
    <row r="550" spans="1:18" ht="26.25" customHeight="1" x14ac:dyDescent="0.2">
      <c r="A550" s="1421"/>
      <c r="B550" s="1421"/>
      <c r="C550" s="1421"/>
      <c r="D550" s="1421"/>
      <c r="E550" s="1421"/>
      <c r="F550" s="1421"/>
      <c r="G550" s="1421"/>
      <c r="H550" s="1421"/>
      <c r="I550" s="1421"/>
      <c r="J550" s="1421"/>
      <c r="K550" s="1421"/>
      <c r="L550" s="1421"/>
      <c r="M550" s="1421"/>
      <c r="N550" s="1421"/>
      <c r="O550" s="1421"/>
      <c r="P550" s="1421"/>
      <c r="Q550" s="1421"/>
      <c r="R550" s="313"/>
    </row>
    <row r="551" spans="1:18" ht="26.25" customHeight="1" x14ac:dyDescent="0.2">
      <c r="A551" s="1421"/>
      <c r="B551" s="1421"/>
      <c r="C551" s="1421"/>
      <c r="D551" s="1421"/>
      <c r="E551" s="1421"/>
      <c r="F551" s="1421"/>
      <c r="G551" s="1421"/>
      <c r="H551" s="1421"/>
      <c r="I551" s="1421"/>
      <c r="J551" s="1421"/>
      <c r="K551" s="1421"/>
      <c r="L551" s="1421"/>
      <c r="M551" s="1421"/>
      <c r="N551" s="1421"/>
      <c r="O551" s="1421"/>
      <c r="P551" s="1421"/>
      <c r="Q551" s="1421"/>
      <c r="R551" s="313"/>
    </row>
    <row r="552" spans="1:18" ht="26.25" customHeight="1" x14ac:dyDescent="0.2">
      <c r="A552" s="317"/>
      <c r="B552" s="318"/>
      <c r="C552" s="318"/>
      <c r="D552" s="318"/>
      <c r="E552" s="318"/>
      <c r="F552" s="318"/>
      <c r="G552" s="318"/>
      <c r="H552" s="318"/>
      <c r="I552" s="318"/>
      <c r="J552" s="318"/>
      <c r="K552" s="318"/>
      <c r="L552" s="318"/>
      <c r="M552" s="318"/>
      <c r="N552" s="318"/>
      <c r="O552" s="318"/>
      <c r="P552" s="1418"/>
      <c r="Q552" s="1418"/>
      <c r="R552" s="319"/>
    </row>
    <row r="553" spans="1:18" ht="26.25" customHeight="1" x14ac:dyDescent="0.2">
      <c r="A553" s="1425"/>
      <c r="B553" s="1425"/>
      <c r="C553" s="1425"/>
      <c r="D553" s="1425"/>
      <c r="E553" s="1425"/>
      <c r="F553" s="1425"/>
      <c r="G553" s="1425"/>
      <c r="H553" s="1425"/>
      <c r="I553" s="1425"/>
      <c r="J553" s="1425"/>
      <c r="K553" s="1425"/>
      <c r="L553" s="1425"/>
      <c r="M553" s="1425"/>
      <c r="N553" s="1426"/>
      <c r="O553" s="1426"/>
      <c r="P553" s="1426"/>
      <c r="Q553" s="1426"/>
      <c r="R553" s="320"/>
    </row>
    <row r="554" spans="1:18" ht="26.25" customHeight="1" x14ac:dyDescent="0.2">
      <c r="A554" s="1427"/>
      <c r="B554" s="1427"/>
      <c r="C554" s="1427"/>
      <c r="D554" s="1427"/>
      <c r="E554" s="1427"/>
      <c r="F554" s="1427"/>
      <c r="G554" s="1427"/>
      <c r="H554" s="1427"/>
      <c r="I554" s="1427"/>
      <c r="J554" s="318"/>
      <c r="K554" s="318"/>
      <c r="L554" s="318"/>
      <c r="M554" s="318"/>
      <c r="N554" s="318"/>
      <c r="O554" s="318"/>
      <c r="P554" s="318"/>
      <c r="Q554" s="318"/>
      <c r="R554" s="318"/>
    </row>
    <row r="555" spans="1:18" ht="26.25" customHeight="1" x14ac:dyDescent="0.2">
      <c r="A555" s="1423"/>
      <c r="B555" s="1428"/>
      <c r="C555" s="1428"/>
      <c r="D555" s="1429"/>
      <c r="E555" s="1429"/>
      <c r="F555" s="1429"/>
      <c r="G555" s="1429"/>
      <c r="H555" s="1429"/>
      <c r="I555" s="1429"/>
      <c r="J555" s="318"/>
      <c r="K555" s="318"/>
      <c r="L555" s="318"/>
      <c r="M555" s="318"/>
      <c r="N555" s="318"/>
      <c r="O555" s="318"/>
      <c r="P555" s="318"/>
      <c r="Q555" s="318"/>
      <c r="R555" s="318"/>
    </row>
    <row r="556" spans="1:18" ht="26.25" customHeight="1" x14ac:dyDescent="0.2">
      <c r="A556" s="1430"/>
      <c r="B556" s="1430"/>
      <c r="C556" s="1430"/>
      <c r="D556" s="1431"/>
      <c r="E556" s="1431"/>
      <c r="F556" s="1431"/>
      <c r="G556" s="1431"/>
      <c r="H556" s="1431"/>
      <c r="I556" s="1431"/>
      <c r="J556" s="1432"/>
      <c r="K556" s="1432"/>
      <c r="L556" s="1432"/>
      <c r="M556" s="1432"/>
      <c r="N556" s="1432"/>
      <c r="O556" s="1432"/>
      <c r="P556" s="1432"/>
      <c r="Q556" s="318"/>
      <c r="R556" s="318"/>
    </row>
    <row r="557" spans="1:18" ht="26.25" customHeight="1" x14ac:dyDescent="0.2">
      <c r="A557" s="1430"/>
      <c r="B557" s="1430"/>
      <c r="C557" s="1430"/>
      <c r="D557" s="1431"/>
      <c r="E557" s="1431"/>
      <c r="F557" s="1431"/>
      <c r="G557" s="1431"/>
      <c r="H557" s="1431"/>
      <c r="I557" s="1431"/>
      <c r="J557" s="1432"/>
      <c r="K557" s="1432"/>
      <c r="L557" s="1432"/>
      <c r="M557" s="1432"/>
      <c r="N557" s="1432"/>
      <c r="O557" s="1432"/>
      <c r="P557" s="1432"/>
      <c r="Q557" s="318"/>
      <c r="R557" s="318"/>
    </row>
    <row r="558" spans="1:18" ht="26.25" customHeight="1" x14ac:dyDescent="0.2">
      <c r="A558" s="318"/>
      <c r="B558" s="318"/>
      <c r="C558" s="318"/>
      <c r="D558" s="318"/>
      <c r="E558" s="318"/>
      <c r="F558" s="318"/>
      <c r="G558" s="318"/>
      <c r="H558" s="318"/>
      <c r="I558" s="318"/>
      <c r="J558" s="318"/>
      <c r="K558" s="318"/>
      <c r="L558" s="318"/>
      <c r="M558" s="318"/>
      <c r="N558" s="318"/>
      <c r="O558" s="318"/>
      <c r="P558" s="318"/>
      <c r="Q558" s="318"/>
      <c r="R558" s="318"/>
    </row>
    <row r="559" spans="1:18" ht="26.25" customHeight="1" x14ac:dyDescent="0.2">
      <c r="A559" s="1433"/>
      <c r="B559" s="1433"/>
      <c r="C559" s="1433"/>
      <c r="D559" s="1434"/>
      <c r="E559" s="1434"/>
      <c r="F559" s="1435"/>
      <c r="G559" s="1435"/>
      <c r="H559" s="1435"/>
      <c r="I559" s="1435"/>
      <c r="J559" s="1435"/>
      <c r="K559" s="1436"/>
      <c r="L559" s="1436"/>
      <c r="M559" s="1436"/>
      <c r="N559" s="1436"/>
      <c r="O559" s="1436"/>
      <c r="P559" s="1436"/>
      <c r="Q559" s="1436"/>
      <c r="R559" s="303"/>
    </row>
    <row r="560" spans="1:18" ht="26.25" customHeight="1" x14ac:dyDescent="0.2">
      <c r="A560" s="1430"/>
      <c r="B560" s="1430"/>
      <c r="C560" s="1430"/>
      <c r="D560" s="1437"/>
      <c r="E560" s="1437"/>
      <c r="F560" s="1436"/>
      <c r="G560" s="1436"/>
      <c r="H560" s="1436"/>
      <c r="I560" s="1436"/>
      <c r="J560" s="1436"/>
      <c r="K560" s="1436"/>
      <c r="L560" s="1436"/>
      <c r="M560" s="318"/>
      <c r="N560" s="318"/>
      <c r="O560" s="318"/>
      <c r="P560" s="318"/>
      <c r="Q560" s="318"/>
      <c r="R560" s="318"/>
    </row>
    <row r="561" spans="1:18" ht="26.25" customHeight="1" x14ac:dyDescent="0.2">
      <c r="A561" s="1438"/>
      <c r="B561" s="1438"/>
      <c r="C561" s="1438"/>
      <c r="D561" s="1438"/>
      <c r="E561" s="1438"/>
      <c r="F561" s="321"/>
      <c r="G561" s="1436"/>
      <c r="H561" s="1436"/>
      <c r="I561" s="1436"/>
      <c r="J561" s="1436"/>
      <c r="K561" s="1436"/>
      <c r="L561" s="1436"/>
      <c r="M561" s="1436"/>
      <c r="N561" s="318"/>
      <c r="O561" s="318"/>
      <c r="P561" s="318"/>
      <c r="Q561" s="318"/>
      <c r="R561" s="318"/>
    </row>
    <row r="562" spans="1:18" ht="26.25" customHeight="1" x14ac:dyDescent="0.2">
      <c r="A562" s="318"/>
      <c r="B562" s="318"/>
      <c r="C562" s="318"/>
      <c r="D562" s="318"/>
      <c r="E562" s="318"/>
      <c r="F562" s="318"/>
      <c r="G562" s="318"/>
      <c r="H562" s="318"/>
      <c r="I562" s="318"/>
      <c r="J562" s="318"/>
      <c r="K562" s="318"/>
      <c r="L562" s="318"/>
      <c r="M562" s="318"/>
      <c r="N562" s="318"/>
      <c r="O562" s="318"/>
      <c r="P562" s="318"/>
      <c r="Q562" s="318"/>
      <c r="R562" s="318"/>
    </row>
    <row r="563" spans="1:18" ht="26.25" customHeight="1" x14ac:dyDescent="0.2">
      <c r="A563" s="1423"/>
      <c r="B563" s="1439"/>
      <c r="C563" s="1439"/>
      <c r="D563" s="1439"/>
      <c r="E563" s="1439"/>
      <c r="F563" s="1439"/>
      <c r="G563" s="1439"/>
      <c r="H563" s="1439"/>
      <c r="I563" s="1439"/>
      <c r="J563" s="1439"/>
      <c r="K563" s="1436"/>
      <c r="L563" s="1436"/>
      <c r="M563" s="1436"/>
      <c r="N563" s="1436"/>
      <c r="O563" s="1436"/>
      <c r="P563" s="1436"/>
      <c r="Q563" s="1436"/>
      <c r="R563" s="303"/>
    </row>
    <row r="564" spans="1:18" ht="26.25" customHeight="1" x14ac:dyDescent="0.2">
      <c r="A564" s="1421"/>
      <c r="B564" s="1421"/>
      <c r="C564" s="1421"/>
      <c r="D564" s="1421"/>
      <c r="E564" s="1421"/>
      <c r="F564" s="1421"/>
      <c r="G564" s="1421"/>
      <c r="H564" s="1421"/>
      <c r="I564" s="1421"/>
      <c r="J564" s="1421"/>
      <c r="K564" s="1421"/>
      <c r="L564" s="1421"/>
      <c r="M564" s="1421"/>
      <c r="N564" s="1421"/>
      <c r="O564" s="1421"/>
      <c r="P564" s="1421"/>
      <c r="Q564" s="1421"/>
      <c r="R564" s="313"/>
    </row>
    <row r="565" spans="1:18" ht="26.25" customHeight="1" x14ac:dyDescent="0.2">
      <c r="A565" s="1421"/>
      <c r="B565" s="1421"/>
      <c r="C565" s="1421"/>
      <c r="D565" s="1421"/>
      <c r="E565" s="1421"/>
      <c r="F565" s="1421"/>
      <c r="G565" s="1421"/>
      <c r="H565" s="1421"/>
      <c r="I565" s="1421"/>
      <c r="J565" s="1421"/>
      <c r="K565" s="1421"/>
      <c r="L565" s="1421"/>
      <c r="M565" s="1421"/>
      <c r="N565" s="1421"/>
      <c r="O565" s="1421"/>
      <c r="P565" s="1421"/>
      <c r="Q565" s="1421"/>
      <c r="R565" s="313"/>
    </row>
    <row r="566" spans="1:18" ht="26.25" customHeight="1" x14ac:dyDescent="0.2">
      <c r="A566" s="1421"/>
      <c r="B566" s="1421"/>
      <c r="C566" s="1421"/>
      <c r="D566" s="1421"/>
      <c r="E566" s="1421"/>
      <c r="F566" s="1421"/>
      <c r="G566" s="1421"/>
      <c r="H566" s="1421"/>
      <c r="I566" s="1421"/>
      <c r="J566" s="1421"/>
      <c r="K566" s="1421"/>
      <c r="L566" s="1421"/>
      <c r="M566" s="1421"/>
      <c r="N566" s="1421"/>
      <c r="O566" s="1421"/>
      <c r="P566" s="1421"/>
      <c r="Q566" s="1421"/>
      <c r="R566" s="313"/>
    </row>
    <row r="567" spans="1:18" ht="26.25" customHeight="1" x14ac:dyDescent="0.2">
      <c r="A567" s="1421"/>
      <c r="B567" s="1421"/>
      <c r="C567" s="1421"/>
      <c r="D567" s="1421"/>
      <c r="E567" s="1421"/>
      <c r="F567" s="1421"/>
      <c r="G567" s="1421"/>
      <c r="H567" s="1421"/>
      <c r="I567" s="1421"/>
      <c r="J567" s="1421"/>
      <c r="K567" s="1421"/>
      <c r="L567" s="1421"/>
      <c r="M567" s="1421"/>
      <c r="N567" s="1421"/>
      <c r="O567" s="1421"/>
      <c r="P567" s="1421"/>
      <c r="Q567" s="1421"/>
      <c r="R567" s="313"/>
    </row>
    <row r="568" spans="1:18" ht="26.25" customHeight="1" x14ac:dyDescent="0.2">
      <c r="A568" s="1421"/>
      <c r="B568" s="1421"/>
      <c r="C568" s="1421"/>
      <c r="D568" s="1421"/>
      <c r="E568" s="1421"/>
      <c r="F568" s="1421"/>
      <c r="G568" s="1421"/>
      <c r="H568" s="1421"/>
      <c r="I568" s="1421"/>
      <c r="J568" s="1421"/>
      <c r="K568" s="1421"/>
      <c r="L568" s="1421"/>
      <c r="M568" s="1421"/>
      <c r="N568" s="1421"/>
      <c r="O568" s="1421"/>
      <c r="P568" s="1421"/>
      <c r="Q568" s="1421"/>
      <c r="R568" s="313"/>
    </row>
    <row r="569" spans="1:18" ht="26.25" customHeight="1" x14ac:dyDescent="0.2">
      <c r="A569" s="1421"/>
      <c r="B569" s="1421"/>
      <c r="C569" s="1421"/>
      <c r="D569" s="1421"/>
      <c r="E569" s="1421"/>
      <c r="F569" s="1421"/>
      <c r="G569" s="1421"/>
      <c r="H569" s="1421"/>
      <c r="I569" s="1421"/>
      <c r="J569" s="1421"/>
      <c r="K569" s="1421"/>
      <c r="L569" s="1421"/>
      <c r="M569" s="1421"/>
      <c r="N569" s="1421"/>
      <c r="O569" s="1421"/>
      <c r="P569" s="1421"/>
      <c r="Q569" s="1421"/>
      <c r="R569" s="313"/>
    </row>
    <row r="570" spans="1:18" ht="26.25" customHeight="1" x14ac:dyDescent="0.2">
      <c r="A570" s="1421"/>
      <c r="B570" s="1421"/>
      <c r="C570" s="1421"/>
      <c r="D570" s="1421"/>
      <c r="E570" s="1421"/>
      <c r="F570" s="1421"/>
      <c r="G570" s="1421"/>
      <c r="H570" s="1421"/>
      <c r="I570" s="1421"/>
      <c r="J570" s="1421"/>
      <c r="K570" s="1421"/>
      <c r="L570" s="1421"/>
      <c r="M570" s="1421"/>
      <c r="N570" s="1421"/>
      <c r="O570" s="1421"/>
      <c r="P570" s="1421"/>
      <c r="Q570" s="1421"/>
      <c r="R570" s="313"/>
    </row>
    <row r="571" spans="1:18" ht="26.25" customHeight="1" x14ac:dyDescent="0.2">
      <c r="A571" s="1421"/>
      <c r="B571" s="1421"/>
      <c r="C571" s="1421"/>
      <c r="D571" s="1421"/>
      <c r="E571" s="1421"/>
      <c r="F571" s="1421"/>
      <c r="G571" s="1421"/>
      <c r="H571" s="1421"/>
      <c r="I571" s="1421"/>
      <c r="J571" s="1421"/>
      <c r="K571" s="1421"/>
      <c r="L571" s="1421"/>
      <c r="M571" s="1421"/>
      <c r="N571" s="1421"/>
      <c r="O571" s="1421"/>
      <c r="P571" s="1421"/>
      <c r="Q571" s="1421"/>
      <c r="R571" s="313"/>
    </row>
    <row r="572" spans="1:18" ht="26.25" customHeight="1" x14ac:dyDescent="0.2">
      <c r="A572" s="1421"/>
      <c r="B572" s="1421"/>
      <c r="C572" s="1421"/>
      <c r="D572" s="1421"/>
      <c r="E572" s="1421"/>
      <c r="F572" s="1421"/>
      <c r="G572" s="1421"/>
      <c r="H572" s="1421"/>
      <c r="I572" s="1421"/>
      <c r="J572" s="1421"/>
      <c r="K572" s="1421"/>
      <c r="L572" s="1421"/>
      <c r="M572" s="1421"/>
      <c r="N572" s="1421"/>
      <c r="O572" s="1421"/>
      <c r="P572" s="1421"/>
      <c r="Q572" s="1421"/>
      <c r="R572" s="313"/>
    </row>
    <row r="573" spans="1:18" ht="26.25" customHeight="1" x14ac:dyDescent="0.2">
      <c r="A573" s="318"/>
      <c r="B573" s="318"/>
      <c r="C573" s="318"/>
      <c r="D573" s="318"/>
      <c r="E573" s="318"/>
      <c r="F573" s="318"/>
      <c r="G573" s="318"/>
      <c r="H573" s="318"/>
      <c r="I573" s="318"/>
      <c r="J573" s="318"/>
      <c r="K573" s="318"/>
      <c r="L573" s="318"/>
      <c r="M573" s="318"/>
      <c r="N573" s="318"/>
      <c r="O573" s="318"/>
      <c r="P573" s="318"/>
      <c r="Q573" s="318"/>
      <c r="R573" s="318"/>
    </row>
    <row r="574" spans="1:18" ht="26.25" customHeight="1" x14ac:dyDescent="0.2">
      <c r="A574" s="1423"/>
      <c r="B574" s="1423"/>
      <c r="C574" s="1423"/>
      <c r="D574" s="1423"/>
      <c r="E574" s="1423"/>
      <c r="F574" s="1423"/>
      <c r="G574" s="1423"/>
      <c r="H574" s="1423"/>
      <c r="I574" s="1423"/>
      <c r="J574" s="1423"/>
      <c r="K574" s="1423"/>
      <c r="L574" s="1423"/>
      <c r="M574" s="1423"/>
      <c r="N574" s="1423"/>
      <c r="O574" s="1423"/>
      <c r="P574" s="1423"/>
      <c r="Q574" s="1423"/>
      <c r="R574" s="312"/>
    </row>
    <row r="575" spans="1:18" ht="26.25" customHeight="1" x14ac:dyDescent="0.2">
      <c r="A575" s="1421"/>
      <c r="B575" s="1421"/>
      <c r="C575" s="1421"/>
      <c r="D575" s="1421"/>
      <c r="E575" s="1421"/>
      <c r="F575" s="1421"/>
      <c r="G575" s="1421"/>
      <c r="H575" s="1421"/>
      <c r="I575" s="1421"/>
      <c r="J575" s="1421"/>
      <c r="K575" s="1421"/>
      <c r="L575" s="1421"/>
      <c r="M575" s="1421"/>
      <c r="N575" s="1421"/>
      <c r="O575" s="1421"/>
      <c r="P575" s="1421"/>
      <c r="Q575" s="1421"/>
      <c r="R575" s="313"/>
    </row>
    <row r="576" spans="1:18" ht="26.25" customHeight="1" x14ac:dyDescent="0.2">
      <c r="A576" s="1421"/>
      <c r="B576" s="1421"/>
      <c r="C576" s="1421"/>
      <c r="D576" s="1421"/>
      <c r="E576" s="1421"/>
      <c r="F576" s="1421"/>
      <c r="G576" s="1421"/>
      <c r="H576" s="1421"/>
      <c r="I576" s="1421"/>
      <c r="J576" s="1421"/>
      <c r="K576" s="1421"/>
      <c r="L576" s="1421"/>
      <c r="M576" s="1421"/>
      <c r="N576" s="1421"/>
      <c r="O576" s="1421"/>
      <c r="P576" s="1421"/>
      <c r="Q576" s="1421"/>
      <c r="R576" s="313"/>
    </row>
    <row r="577" spans="1:18" ht="26.25" customHeight="1" x14ac:dyDescent="0.2">
      <c r="A577" s="1421"/>
      <c r="B577" s="1421"/>
      <c r="C577" s="1421"/>
      <c r="D577" s="1421"/>
      <c r="E577" s="1421"/>
      <c r="F577" s="1421"/>
      <c r="G577" s="1421"/>
      <c r="H577" s="1421"/>
      <c r="I577" s="1421"/>
      <c r="J577" s="1421"/>
      <c r="K577" s="1421"/>
      <c r="L577" s="1421"/>
      <c r="M577" s="1421"/>
      <c r="N577" s="1421"/>
      <c r="O577" s="1421"/>
      <c r="P577" s="1421"/>
      <c r="Q577" s="1421"/>
      <c r="R577" s="313"/>
    </row>
    <row r="578" spans="1:18" ht="26.25" customHeight="1" x14ac:dyDescent="0.2">
      <c r="A578" s="1421"/>
      <c r="B578" s="1421"/>
      <c r="C578" s="1421"/>
      <c r="D578" s="1421"/>
      <c r="E578" s="1421"/>
      <c r="F578" s="1421"/>
      <c r="G578" s="1421"/>
      <c r="H578" s="1421"/>
      <c r="I578" s="1421"/>
      <c r="J578" s="1421"/>
      <c r="K578" s="1421"/>
      <c r="L578" s="1421"/>
      <c r="M578" s="1421"/>
      <c r="N578" s="1421"/>
      <c r="O578" s="1421"/>
      <c r="P578" s="1421"/>
      <c r="Q578" s="1421"/>
      <c r="R578" s="313"/>
    </row>
    <row r="579" spans="1:18" ht="26.25" customHeight="1" x14ac:dyDescent="0.2">
      <c r="A579" s="1421"/>
      <c r="B579" s="1421"/>
      <c r="C579" s="1421"/>
      <c r="D579" s="1421"/>
      <c r="E579" s="1421"/>
      <c r="F579" s="1421"/>
      <c r="G579" s="1421"/>
      <c r="H579" s="1421"/>
      <c r="I579" s="1421"/>
      <c r="J579" s="1421"/>
      <c r="K579" s="1421"/>
      <c r="L579" s="1421"/>
      <c r="M579" s="1421"/>
      <c r="N579" s="1421"/>
      <c r="O579" s="1421"/>
      <c r="P579" s="1421"/>
      <c r="Q579" s="1421"/>
      <c r="R579" s="313"/>
    </row>
    <row r="580" spans="1:18" ht="26.25" customHeight="1" x14ac:dyDescent="0.2">
      <c r="A580" s="1421"/>
      <c r="B580" s="1421"/>
      <c r="C580" s="1421"/>
      <c r="D580" s="1421"/>
      <c r="E580" s="1421"/>
      <c r="F580" s="1421"/>
      <c r="G580" s="1421"/>
      <c r="H580" s="1421"/>
      <c r="I580" s="1421"/>
      <c r="J580" s="1421"/>
      <c r="K580" s="1421"/>
      <c r="L580" s="1421"/>
      <c r="M580" s="1421"/>
      <c r="N580" s="1421"/>
      <c r="O580" s="1421"/>
      <c r="P580" s="1421"/>
      <c r="Q580" s="1421"/>
      <c r="R580" s="313"/>
    </row>
    <row r="581" spans="1:18" ht="26.25" customHeight="1" x14ac:dyDescent="0.2">
      <c r="A581" s="1421"/>
      <c r="B581" s="1421"/>
      <c r="C581" s="1421"/>
      <c r="D581" s="1421"/>
      <c r="E581" s="1421"/>
      <c r="F581" s="1421"/>
      <c r="G581" s="1421"/>
      <c r="H581" s="1421"/>
      <c r="I581" s="1421"/>
      <c r="J581" s="1421"/>
      <c r="K581" s="1421"/>
      <c r="L581" s="1421"/>
      <c r="M581" s="1421"/>
      <c r="N581" s="1421"/>
      <c r="O581" s="1421"/>
      <c r="P581" s="1421"/>
      <c r="Q581" s="1421"/>
      <c r="R581" s="313"/>
    </row>
    <row r="582" spans="1:18" ht="26.25" customHeight="1" x14ac:dyDescent="0.2">
      <c r="A582" s="1421"/>
      <c r="B582" s="1421"/>
      <c r="C582" s="1421"/>
      <c r="D582" s="1421"/>
      <c r="E582" s="1421"/>
      <c r="F582" s="1421"/>
      <c r="G582" s="1421"/>
      <c r="H582" s="1421"/>
      <c r="I582" s="1421"/>
      <c r="J582" s="1421"/>
      <c r="K582" s="1421"/>
      <c r="L582" s="1421"/>
      <c r="M582" s="1421"/>
      <c r="N582" s="1421"/>
      <c r="O582" s="1421"/>
      <c r="P582" s="1421"/>
      <c r="Q582" s="1421"/>
      <c r="R582" s="313"/>
    </row>
    <row r="583" spans="1:18" ht="26.25" customHeight="1" x14ac:dyDescent="0.2">
      <c r="A583" s="1421"/>
      <c r="B583" s="1421"/>
      <c r="C583" s="1421"/>
      <c r="D583" s="1421"/>
      <c r="E583" s="1421"/>
      <c r="F583" s="1421"/>
      <c r="G583" s="1421"/>
      <c r="H583" s="1421"/>
      <c r="I583" s="1421"/>
      <c r="J583" s="1421"/>
      <c r="K583" s="1421"/>
      <c r="L583" s="1421"/>
      <c r="M583" s="1421"/>
      <c r="N583" s="1421"/>
      <c r="O583" s="1421"/>
      <c r="P583" s="1421"/>
      <c r="Q583" s="1421"/>
      <c r="R583" s="313"/>
    </row>
    <row r="584" spans="1:18" ht="26.25" customHeight="1" x14ac:dyDescent="0.2">
      <c r="A584" s="317"/>
      <c r="B584" s="313"/>
      <c r="C584" s="313"/>
      <c r="D584" s="313"/>
      <c r="E584" s="313"/>
      <c r="F584" s="313"/>
      <c r="G584" s="313"/>
      <c r="H584" s="313"/>
      <c r="I584" s="313"/>
      <c r="J584" s="313"/>
      <c r="K584" s="313"/>
      <c r="L584" s="313"/>
      <c r="M584" s="313"/>
      <c r="N584" s="313"/>
      <c r="O584" s="313"/>
      <c r="P584" s="1418"/>
      <c r="Q584" s="1418"/>
      <c r="R584" s="319"/>
    </row>
    <row r="585" spans="1:18" ht="52.5" customHeight="1" x14ac:dyDescent="0.2">
      <c r="A585" s="1423"/>
      <c r="B585" s="1423"/>
      <c r="C585" s="1423"/>
      <c r="D585" s="1423"/>
      <c r="E585" s="1423"/>
      <c r="F585" s="1423"/>
      <c r="G585" s="1423"/>
      <c r="H585" s="1423"/>
      <c r="I585" s="1423"/>
      <c r="J585" s="1423"/>
      <c r="K585" s="1423"/>
      <c r="L585" s="1423"/>
      <c r="M585" s="1423"/>
      <c r="N585" s="1423"/>
      <c r="O585" s="1423"/>
      <c r="P585" s="1423"/>
      <c r="Q585" s="1423"/>
      <c r="R585" s="312"/>
    </row>
    <row r="586" spans="1:18" ht="26.25" customHeight="1" x14ac:dyDescent="0.2">
      <c r="A586" s="1421"/>
      <c r="B586" s="1421"/>
      <c r="C586" s="1421"/>
      <c r="D586" s="1421"/>
      <c r="E586" s="1421"/>
      <c r="F586" s="1421"/>
      <c r="G586" s="1421"/>
      <c r="H586" s="1421"/>
      <c r="I586" s="1421"/>
      <c r="J586" s="1421"/>
      <c r="K586" s="1421"/>
      <c r="L586" s="1421"/>
      <c r="M586" s="1421"/>
      <c r="N586" s="1421"/>
      <c r="O586" s="1421"/>
      <c r="P586" s="1421"/>
      <c r="Q586" s="1421"/>
      <c r="R586" s="313"/>
    </row>
    <row r="587" spans="1:18" ht="26.25" customHeight="1" x14ac:dyDescent="0.2">
      <c r="A587" s="1421"/>
      <c r="B587" s="1421"/>
      <c r="C587" s="1421"/>
      <c r="D587" s="1421"/>
      <c r="E587" s="1421"/>
      <c r="F587" s="1421"/>
      <c r="G587" s="1421"/>
      <c r="H587" s="1421"/>
      <c r="I587" s="1421"/>
      <c r="J587" s="1421"/>
      <c r="K587" s="1421"/>
      <c r="L587" s="1421"/>
      <c r="M587" s="1421"/>
      <c r="N587" s="1421"/>
      <c r="O587" s="1421"/>
      <c r="P587" s="1421"/>
      <c r="Q587" s="1421"/>
      <c r="R587" s="313"/>
    </row>
    <row r="588" spans="1:18" ht="26.25" customHeight="1" x14ac:dyDescent="0.2">
      <c r="A588" s="1421"/>
      <c r="B588" s="1421"/>
      <c r="C588" s="1421"/>
      <c r="D588" s="1421"/>
      <c r="E588" s="1421"/>
      <c r="F588" s="1421"/>
      <c r="G588" s="1421"/>
      <c r="H588" s="1421"/>
      <c r="I588" s="1421"/>
      <c r="J588" s="1421"/>
      <c r="K588" s="1421"/>
      <c r="L588" s="1421"/>
      <c r="M588" s="1421"/>
      <c r="N588" s="1421"/>
      <c r="O588" s="1421"/>
      <c r="P588" s="1421"/>
      <c r="Q588" s="1421"/>
      <c r="R588" s="313"/>
    </row>
    <row r="589" spans="1:18" ht="26.25" customHeight="1" x14ac:dyDescent="0.2">
      <c r="A589" s="1421"/>
      <c r="B589" s="1421"/>
      <c r="C589" s="1421"/>
      <c r="D589" s="1421"/>
      <c r="E589" s="1421"/>
      <c r="F589" s="1421"/>
      <c r="G589" s="1421"/>
      <c r="H589" s="1421"/>
      <c r="I589" s="1421"/>
      <c r="J589" s="1421"/>
      <c r="K589" s="1421"/>
      <c r="L589" s="1421"/>
      <c r="M589" s="1421"/>
      <c r="N589" s="1421"/>
      <c r="O589" s="1421"/>
      <c r="P589" s="1421"/>
      <c r="Q589" s="1421"/>
      <c r="R589" s="313"/>
    </row>
    <row r="590" spans="1:18" ht="26.25" customHeight="1" x14ac:dyDescent="0.2">
      <c r="A590" s="1421"/>
      <c r="B590" s="1421"/>
      <c r="C590" s="1421"/>
      <c r="D590" s="1421"/>
      <c r="E590" s="1421"/>
      <c r="F590" s="1421"/>
      <c r="G590" s="1421"/>
      <c r="H590" s="1421"/>
      <c r="I590" s="1421"/>
      <c r="J590" s="1421"/>
      <c r="K590" s="1421"/>
      <c r="L590" s="1421"/>
      <c r="M590" s="1421"/>
      <c r="N590" s="1421"/>
      <c r="O590" s="1421"/>
      <c r="P590" s="1421"/>
      <c r="Q590" s="1421"/>
      <c r="R590" s="313"/>
    </row>
    <row r="591" spans="1:18" ht="26.25" customHeight="1" x14ac:dyDescent="0.2">
      <c r="A591" s="1421"/>
      <c r="B591" s="1421"/>
      <c r="C591" s="1421"/>
      <c r="D591" s="1421"/>
      <c r="E591" s="1421"/>
      <c r="F591" s="1421"/>
      <c r="G591" s="1421"/>
      <c r="H591" s="1421"/>
      <c r="I591" s="1421"/>
      <c r="J591" s="1421"/>
      <c r="K591" s="1421"/>
      <c r="L591" s="1421"/>
      <c r="M591" s="1421"/>
      <c r="N591" s="1421"/>
      <c r="O591" s="1421"/>
      <c r="P591" s="1421"/>
      <c r="Q591" s="1421"/>
      <c r="R591" s="313"/>
    </row>
    <row r="592" spans="1:18" ht="26.25" customHeight="1" x14ac:dyDescent="0.2">
      <c r="A592" s="1421"/>
      <c r="B592" s="1421"/>
      <c r="C592" s="1421"/>
      <c r="D592" s="1421"/>
      <c r="E592" s="1421"/>
      <c r="F592" s="1421"/>
      <c r="G592" s="1421"/>
      <c r="H592" s="1421"/>
      <c r="I592" s="1421"/>
      <c r="J592" s="1421"/>
      <c r="K592" s="1421"/>
      <c r="L592" s="1421"/>
      <c r="M592" s="1421"/>
      <c r="N592" s="1421"/>
      <c r="O592" s="1421"/>
      <c r="P592" s="1421"/>
      <c r="Q592" s="1421"/>
      <c r="R592" s="313"/>
    </row>
    <row r="593" spans="1:18" ht="26.25" customHeight="1" x14ac:dyDescent="0.2">
      <c r="A593" s="1421"/>
      <c r="B593" s="1421"/>
      <c r="C593" s="1421"/>
      <c r="D593" s="1421"/>
      <c r="E593" s="1421"/>
      <c r="F593" s="1421"/>
      <c r="G593" s="1421"/>
      <c r="H593" s="1421"/>
      <c r="I593" s="1421"/>
      <c r="J593" s="1421"/>
      <c r="K593" s="1421"/>
      <c r="L593" s="1421"/>
      <c r="M593" s="1421"/>
      <c r="N593" s="1421"/>
      <c r="O593" s="1421"/>
      <c r="P593" s="1421"/>
      <c r="Q593" s="1421"/>
      <c r="R593" s="313"/>
    </row>
    <row r="594" spans="1:18" ht="26.25" customHeight="1" x14ac:dyDescent="0.2">
      <c r="A594" s="1421"/>
      <c r="B594" s="1421"/>
      <c r="C594" s="1421"/>
      <c r="D594" s="1421"/>
      <c r="E594" s="1421"/>
      <c r="F594" s="1421"/>
      <c r="G594" s="1421"/>
      <c r="H594" s="1421"/>
      <c r="I594" s="1421"/>
      <c r="J594" s="1421"/>
      <c r="K594" s="1421"/>
      <c r="L594" s="1421"/>
      <c r="M594" s="1421"/>
      <c r="N594" s="1421"/>
      <c r="O594" s="1421"/>
      <c r="P594" s="1421"/>
      <c r="Q594" s="1421"/>
      <c r="R594" s="313"/>
    </row>
    <row r="595" spans="1:18" ht="26.25" customHeight="1" x14ac:dyDescent="0.2">
      <c r="A595" s="318"/>
      <c r="B595" s="318"/>
      <c r="C595" s="318"/>
      <c r="D595" s="318"/>
      <c r="E595" s="318"/>
      <c r="F595" s="318"/>
      <c r="G595" s="318"/>
      <c r="H595" s="318"/>
      <c r="I595" s="318"/>
      <c r="J595" s="318"/>
      <c r="K595" s="318"/>
      <c r="L595" s="318"/>
      <c r="M595" s="318"/>
      <c r="N595" s="318"/>
      <c r="O595" s="318"/>
      <c r="P595" s="318"/>
      <c r="Q595" s="318"/>
      <c r="R595" s="318"/>
    </row>
    <row r="596" spans="1:18" ht="26.25" customHeight="1" x14ac:dyDescent="0.2">
      <c r="A596" s="1424"/>
      <c r="B596" s="1424"/>
      <c r="C596" s="1424"/>
      <c r="D596" s="1424"/>
      <c r="E596" s="1424"/>
      <c r="F596" s="1424"/>
      <c r="G596" s="1424"/>
      <c r="H596" s="1424"/>
      <c r="I596" s="1424"/>
      <c r="J596" s="1424"/>
      <c r="K596" s="1424"/>
      <c r="L596" s="1424"/>
      <c r="M596" s="1424"/>
      <c r="N596" s="1424"/>
      <c r="O596" s="1424"/>
      <c r="P596" s="1424"/>
      <c r="Q596" s="1424"/>
      <c r="R596" s="314"/>
    </row>
    <row r="597" spans="1:18" ht="26.25" customHeight="1" x14ac:dyDescent="0.2">
      <c r="A597" s="1421"/>
      <c r="B597" s="1421"/>
      <c r="C597" s="1421"/>
      <c r="D597" s="1421"/>
      <c r="E597" s="1421"/>
      <c r="F597" s="1421"/>
      <c r="G597" s="1421"/>
      <c r="H597" s="1421"/>
      <c r="I597" s="1421"/>
      <c r="J597" s="1421"/>
      <c r="K597" s="1421"/>
      <c r="L597" s="1421"/>
      <c r="M597" s="1421"/>
      <c r="N597" s="1421"/>
      <c r="O597" s="1421"/>
      <c r="P597" s="1421"/>
      <c r="Q597" s="1421"/>
      <c r="R597" s="313"/>
    </row>
    <row r="598" spans="1:18" ht="26.25" customHeight="1" x14ac:dyDescent="0.2">
      <c r="A598" s="1421"/>
      <c r="B598" s="1421"/>
      <c r="C598" s="1421"/>
      <c r="D598" s="1421"/>
      <c r="E598" s="1421"/>
      <c r="F598" s="1421"/>
      <c r="G598" s="1421"/>
      <c r="H598" s="1421"/>
      <c r="I598" s="1421"/>
      <c r="J598" s="1421"/>
      <c r="K598" s="1421"/>
      <c r="L598" s="1421"/>
      <c r="M598" s="1421"/>
      <c r="N598" s="1421"/>
      <c r="O598" s="1421"/>
      <c r="P598" s="1421"/>
      <c r="Q598" s="1421"/>
      <c r="R598" s="313"/>
    </row>
    <row r="599" spans="1:18" ht="26.25" customHeight="1" x14ac:dyDescent="0.2">
      <c r="A599" s="1421"/>
      <c r="B599" s="1421"/>
      <c r="C599" s="1421"/>
      <c r="D599" s="1421"/>
      <c r="E599" s="1421"/>
      <c r="F599" s="1421"/>
      <c r="G599" s="1421"/>
      <c r="H599" s="1421"/>
      <c r="I599" s="1421"/>
      <c r="J599" s="1421"/>
      <c r="K599" s="1421"/>
      <c r="L599" s="1421"/>
      <c r="M599" s="1421"/>
      <c r="N599" s="1421"/>
      <c r="O599" s="1421"/>
      <c r="P599" s="1421"/>
      <c r="Q599" s="1421"/>
      <c r="R599" s="313"/>
    </row>
    <row r="600" spans="1:18" ht="26.25" customHeight="1" x14ac:dyDescent="0.2">
      <c r="A600" s="1421"/>
      <c r="B600" s="1421"/>
      <c r="C600" s="1421"/>
      <c r="D600" s="1421"/>
      <c r="E600" s="1421"/>
      <c r="F600" s="1421"/>
      <c r="G600" s="1421"/>
      <c r="H600" s="1421"/>
      <c r="I600" s="1421"/>
      <c r="J600" s="1421"/>
      <c r="K600" s="1421"/>
      <c r="L600" s="1421"/>
      <c r="M600" s="1421"/>
      <c r="N600" s="1421"/>
      <c r="O600" s="1421"/>
      <c r="P600" s="1421"/>
      <c r="Q600" s="1421"/>
      <c r="R600" s="313"/>
    </row>
    <row r="601" spans="1:18" ht="26.25" customHeight="1" x14ac:dyDescent="0.2">
      <c r="A601" s="1421"/>
      <c r="B601" s="1421"/>
      <c r="C601" s="1421"/>
      <c r="D601" s="1421"/>
      <c r="E601" s="1421"/>
      <c r="F601" s="1421"/>
      <c r="G601" s="1421"/>
      <c r="H601" s="1421"/>
      <c r="I601" s="1421"/>
      <c r="J601" s="1421"/>
      <c r="K601" s="1421"/>
      <c r="L601" s="1421"/>
      <c r="M601" s="1421"/>
      <c r="N601" s="1421"/>
      <c r="O601" s="1421"/>
      <c r="P601" s="1421"/>
      <c r="Q601" s="1421"/>
      <c r="R601" s="313"/>
    </row>
    <row r="602" spans="1:18" ht="26.25" customHeight="1" x14ac:dyDescent="0.2">
      <c r="A602" s="1421"/>
      <c r="B602" s="1421"/>
      <c r="C602" s="1421"/>
      <c r="D602" s="1421"/>
      <c r="E602" s="1421"/>
      <c r="F602" s="1421"/>
      <c r="G602" s="1421"/>
      <c r="H602" s="1421"/>
      <c r="I602" s="1421"/>
      <c r="J602" s="1421"/>
      <c r="K602" s="1421"/>
      <c r="L602" s="1421"/>
      <c r="M602" s="1421"/>
      <c r="N602" s="1421"/>
      <c r="O602" s="1421"/>
      <c r="P602" s="1421"/>
      <c r="Q602" s="1421"/>
      <c r="R602" s="313"/>
    </row>
    <row r="603" spans="1:18" ht="26.25" customHeight="1" x14ac:dyDescent="0.2">
      <c r="A603" s="1421"/>
      <c r="B603" s="1421"/>
      <c r="C603" s="1421"/>
      <c r="D603" s="1421"/>
      <c r="E603" s="1421"/>
      <c r="F603" s="1421"/>
      <c r="G603" s="1421"/>
      <c r="H603" s="1421"/>
      <c r="I603" s="1421"/>
      <c r="J603" s="1421"/>
      <c r="K603" s="1421"/>
      <c r="L603" s="1421"/>
      <c r="M603" s="1421"/>
      <c r="N603" s="1421"/>
      <c r="O603" s="1421"/>
      <c r="P603" s="1421"/>
      <c r="Q603" s="1421"/>
      <c r="R603" s="313"/>
    </row>
    <row r="604" spans="1:18" ht="26.25" customHeight="1" x14ac:dyDescent="0.2">
      <c r="A604" s="1421"/>
      <c r="B604" s="1421"/>
      <c r="C604" s="1421"/>
      <c r="D604" s="1421"/>
      <c r="E604" s="1421"/>
      <c r="F604" s="1421"/>
      <c r="G604" s="1421"/>
      <c r="H604" s="1421"/>
      <c r="I604" s="1421"/>
      <c r="J604" s="1421"/>
      <c r="K604" s="1421"/>
      <c r="L604" s="1421"/>
      <c r="M604" s="1421"/>
      <c r="N604" s="1421"/>
      <c r="O604" s="1421"/>
      <c r="P604" s="1421"/>
      <c r="Q604" s="1421"/>
      <c r="R604" s="313"/>
    </row>
    <row r="605" spans="1:18" ht="26.25" customHeight="1" x14ac:dyDescent="0.2">
      <c r="A605" s="1421"/>
      <c r="B605" s="1421"/>
      <c r="C605" s="1421"/>
      <c r="D605" s="1421"/>
      <c r="E605" s="1421"/>
      <c r="F605" s="1421"/>
      <c r="G605" s="1421"/>
      <c r="H605" s="1421"/>
      <c r="I605" s="1421"/>
      <c r="J605" s="1421"/>
      <c r="K605" s="1421"/>
      <c r="L605" s="1421"/>
      <c r="M605" s="1421"/>
      <c r="N605" s="1421"/>
      <c r="O605" s="1421"/>
      <c r="P605" s="1421"/>
      <c r="Q605" s="1421"/>
      <c r="R605" s="313"/>
    </row>
    <row r="606" spans="1:18" ht="26.25" customHeight="1" x14ac:dyDescent="0.2">
      <c r="A606" s="318"/>
      <c r="B606" s="318"/>
      <c r="C606" s="318"/>
      <c r="D606" s="318"/>
      <c r="E606" s="318"/>
      <c r="F606" s="318"/>
      <c r="G606" s="318"/>
      <c r="H606" s="318"/>
      <c r="I606" s="318"/>
      <c r="J606" s="318"/>
      <c r="K606" s="318"/>
      <c r="L606" s="318"/>
      <c r="M606" s="318"/>
      <c r="N606" s="318"/>
      <c r="O606" s="318"/>
      <c r="P606" s="318"/>
      <c r="Q606" s="318"/>
      <c r="R606" s="318"/>
    </row>
    <row r="607" spans="1:18" ht="26.25" customHeight="1" x14ac:dyDescent="0.2">
      <c r="A607" s="1423"/>
      <c r="B607" s="1423"/>
      <c r="C607" s="1423"/>
      <c r="D607" s="1423"/>
      <c r="E607" s="1423"/>
      <c r="F607" s="1423"/>
      <c r="G607" s="1423"/>
      <c r="H607" s="1423"/>
      <c r="I607" s="1423"/>
      <c r="J607" s="1423"/>
      <c r="K607" s="1423"/>
      <c r="L607" s="1423"/>
      <c r="M607" s="1423"/>
      <c r="N607" s="1423"/>
      <c r="O607" s="1423"/>
      <c r="P607" s="1423"/>
      <c r="Q607" s="1423"/>
      <c r="R607" s="312"/>
    </row>
    <row r="608" spans="1:18" ht="26.25" customHeight="1" x14ac:dyDescent="0.2">
      <c r="A608" s="1421"/>
      <c r="B608" s="1421"/>
      <c r="C608" s="1421"/>
      <c r="D608" s="1421"/>
      <c r="E608" s="1421"/>
      <c r="F608" s="1421"/>
      <c r="G608" s="1421"/>
      <c r="H608" s="1421"/>
      <c r="I608" s="1421"/>
      <c r="J608" s="1421"/>
      <c r="K608" s="1421"/>
      <c r="L608" s="1421"/>
      <c r="M608" s="1421"/>
      <c r="N608" s="1421"/>
      <c r="O608" s="1421"/>
      <c r="P608" s="1421"/>
      <c r="Q608" s="1421"/>
      <c r="R608" s="313"/>
    </row>
    <row r="609" spans="1:18" ht="26.25" customHeight="1" x14ac:dyDescent="0.2">
      <c r="A609" s="1421"/>
      <c r="B609" s="1421"/>
      <c r="C609" s="1421"/>
      <c r="D609" s="1421"/>
      <c r="E609" s="1421"/>
      <c r="F609" s="1421"/>
      <c r="G609" s="1421"/>
      <c r="H609" s="1421"/>
      <c r="I609" s="1421"/>
      <c r="J609" s="1421"/>
      <c r="K609" s="1421"/>
      <c r="L609" s="1421"/>
      <c r="M609" s="1421"/>
      <c r="N609" s="1421"/>
      <c r="O609" s="1421"/>
      <c r="P609" s="1421"/>
      <c r="Q609" s="1421"/>
      <c r="R609" s="313"/>
    </row>
    <row r="610" spans="1:18" ht="26.25" customHeight="1" x14ac:dyDescent="0.2">
      <c r="A610" s="1421"/>
      <c r="B610" s="1421"/>
      <c r="C610" s="1421"/>
      <c r="D610" s="1421"/>
      <c r="E610" s="1421"/>
      <c r="F610" s="1421"/>
      <c r="G610" s="1421"/>
      <c r="H610" s="1421"/>
      <c r="I610" s="1421"/>
      <c r="J610" s="1421"/>
      <c r="K610" s="1421"/>
      <c r="L610" s="1421"/>
      <c r="M610" s="1421"/>
      <c r="N610" s="1421"/>
      <c r="O610" s="1421"/>
      <c r="P610" s="1421"/>
      <c r="Q610" s="1421"/>
      <c r="R610" s="313"/>
    </row>
    <row r="611" spans="1:18" ht="26.25" customHeight="1" x14ac:dyDescent="0.2">
      <c r="A611" s="1421"/>
      <c r="B611" s="1421"/>
      <c r="C611" s="1421"/>
      <c r="D611" s="1421"/>
      <c r="E611" s="1421"/>
      <c r="F611" s="1421"/>
      <c r="G611" s="1421"/>
      <c r="H611" s="1421"/>
      <c r="I611" s="1421"/>
      <c r="J611" s="1421"/>
      <c r="K611" s="1421"/>
      <c r="L611" s="1421"/>
      <c r="M611" s="1421"/>
      <c r="N611" s="1421"/>
      <c r="O611" s="1421"/>
      <c r="P611" s="1421"/>
      <c r="Q611" s="1421"/>
      <c r="R611" s="313"/>
    </row>
    <row r="612" spans="1:18" ht="26.25" customHeight="1" x14ac:dyDescent="0.2">
      <c r="A612" s="1421"/>
      <c r="B612" s="1421"/>
      <c r="C612" s="1421"/>
      <c r="D612" s="1421"/>
      <c r="E612" s="1421"/>
      <c r="F612" s="1421"/>
      <c r="G612" s="1421"/>
      <c r="H612" s="1421"/>
      <c r="I612" s="1421"/>
      <c r="J612" s="1421"/>
      <c r="K612" s="1421"/>
      <c r="L612" s="1421"/>
      <c r="M612" s="1421"/>
      <c r="N612" s="1421"/>
      <c r="O612" s="1421"/>
      <c r="P612" s="1421"/>
      <c r="Q612" s="1421"/>
      <c r="R612" s="313"/>
    </row>
    <row r="613" spans="1:18" ht="26.25" customHeight="1" x14ac:dyDescent="0.2">
      <c r="A613" s="1421"/>
      <c r="B613" s="1421"/>
      <c r="C613" s="1421"/>
      <c r="D613" s="1421"/>
      <c r="E613" s="1421"/>
      <c r="F613" s="1421"/>
      <c r="G613" s="1421"/>
      <c r="H613" s="1421"/>
      <c r="I613" s="1421"/>
      <c r="J613" s="1421"/>
      <c r="K613" s="1421"/>
      <c r="L613" s="1421"/>
      <c r="M613" s="1421"/>
      <c r="N613" s="1421"/>
      <c r="O613" s="1421"/>
      <c r="P613" s="1421"/>
      <c r="Q613" s="1421"/>
      <c r="R613" s="313"/>
    </row>
    <row r="614" spans="1:18" ht="26.25" customHeight="1" x14ac:dyDescent="0.2">
      <c r="A614" s="1421"/>
      <c r="B614" s="1421"/>
      <c r="C614" s="1421"/>
      <c r="D614" s="1421"/>
      <c r="E614" s="1421"/>
      <c r="F614" s="1421"/>
      <c r="G614" s="1421"/>
      <c r="H614" s="1421"/>
      <c r="I614" s="1421"/>
      <c r="J614" s="1421"/>
      <c r="K614" s="1421"/>
      <c r="L614" s="1421"/>
      <c r="M614" s="1421"/>
      <c r="N614" s="1421"/>
      <c r="O614" s="1421"/>
      <c r="P614" s="1421"/>
      <c r="Q614" s="1421"/>
      <c r="R614" s="313"/>
    </row>
    <row r="615" spans="1:18" ht="26.25" customHeight="1" x14ac:dyDescent="0.2">
      <c r="A615" s="1421"/>
      <c r="B615" s="1421"/>
      <c r="C615" s="1421"/>
      <c r="D615" s="1421"/>
      <c r="E615" s="1421"/>
      <c r="F615" s="1421"/>
      <c r="G615" s="1421"/>
      <c r="H615" s="1421"/>
      <c r="I615" s="1421"/>
      <c r="J615" s="1421"/>
      <c r="K615" s="1421"/>
      <c r="L615" s="1421"/>
      <c r="M615" s="1421"/>
      <c r="N615" s="1421"/>
      <c r="O615" s="1421"/>
      <c r="P615" s="1421"/>
      <c r="Q615" s="1421"/>
      <c r="R615" s="313"/>
    </row>
    <row r="616" spans="1:18" ht="26.25" customHeight="1" x14ac:dyDescent="0.2">
      <c r="A616" s="1421"/>
      <c r="B616" s="1421"/>
      <c r="C616" s="1421"/>
      <c r="D616" s="1421"/>
      <c r="E616" s="1421"/>
      <c r="F616" s="1421"/>
      <c r="G616" s="1421"/>
      <c r="H616" s="1421"/>
      <c r="I616" s="1421"/>
      <c r="J616" s="1421"/>
      <c r="K616" s="1421"/>
      <c r="L616" s="1421"/>
      <c r="M616" s="1421"/>
      <c r="N616" s="1421"/>
      <c r="O616" s="1421"/>
      <c r="P616" s="1421"/>
      <c r="Q616" s="1421"/>
      <c r="R616" s="313"/>
    </row>
  </sheetData>
  <sheetProtection algorithmName="SHA-512" hashValue="eeom05ymMA9jfKd900oElXCOjhqic9Xh2eCghGToEFnAWyGEoLvz+Q/H0sMn70pWl+/FT23onB5VGM46nOKqLA==" saltValue="GZvJ8oY3gsnCSXsLWTsxuA==" spinCount="100000" sheet="1" objects="1" scenarios="1"/>
  <mergeCells count="754">
    <mergeCell ref="R1:R4"/>
    <mergeCell ref="A425:Q425"/>
    <mergeCell ref="A426:Q427"/>
    <mergeCell ref="A428:Q428"/>
    <mergeCell ref="A429:Q430"/>
    <mergeCell ref="A412:L412"/>
    <mergeCell ref="M412:Q412"/>
    <mergeCell ref="A413:Q413"/>
    <mergeCell ref="A414:Q415"/>
    <mergeCell ref="A416:Q416"/>
    <mergeCell ref="A417:Q418"/>
    <mergeCell ref="A419:Q419"/>
    <mergeCell ref="A420:L420"/>
    <mergeCell ref="M420:Q420"/>
    <mergeCell ref="A409:Q409"/>
    <mergeCell ref="A410:L410"/>
    <mergeCell ref="M410:Q410"/>
    <mergeCell ref="A411:L411"/>
    <mergeCell ref="M411:Q411"/>
    <mergeCell ref="A421:L421"/>
    <mergeCell ref="M421:Q421"/>
    <mergeCell ref="A422:Q422"/>
    <mergeCell ref="A423:Q424"/>
    <mergeCell ref="K404:O404"/>
    <mergeCell ref="K405:O405"/>
    <mergeCell ref="A406:Q406"/>
    <mergeCell ref="A407:D407"/>
    <mergeCell ref="E407:H407"/>
    <mergeCell ref="I407:L407"/>
    <mergeCell ref="M407:Q407"/>
    <mergeCell ref="A408:D408"/>
    <mergeCell ref="E408:H408"/>
    <mergeCell ref="I408:L408"/>
    <mergeCell ref="M408:Q408"/>
    <mergeCell ref="A376:Q376"/>
    <mergeCell ref="A369:L369"/>
    <mergeCell ref="M369:Q369"/>
    <mergeCell ref="M377:Q377"/>
    <mergeCell ref="A374:Q375"/>
    <mergeCell ref="A377:L377"/>
    <mergeCell ref="O400:Q400"/>
    <mergeCell ref="A401:J402"/>
    <mergeCell ref="K402:O402"/>
    <mergeCell ref="M365:Q365"/>
    <mergeCell ref="A365:D365"/>
    <mergeCell ref="E365:H365"/>
    <mergeCell ref="I365:L365"/>
    <mergeCell ref="A366:Q366"/>
    <mergeCell ref="A367:L367"/>
    <mergeCell ref="M367:Q367"/>
    <mergeCell ref="A368:L368"/>
    <mergeCell ref="M368:Q368"/>
    <mergeCell ref="A363:Q363"/>
    <mergeCell ref="A360:J360"/>
    <mergeCell ref="K360:O360"/>
    <mergeCell ref="A361:J362"/>
    <mergeCell ref="K361:O361"/>
    <mergeCell ref="A364:D364"/>
    <mergeCell ref="E364:H364"/>
    <mergeCell ref="I364:L364"/>
    <mergeCell ref="M364:Q364"/>
    <mergeCell ref="K362:O362"/>
    <mergeCell ref="A355:D355"/>
    <mergeCell ref="E355:F355"/>
    <mergeCell ref="M355:P355"/>
    <mergeCell ref="A356:H356"/>
    <mergeCell ref="I356:J356"/>
    <mergeCell ref="K356:L356"/>
    <mergeCell ref="M356:P356"/>
    <mergeCell ref="A357:J357"/>
    <mergeCell ref="K357:N358"/>
    <mergeCell ref="O357:Q357"/>
    <mergeCell ref="A358:J359"/>
    <mergeCell ref="K359:O359"/>
    <mergeCell ref="A353:D353"/>
    <mergeCell ref="E353:L353"/>
    <mergeCell ref="M353:P353"/>
    <mergeCell ref="A351:D351"/>
    <mergeCell ref="E351:L351"/>
    <mergeCell ref="N351:Q351"/>
    <mergeCell ref="A354:D354"/>
    <mergeCell ref="E354:F354"/>
    <mergeCell ref="G354:L354"/>
    <mergeCell ref="M354:P354"/>
    <mergeCell ref="A335:L335"/>
    <mergeCell ref="M335:Q335"/>
    <mergeCell ref="A336:Q336"/>
    <mergeCell ref="A337:Q338"/>
    <mergeCell ref="A339:Q339"/>
    <mergeCell ref="A340:Q341"/>
    <mergeCell ref="A342:Q342"/>
    <mergeCell ref="A343:Q344"/>
    <mergeCell ref="A352:D352"/>
    <mergeCell ref="E352:L352"/>
    <mergeCell ref="M352:P352"/>
    <mergeCell ref="A345:Q345"/>
    <mergeCell ref="A346:Q347"/>
    <mergeCell ref="A349:M349"/>
    <mergeCell ref="N349:Q349"/>
    <mergeCell ref="A350:M350"/>
    <mergeCell ref="P350:Q350"/>
    <mergeCell ref="A326:L326"/>
    <mergeCell ref="M326:Q326"/>
    <mergeCell ref="A327:Q327"/>
    <mergeCell ref="A328:Q329"/>
    <mergeCell ref="A330:Q330"/>
    <mergeCell ref="A331:Q332"/>
    <mergeCell ref="A333:Q333"/>
    <mergeCell ref="A334:L334"/>
    <mergeCell ref="M334:Q334"/>
    <mergeCell ref="A322:D322"/>
    <mergeCell ref="E322:H322"/>
    <mergeCell ref="I322:L322"/>
    <mergeCell ref="M322:Q322"/>
    <mergeCell ref="A323:Q323"/>
    <mergeCell ref="A324:L324"/>
    <mergeCell ref="M324:Q324"/>
    <mergeCell ref="A325:L325"/>
    <mergeCell ref="M325:Q325"/>
    <mergeCell ref="A317:J317"/>
    <mergeCell ref="K317:O317"/>
    <mergeCell ref="A318:J319"/>
    <mergeCell ref="K318:O318"/>
    <mergeCell ref="K319:O319"/>
    <mergeCell ref="A320:Q320"/>
    <mergeCell ref="A321:D321"/>
    <mergeCell ref="E321:H321"/>
    <mergeCell ref="I321:L321"/>
    <mergeCell ref="M321:Q321"/>
    <mergeCell ref="A313:H313"/>
    <mergeCell ref="I313:J313"/>
    <mergeCell ref="K313:L313"/>
    <mergeCell ref="M313:P313"/>
    <mergeCell ref="A314:J314"/>
    <mergeCell ref="K314:N315"/>
    <mergeCell ref="O314:Q314"/>
    <mergeCell ref="A315:J316"/>
    <mergeCell ref="K316:O316"/>
    <mergeCell ref="A296:Q296"/>
    <mergeCell ref="A297:Q298"/>
    <mergeCell ref="E311:F311"/>
    <mergeCell ref="G311:L311"/>
    <mergeCell ref="M311:P311"/>
    <mergeCell ref="A309:D309"/>
    <mergeCell ref="E309:L309"/>
    <mergeCell ref="A300:Q301"/>
    <mergeCell ref="A302:Q302"/>
    <mergeCell ref="A303:Q304"/>
    <mergeCell ref="A308:D308"/>
    <mergeCell ref="E308:L308"/>
    <mergeCell ref="N308:Q308"/>
    <mergeCell ref="A306:M306"/>
    <mergeCell ref="N306:Q306"/>
    <mergeCell ref="A307:M307"/>
    <mergeCell ref="P307:Q307"/>
    <mergeCell ref="M309:P309"/>
    <mergeCell ref="A310:D310"/>
    <mergeCell ref="E310:L310"/>
    <mergeCell ref="M310:P310"/>
    <mergeCell ref="A311:D311"/>
    <mergeCell ref="A274:J274"/>
    <mergeCell ref="K274:O274"/>
    <mergeCell ref="A277:Q277"/>
    <mergeCell ref="A278:D278"/>
    <mergeCell ref="E278:H278"/>
    <mergeCell ref="I278:L278"/>
    <mergeCell ref="M278:Q278"/>
    <mergeCell ref="A293:Q293"/>
    <mergeCell ref="A294:Q295"/>
    <mergeCell ref="M291:Q291"/>
    <mergeCell ref="A292:L292"/>
    <mergeCell ref="M292:Q292"/>
    <mergeCell ref="A269:D269"/>
    <mergeCell ref="E269:F269"/>
    <mergeCell ref="M269:P269"/>
    <mergeCell ref="A270:H270"/>
    <mergeCell ref="I270:J270"/>
    <mergeCell ref="K270:L270"/>
    <mergeCell ref="M270:P270"/>
    <mergeCell ref="A271:J271"/>
    <mergeCell ref="K271:N272"/>
    <mergeCell ref="O271:Q271"/>
    <mergeCell ref="A272:J273"/>
    <mergeCell ref="K273:O273"/>
    <mergeCell ref="N265:Q265"/>
    <mergeCell ref="A266:D266"/>
    <mergeCell ref="E266:L266"/>
    <mergeCell ref="M266:P266"/>
    <mergeCell ref="A267:D267"/>
    <mergeCell ref="E267:L267"/>
    <mergeCell ref="M267:P267"/>
    <mergeCell ref="A268:D268"/>
    <mergeCell ref="E268:F268"/>
    <mergeCell ref="G268:L268"/>
    <mergeCell ref="M268:P268"/>
    <mergeCell ref="A265:D265"/>
    <mergeCell ref="E265:L265"/>
    <mergeCell ref="A231:J231"/>
    <mergeCell ref="K231:O231"/>
    <mergeCell ref="A239:L239"/>
    <mergeCell ref="M239:Q239"/>
    <mergeCell ref="A237:Q237"/>
    <mergeCell ref="A238:L238"/>
    <mergeCell ref="M238:Q238"/>
    <mergeCell ref="A242:Q243"/>
    <mergeCell ref="A240:L240"/>
    <mergeCell ref="M240:Q240"/>
    <mergeCell ref="A241:Q241"/>
    <mergeCell ref="A236:D236"/>
    <mergeCell ref="E236:H236"/>
    <mergeCell ref="I236:L236"/>
    <mergeCell ref="M236:Q236"/>
    <mergeCell ref="A227:H227"/>
    <mergeCell ref="I227:J227"/>
    <mergeCell ref="K227:L227"/>
    <mergeCell ref="M227:P227"/>
    <mergeCell ref="A228:J228"/>
    <mergeCell ref="K228:N229"/>
    <mergeCell ref="O228:Q228"/>
    <mergeCell ref="A229:J230"/>
    <mergeCell ref="K230:O230"/>
    <mergeCell ref="A224:D224"/>
    <mergeCell ref="E224:L224"/>
    <mergeCell ref="M224:P224"/>
    <mergeCell ref="A225:D225"/>
    <mergeCell ref="E225:F225"/>
    <mergeCell ref="G225:L225"/>
    <mergeCell ref="M225:P225"/>
    <mergeCell ref="A226:D226"/>
    <mergeCell ref="E226:F226"/>
    <mergeCell ref="M226:P226"/>
    <mergeCell ref="A210:Q210"/>
    <mergeCell ref="A211:Q212"/>
    <mergeCell ref="A213:Q213"/>
    <mergeCell ref="A214:Q215"/>
    <mergeCell ref="P221:Q221"/>
    <mergeCell ref="A222:D222"/>
    <mergeCell ref="E222:L222"/>
    <mergeCell ref="N222:Q222"/>
    <mergeCell ref="A223:D223"/>
    <mergeCell ref="E223:L223"/>
    <mergeCell ref="M223:P223"/>
    <mergeCell ref="A201:Q201"/>
    <mergeCell ref="A202:Q203"/>
    <mergeCell ref="A204:Q204"/>
    <mergeCell ref="A205:L205"/>
    <mergeCell ref="M205:Q205"/>
    <mergeCell ref="A206:L206"/>
    <mergeCell ref="M206:Q206"/>
    <mergeCell ref="A207:Q207"/>
    <mergeCell ref="A208:Q209"/>
    <mergeCell ref="A194:Q194"/>
    <mergeCell ref="A195:L195"/>
    <mergeCell ref="M195:Q195"/>
    <mergeCell ref="A196:L196"/>
    <mergeCell ref="M196:Q196"/>
    <mergeCell ref="A197:L197"/>
    <mergeCell ref="M197:Q197"/>
    <mergeCell ref="A198:Q198"/>
    <mergeCell ref="A199:Q200"/>
    <mergeCell ref="A191:Q191"/>
    <mergeCell ref="A192:D192"/>
    <mergeCell ref="E192:H192"/>
    <mergeCell ref="I192:L192"/>
    <mergeCell ref="M192:Q192"/>
    <mergeCell ref="A193:D193"/>
    <mergeCell ref="E193:H193"/>
    <mergeCell ref="I193:L193"/>
    <mergeCell ref="M193:Q193"/>
    <mergeCell ref="A185:J185"/>
    <mergeCell ref="K185:N186"/>
    <mergeCell ref="O185:Q185"/>
    <mergeCell ref="A186:J187"/>
    <mergeCell ref="K187:O187"/>
    <mergeCell ref="A188:J188"/>
    <mergeCell ref="K188:O188"/>
    <mergeCell ref="A189:J190"/>
    <mergeCell ref="K189:O189"/>
    <mergeCell ref="K190:O190"/>
    <mergeCell ref="A182:D182"/>
    <mergeCell ref="E182:F182"/>
    <mergeCell ref="G182:L182"/>
    <mergeCell ref="M182:P182"/>
    <mergeCell ref="A183:D183"/>
    <mergeCell ref="E183:F183"/>
    <mergeCell ref="M183:P183"/>
    <mergeCell ref="A184:H184"/>
    <mergeCell ref="I184:J184"/>
    <mergeCell ref="K184:L184"/>
    <mergeCell ref="M184:P184"/>
    <mergeCell ref="A179:D179"/>
    <mergeCell ref="E179:L179"/>
    <mergeCell ref="N179:Q179"/>
    <mergeCell ref="A180:D180"/>
    <mergeCell ref="E180:L180"/>
    <mergeCell ref="M180:P180"/>
    <mergeCell ref="A181:D181"/>
    <mergeCell ref="E181:L181"/>
    <mergeCell ref="M181:P181"/>
    <mergeCell ref="A167:Q167"/>
    <mergeCell ref="A168:Q169"/>
    <mergeCell ref="A170:Q170"/>
    <mergeCell ref="A171:Q172"/>
    <mergeCell ref="A173:Q173"/>
    <mergeCell ref="A174:Q175"/>
    <mergeCell ref="A177:M177"/>
    <mergeCell ref="N177:Q177"/>
    <mergeCell ref="A178:M178"/>
    <mergeCell ref="P178:Q178"/>
    <mergeCell ref="A158:Q158"/>
    <mergeCell ref="A159:Q160"/>
    <mergeCell ref="A161:Q161"/>
    <mergeCell ref="A162:L162"/>
    <mergeCell ref="M162:Q162"/>
    <mergeCell ref="A163:L163"/>
    <mergeCell ref="M163:Q163"/>
    <mergeCell ref="A164:Q164"/>
    <mergeCell ref="A165:Q166"/>
    <mergeCell ref="A151:Q151"/>
    <mergeCell ref="A152:L152"/>
    <mergeCell ref="M152:Q152"/>
    <mergeCell ref="A153:L153"/>
    <mergeCell ref="M153:Q153"/>
    <mergeCell ref="A154:L154"/>
    <mergeCell ref="M154:Q154"/>
    <mergeCell ref="A155:Q155"/>
    <mergeCell ref="A156:Q157"/>
    <mergeCell ref="A148:Q148"/>
    <mergeCell ref="A149:D149"/>
    <mergeCell ref="E149:H149"/>
    <mergeCell ref="I149:L149"/>
    <mergeCell ref="M149:Q149"/>
    <mergeCell ref="A150:D150"/>
    <mergeCell ref="E150:H150"/>
    <mergeCell ref="I150:L150"/>
    <mergeCell ref="M150:Q150"/>
    <mergeCell ref="A142:J142"/>
    <mergeCell ref="K142:N143"/>
    <mergeCell ref="O142:Q142"/>
    <mergeCell ref="A143:J144"/>
    <mergeCell ref="K144:O144"/>
    <mergeCell ref="A145:J145"/>
    <mergeCell ref="K145:O145"/>
    <mergeCell ref="A146:J147"/>
    <mergeCell ref="K146:O146"/>
    <mergeCell ref="K147:O147"/>
    <mergeCell ref="A139:D139"/>
    <mergeCell ref="E139:F139"/>
    <mergeCell ref="G139:L139"/>
    <mergeCell ref="M139:P139"/>
    <mergeCell ref="A140:D140"/>
    <mergeCell ref="E140:F140"/>
    <mergeCell ref="M140:P140"/>
    <mergeCell ref="A141:H141"/>
    <mergeCell ref="I141:J141"/>
    <mergeCell ref="K141:L141"/>
    <mergeCell ref="M141:P141"/>
    <mergeCell ref="A136:D136"/>
    <mergeCell ref="E136:L136"/>
    <mergeCell ref="N136:Q136"/>
    <mergeCell ref="A137:D137"/>
    <mergeCell ref="E137:L137"/>
    <mergeCell ref="M137:P137"/>
    <mergeCell ref="A138:D138"/>
    <mergeCell ref="E138:L138"/>
    <mergeCell ref="M138:P138"/>
    <mergeCell ref="A124:Q124"/>
    <mergeCell ref="A125:Q126"/>
    <mergeCell ref="A127:Q127"/>
    <mergeCell ref="A128:Q129"/>
    <mergeCell ref="A130:Q130"/>
    <mergeCell ref="A131:Q132"/>
    <mergeCell ref="A134:M134"/>
    <mergeCell ref="N134:Q134"/>
    <mergeCell ref="A135:M135"/>
    <mergeCell ref="P135:Q135"/>
    <mergeCell ref="A115:Q115"/>
    <mergeCell ref="A116:Q117"/>
    <mergeCell ref="A118:Q118"/>
    <mergeCell ref="A119:L119"/>
    <mergeCell ref="M119:Q119"/>
    <mergeCell ref="A120:L120"/>
    <mergeCell ref="M120:Q120"/>
    <mergeCell ref="A121:Q121"/>
    <mergeCell ref="A122:Q123"/>
    <mergeCell ref="A108:Q108"/>
    <mergeCell ref="A109:L109"/>
    <mergeCell ref="M109:Q109"/>
    <mergeCell ref="A110:L110"/>
    <mergeCell ref="M110:Q110"/>
    <mergeCell ref="A111:L111"/>
    <mergeCell ref="M111:Q111"/>
    <mergeCell ref="A112:Q112"/>
    <mergeCell ref="A113:Q114"/>
    <mergeCell ref="A105:Q105"/>
    <mergeCell ref="A106:D106"/>
    <mergeCell ref="E106:H106"/>
    <mergeCell ref="I106:L106"/>
    <mergeCell ref="M106:Q106"/>
    <mergeCell ref="A107:D107"/>
    <mergeCell ref="E107:H107"/>
    <mergeCell ref="I107:L107"/>
    <mergeCell ref="M107:Q107"/>
    <mergeCell ref="A99:J99"/>
    <mergeCell ref="K99:N100"/>
    <mergeCell ref="O99:Q99"/>
    <mergeCell ref="A100:J101"/>
    <mergeCell ref="K101:O101"/>
    <mergeCell ref="A102:J102"/>
    <mergeCell ref="K102:O102"/>
    <mergeCell ref="A103:J104"/>
    <mergeCell ref="K103:O103"/>
    <mergeCell ref="K104:O104"/>
    <mergeCell ref="A96:D96"/>
    <mergeCell ref="E96:F96"/>
    <mergeCell ref="G96:L96"/>
    <mergeCell ref="M96:P96"/>
    <mergeCell ref="A97:D97"/>
    <mergeCell ref="E97:F97"/>
    <mergeCell ref="M97:P97"/>
    <mergeCell ref="A98:H98"/>
    <mergeCell ref="I98:J98"/>
    <mergeCell ref="K98:L98"/>
    <mergeCell ref="M98:P98"/>
    <mergeCell ref="A92:M92"/>
    <mergeCell ref="P92:Q92"/>
    <mergeCell ref="A93:D93"/>
    <mergeCell ref="E93:L93"/>
    <mergeCell ref="N93:Q93"/>
    <mergeCell ref="A94:D94"/>
    <mergeCell ref="E94:L94"/>
    <mergeCell ref="M94:P94"/>
    <mergeCell ref="A95:D95"/>
    <mergeCell ref="E95:L95"/>
    <mergeCell ref="M95:P95"/>
    <mergeCell ref="A81:Q81"/>
    <mergeCell ref="A82:Q83"/>
    <mergeCell ref="A84:Q84"/>
    <mergeCell ref="A85:Q86"/>
    <mergeCell ref="A87:Q87"/>
    <mergeCell ref="A88:Q89"/>
    <mergeCell ref="P90:Q90"/>
    <mergeCell ref="A91:M91"/>
    <mergeCell ref="N91:Q91"/>
    <mergeCell ref="A72:Q72"/>
    <mergeCell ref="A73:Q74"/>
    <mergeCell ref="A75:Q75"/>
    <mergeCell ref="A76:L76"/>
    <mergeCell ref="M76:Q76"/>
    <mergeCell ref="A77:L77"/>
    <mergeCell ref="M77:Q77"/>
    <mergeCell ref="A78:Q78"/>
    <mergeCell ref="A79:Q80"/>
    <mergeCell ref="A65:Q65"/>
    <mergeCell ref="A66:L66"/>
    <mergeCell ref="M66:Q66"/>
    <mergeCell ref="A67:L67"/>
    <mergeCell ref="M67:Q67"/>
    <mergeCell ref="A68:L68"/>
    <mergeCell ref="M68:Q68"/>
    <mergeCell ref="A69:Q69"/>
    <mergeCell ref="A70:Q71"/>
    <mergeCell ref="A607:Q607"/>
    <mergeCell ref="A608:Q616"/>
    <mergeCell ref="A49:M49"/>
    <mergeCell ref="P49:Q49"/>
    <mergeCell ref="A50:D50"/>
    <mergeCell ref="E50:L50"/>
    <mergeCell ref="N50:Q50"/>
    <mergeCell ref="A51:D51"/>
    <mergeCell ref="A52:D52"/>
    <mergeCell ref="E52:L52"/>
    <mergeCell ref="A55:H55"/>
    <mergeCell ref="I55:J55"/>
    <mergeCell ref="K55:L55"/>
    <mergeCell ref="M55:P55"/>
    <mergeCell ref="E53:F53"/>
    <mergeCell ref="G53:L53"/>
    <mergeCell ref="M53:P53"/>
    <mergeCell ref="A54:D54"/>
    <mergeCell ref="A56:J56"/>
    <mergeCell ref="K56:N57"/>
    <mergeCell ref="O56:Q56"/>
    <mergeCell ref="A57:J58"/>
    <mergeCell ref="K58:O58"/>
    <mergeCell ref="A59:J59"/>
    <mergeCell ref="A596:Q596"/>
    <mergeCell ref="A597:Q605"/>
    <mergeCell ref="A561:E561"/>
    <mergeCell ref="G561:M561"/>
    <mergeCell ref="A563:J563"/>
    <mergeCell ref="K563:Q563"/>
    <mergeCell ref="A564:Q572"/>
    <mergeCell ref="A574:Q574"/>
    <mergeCell ref="M52:P52"/>
    <mergeCell ref="A53:D53"/>
    <mergeCell ref="A575:Q583"/>
    <mergeCell ref="P584:Q584"/>
    <mergeCell ref="A585:Q585"/>
    <mergeCell ref="A586:Q594"/>
    <mergeCell ref="A559:C559"/>
    <mergeCell ref="D559:E559"/>
    <mergeCell ref="F559:J559"/>
    <mergeCell ref="K559:Q559"/>
    <mergeCell ref="E54:F54"/>
    <mergeCell ref="M54:P54"/>
    <mergeCell ref="K59:O59"/>
    <mergeCell ref="A60:J61"/>
    <mergeCell ref="K60:O60"/>
    <mergeCell ref="K61:O61"/>
    <mergeCell ref="A532:Q540"/>
    <mergeCell ref="J557:P557"/>
    <mergeCell ref="A542:Q542"/>
    <mergeCell ref="A543:Q551"/>
    <mergeCell ref="P552:Q552"/>
    <mergeCell ref="A553:M553"/>
    <mergeCell ref="N553:Q553"/>
    <mergeCell ref="A554:I554"/>
    <mergeCell ref="A560:C560"/>
    <mergeCell ref="D560:E560"/>
    <mergeCell ref="F560:L560"/>
    <mergeCell ref="A555:C555"/>
    <mergeCell ref="D555:I555"/>
    <mergeCell ref="A556:C556"/>
    <mergeCell ref="D556:I556"/>
    <mergeCell ref="J556:P556"/>
    <mergeCell ref="A557:C557"/>
    <mergeCell ref="D557:I557"/>
    <mergeCell ref="A498:J498"/>
    <mergeCell ref="K498:Q498"/>
    <mergeCell ref="A499:Q507"/>
    <mergeCell ref="A509:Q509"/>
    <mergeCell ref="A510:Q518"/>
    <mergeCell ref="P519:Q519"/>
    <mergeCell ref="A520:Q520"/>
    <mergeCell ref="A521:Q529"/>
    <mergeCell ref="A531:Q531"/>
    <mergeCell ref="A494:C494"/>
    <mergeCell ref="D494:E494"/>
    <mergeCell ref="F494:J494"/>
    <mergeCell ref="K494:Q494"/>
    <mergeCell ref="A495:C495"/>
    <mergeCell ref="D495:E495"/>
    <mergeCell ref="F495:L495"/>
    <mergeCell ref="A496:E496"/>
    <mergeCell ref="G496:M496"/>
    <mergeCell ref="A489:I489"/>
    <mergeCell ref="A490:C490"/>
    <mergeCell ref="D490:I490"/>
    <mergeCell ref="A491:C491"/>
    <mergeCell ref="D491:I491"/>
    <mergeCell ref="J491:P491"/>
    <mergeCell ref="A492:C492"/>
    <mergeCell ref="D492:I492"/>
    <mergeCell ref="J492:P492"/>
    <mergeCell ref="A455:Q455"/>
    <mergeCell ref="A456:Q464"/>
    <mergeCell ref="A466:Q466"/>
    <mergeCell ref="A467:Q475"/>
    <mergeCell ref="A477:Q477"/>
    <mergeCell ref="A478:Q486"/>
    <mergeCell ref="P487:Q487"/>
    <mergeCell ref="A488:M488"/>
    <mergeCell ref="N488:Q488"/>
    <mergeCell ref="A444:Q444"/>
    <mergeCell ref="A445:Q453"/>
    <mergeCell ref="P454:Q454"/>
    <mergeCell ref="A378:L378"/>
    <mergeCell ref="M378:Q378"/>
    <mergeCell ref="A379:Q379"/>
    <mergeCell ref="A380:Q381"/>
    <mergeCell ref="A382:Q382"/>
    <mergeCell ref="A383:Q384"/>
    <mergeCell ref="A385:Q385"/>
    <mergeCell ref="A386:Q387"/>
    <mergeCell ref="A388:Q388"/>
    <mergeCell ref="A389:Q390"/>
    <mergeCell ref="A392:M392"/>
    <mergeCell ref="N392:Q392"/>
    <mergeCell ref="A393:M393"/>
    <mergeCell ref="P393:Q393"/>
    <mergeCell ref="A394:D394"/>
    <mergeCell ref="E394:L394"/>
    <mergeCell ref="N394:Q394"/>
    <mergeCell ref="A395:D395"/>
    <mergeCell ref="E395:L395"/>
    <mergeCell ref="M395:P395"/>
    <mergeCell ref="A396:D396"/>
    <mergeCell ref="A431:Q431"/>
    <mergeCell ref="A432:Q433"/>
    <mergeCell ref="A403:J403"/>
    <mergeCell ref="K403:O403"/>
    <mergeCell ref="A404:J405"/>
    <mergeCell ref="A370:Q370"/>
    <mergeCell ref="A371:Q372"/>
    <mergeCell ref="A373:Q373"/>
    <mergeCell ref="A434:Q442"/>
    <mergeCell ref="E396:L396"/>
    <mergeCell ref="M396:P396"/>
    <mergeCell ref="A397:D397"/>
    <mergeCell ref="E397:F397"/>
    <mergeCell ref="G397:L397"/>
    <mergeCell ref="M397:P397"/>
    <mergeCell ref="A398:D398"/>
    <mergeCell ref="E398:F398"/>
    <mergeCell ref="M398:P398"/>
    <mergeCell ref="A399:H399"/>
    <mergeCell ref="I399:J399"/>
    <mergeCell ref="K399:L399"/>
    <mergeCell ref="M399:P399"/>
    <mergeCell ref="A400:J400"/>
    <mergeCell ref="K400:N401"/>
    <mergeCell ref="A312:D312"/>
    <mergeCell ref="E312:F312"/>
    <mergeCell ref="M312:P312"/>
    <mergeCell ref="A299:Q299"/>
    <mergeCell ref="A275:J276"/>
    <mergeCell ref="K275:O275"/>
    <mergeCell ref="K276:O276"/>
    <mergeCell ref="A279:D279"/>
    <mergeCell ref="E279:H279"/>
    <mergeCell ref="I279:L279"/>
    <mergeCell ref="M279:Q279"/>
    <mergeCell ref="A280:Q280"/>
    <mergeCell ref="A281:L281"/>
    <mergeCell ref="M281:Q281"/>
    <mergeCell ref="A282:L282"/>
    <mergeCell ref="M282:Q282"/>
    <mergeCell ref="A283:L283"/>
    <mergeCell ref="M283:Q283"/>
    <mergeCell ref="A284:Q284"/>
    <mergeCell ref="A285:Q286"/>
    <mergeCell ref="A287:Q287"/>
    <mergeCell ref="A288:Q289"/>
    <mergeCell ref="A290:Q290"/>
    <mergeCell ref="A291:L291"/>
    <mergeCell ref="M248:Q248"/>
    <mergeCell ref="A249:L249"/>
    <mergeCell ref="M249:Q249"/>
    <mergeCell ref="A250:Q250"/>
    <mergeCell ref="A251:Q252"/>
    <mergeCell ref="A244:Q244"/>
    <mergeCell ref="A245:Q246"/>
    <mergeCell ref="A247:Q247"/>
    <mergeCell ref="A248:L248"/>
    <mergeCell ref="A253:Q253"/>
    <mergeCell ref="A254:Q255"/>
    <mergeCell ref="A256:Q256"/>
    <mergeCell ref="A257:Q258"/>
    <mergeCell ref="A259:Q259"/>
    <mergeCell ref="A260:Q261"/>
    <mergeCell ref="A263:M263"/>
    <mergeCell ref="N263:Q263"/>
    <mergeCell ref="A264:M264"/>
    <mergeCell ref="P264:Q264"/>
    <mergeCell ref="E51:L51"/>
    <mergeCell ref="M51:P51"/>
    <mergeCell ref="A232:J233"/>
    <mergeCell ref="K232:O232"/>
    <mergeCell ref="K233:O233"/>
    <mergeCell ref="I235:L235"/>
    <mergeCell ref="M235:Q235"/>
    <mergeCell ref="A216:Q216"/>
    <mergeCell ref="A217:Q218"/>
    <mergeCell ref="A220:M220"/>
    <mergeCell ref="N220:Q220"/>
    <mergeCell ref="A221:M221"/>
    <mergeCell ref="A234:Q234"/>
    <mergeCell ref="A235:D235"/>
    <mergeCell ref="E235:H235"/>
    <mergeCell ref="A62:Q62"/>
    <mergeCell ref="A63:D63"/>
    <mergeCell ref="E63:H63"/>
    <mergeCell ref="I63:L63"/>
    <mergeCell ref="M63:Q63"/>
    <mergeCell ref="A64:D64"/>
    <mergeCell ref="E64:H64"/>
    <mergeCell ref="I64:L64"/>
    <mergeCell ref="M64:Q64"/>
    <mergeCell ref="A38:Q38"/>
    <mergeCell ref="A39:Q40"/>
    <mergeCell ref="A41:Q41"/>
    <mergeCell ref="A42:Q43"/>
    <mergeCell ref="A44:Q44"/>
    <mergeCell ref="A45:Q46"/>
    <mergeCell ref="P47:Q47"/>
    <mergeCell ref="A48:M48"/>
    <mergeCell ref="N48:Q48"/>
    <mergeCell ref="A29:Q29"/>
    <mergeCell ref="A30:Q31"/>
    <mergeCell ref="A32:Q32"/>
    <mergeCell ref="A33:L33"/>
    <mergeCell ref="M33:Q33"/>
    <mergeCell ref="A34:L34"/>
    <mergeCell ref="M34:Q34"/>
    <mergeCell ref="A35:Q35"/>
    <mergeCell ref="A36:Q37"/>
    <mergeCell ref="A22:Q22"/>
    <mergeCell ref="A23:L23"/>
    <mergeCell ref="M23:Q23"/>
    <mergeCell ref="A24:L24"/>
    <mergeCell ref="M24:Q24"/>
    <mergeCell ref="A25:L25"/>
    <mergeCell ref="M25:Q25"/>
    <mergeCell ref="A26:Q26"/>
    <mergeCell ref="A27:Q28"/>
    <mergeCell ref="A19:Q19"/>
    <mergeCell ref="A20:D20"/>
    <mergeCell ref="E20:H20"/>
    <mergeCell ref="I20:L20"/>
    <mergeCell ref="M20:Q20"/>
    <mergeCell ref="A21:D21"/>
    <mergeCell ref="E21:H21"/>
    <mergeCell ref="I21:L21"/>
    <mergeCell ref="M21:Q21"/>
    <mergeCell ref="A13:J13"/>
    <mergeCell ref="K13:N14"/>
    <mergeCell ref="O13:Q13"/>
    <mergeCell ref="A14:J15"/>
    <mergeCell ref="K15:O15"/>
    <mergeCell ref="A16:J16"/>
    <mergeCell ref="K16:O16"/>
    <mergeCell ref="A17:J18"/>
    <mergeCell ref="K17:O17"/>
    <mergeCell ref="K18:O18"/>
    <mergeCell ref="A10:D10"/>
    <mergeCell ref="E10:F10"/>
    <mergeCell ref="G10:L10"/>
    <mergeCell ref="M10:P10"/>
    <mergeCell ref="A11:D11"/>
    <mergeCell ref="E11:F11"/>
    <mergeCell ref="M11:P11"/>
    <mergeCell ref="A12:H12"/>
    <mergeCell ref="I12:J12"/>
    <mergeCell ref="K12:L12"/>
    <mergeCell ref="M12:P12"/>
    <mergeCell ref="A7:D7"/>
    <mergeCell ref="E7:L7"/>
    <mergeCell ref="N7:Q7"/>
    <mergeCell ref="A8:D8"/>
    <mergeCell ref="E8:L8"/>
    <mergeCell ref="M8:P8"/>
    <mergeCell ref="A9:D9"/>
    <mergeCell ref="E9:L9"/>
    <mergeCell ref="M9:P9"/>
    <mergeCell ref="P1:Q1"/>
    <mergeCell ref="A2:H2"/>
    <mergeCell ref="I2:M2"/>
    <mergeCell ref="N2:Q2"/>
    <mergeCell ref="A3:Q4"/>
    <mergeCell ref="A5:M5"/>
    <mergeCell ref="N5:Q5"/>
    <mergeCell ref="A6:M6"/>
    <mergeCell ref="P6:Q6"/>
  </mergeCells>
  <conditionalFormatting sqref="K1">
    <cfRule type="cellIs" dxfId="82" priority="379" stopIfTrue="1" operator="notEqual">
      <formula>Code_7595</formula>
    </cfRule>
  </conditionalFormatting>
  <conditionalFormatting sqref="P1:Q1">
    <cfRule type="cellIs" dxfId="81" priority="6" stopIfTrue="1" operator="notEqual">
      <formula>Code_7596</formula>
    </cfRule>
  </conditionalFormatting>
  <dataValidations count="9">
    <dataValidation type="list" allowBlank="1" showInputMessage="1" showErrorMessage="1" sqref="A21:D21 A322:D322 A365:D365 A64:D64 A107:D107 A150:D150 A193:D193 A236:D236 A279:D279 A408:D408" xr:uid="{00000000-0002-0000-0300-000000000000}">
      <formula1>ValidProjType</formula1>
    </dataValidation>
    <dataValidation type="list" allowBlank="1" showInputMessage="1" showErrorMessage="1" sqref="E21:H21 E322:H322 E365:H365 E64:H64 E107:H107 E150:H150 E193:H193 E236:H236 E279:H279 E408:H408" xr:uid="{00000000-0002-0000-0300-000001000000}">
      <formula1>ValidSubtype1</formula1>
    </dataValidation>
    <dataValidation type="list" allowBlank="1" showInputMessage="1" showErrorMessage="1" sqref="I21:L21 I322:L322 I365:L365 I64:L64 I107:L107 I150:L150 I193:L193 I236:L236 I279:L279 I408:L408" xr:uid="{00000000-0002-0000-0300-000002000000}">
      <formula1>ValidSubtype2</formula1>
    </dataValidation>
    <dataValidation type="list" allowBlank="1" showInputMessage="1" showErrorMessage="1" sqref="M21:Q21 M322:Q322 M365:Q365 M64:Q64 M107:Q107 M150:Q150 M193:Q193 M236:Q236 M279:Q279 M408:Q408" xr:uid="{00000000-0002-0000-0300-000003000000}">
      <formula1>ValidSubtype3</formula1>
    </dataValidation>
    <dataValidation type="list" allowBlank="1" showInputMessage="1" showErrorMessage="1" sqref="M23:Q23 M324:Q324 M367:Q367 M66:Q66 M109:Q109 M152:Q152 M195:Q195 M238:Q238 M281:Q281 M410:Q410" xr:uid="{00000000-0002-0000-0300-000004000000}">
      <formula1>ValidRemote</formula1>
    </dataValidation>
    <dataValidation type="list" allowBlank="1" showInputMessage="1" showErrorMessage="1" sqref="M24:Q24 M325:Q325 M368:Q368 M67:Q67 M110:Q110 M153:Q153 M196:Q196 M239:Q239 M282:Q282 M411:Q411" xr:uid="{00000000-0002-0000-0300-000005000000}">
      <formula1>ValidCapacity</formula1>
    </dataValidation>
    <dataValidation type="list" allowBlank="1" showInputMessage="1" showErrorMessage="1" sqref="M25:Q25 M326:Q326 M369:Q369 M68:Q68 M111:Q111 M154:Q154 M197:Q197 M240:Q240 M283:Q283 M412:Q412" xr:uid="{00000000-0002-0000-0300-000006000000}">
      <formula1>ValidPriorCap</formula1>
    </dataValidation>
    <dataValidation type="list" allowBlank="1" showInputMessage="1" showErrorMessage="1" sqref="M33:Q33 M334:Q334 M377:Q377 M76:Q76 M119:Q119 M162:Q162 M205:Q205 M248:Q248 M291:Q291 M420:Q420" xr:uid="{00000000-0002-0000-0300-000007000000}">
      <formula1>ValidImpact</formula1>
    </dataValidation>
    <dataValidation type="list" allowBlank="1" showInputMessage="1" showErrorMessage="1" sqref="M34:Q34 M335:Q335 M378:Q378 M77:Q77 M120:Q120 M163:Q163 M206:Q206 M249:Q249 M292:Q292 M421:Q421" xr:uid="{00000000-0002-0000-0300-000008000000}">
      <formula1>ValidEvidence</formula1>
    </dataValidation>
  </dataValidations>
  <hyperlinks>
    <hyperlink ref="A6:I6" location="cap_exp_contact" display="cap_exp_contact" xr:uid="{00000000-0004-0000-0300-000000000000}"/>
    <hyperlink ref="G10:L10" location="Definitions!A66" display="Definition of Spending Commitment Date" xr:uid="{00000000-0004-0000-0300-000001000000}"/>
    <hyperlink ref="O13" location="def_exceptions" display="Definition" xr:uid="{00000000-0004-0000-0300-000002000000}"/>
    <hyperlink ref="O13:Q13" location="Definitions!A77" display="Exceptions Definitions" xr:uid="{00000000-0004-0000-0300-000003000000}"/>
    <hyperlink ref="I2:M2" location="Definitions!A77" display="Retrospective Review Reporting Exceptions" xr:uid="{00000000-0004-0000-0300-000004000000}"/>
    <hyperlink ref="A6:M6" location="Cap_Expend_Name" display="Cap_Expend_Name" xr:uid="{00000000-0004-0000-0300-000005000000}"/>
    <hyperlink ref="A49:I49" location="cap_exp_contact" display="cap_exp_contact" xr:uid="{00000000-0004-0000-0300-000006000000}"/>
    <hyperlink ref="G53:L53" location="Definitions!A66" display="Definition of Spending Commitment Date" xr:uid="{00000000-0004-0000-0300-000007000000}"/>
    <hyperlink ref="O56" location="def_exceptions" display="Definition" xr:uid="{00000000-0004-0000-0300-000008000000}"/>
    <hyperlink ref="O56:Q56" location="Definitions!A74" display="Exceptions Definitions" xr:uid="{00000000-0004-0000-0300-000009000000}"/>
    <hyperlink ref="A49:M49" location="Cap_Expend_Name" display="Cap_Expend_Name" xr:uid="{00000000-0004-0000-0300-00000A000000}"/>
    <hyperlink ref="A92:I92" location="cap_exp_contact" display="cap_exp_contact" xr:uid="{00000000-0004-0000-0300-00000B000000}"/>
    <hyperlink ref="G96:L96" location="Definitions!A66" display="Definition of Spending Commitment Date" xr:uid="{00000000-0004-0000-0300-00000C000000}"/>
    <hyperlink ref="O99" location="def_exceptions" display="Definition" xr:uid="{00000000-0004-0000-0300-00000D000000}"/>
    <hyperlink ref="O99:Q99" location="Definitions!A74" display="Exceptions Definitions" xr:uid="{00000000-0004-0000-0300-00000E000000}"/>
    <hyperlink ref="A92:M92" location="Cap_Expend_Name" display="Cap_Expend_Name" xr:uid="{00000000-0004-0000-0300-00000F000000}"/>
    <hyperlink ref="A135:I135" location="cap_exp_contact" display="cap_exp_contact" xr:uid="{00000000-0004-0000-0300-000010000000}"/>
    <hyperlink ref="G139:L139" location="Definitions!A66" display="Definition of Spending Commitment Date" xr:uid="{00000000-0004-0000-0300-000011000000}"/>
    <hyperlink ref="O142" location="def_exceptions" display="Definition" xr:uid="{00000000-0004-0000-0300-000012000000}"/>
    <hyperlink ref="O142:Q142" location="Definitions!A74" display="Exceptions Definitions" xr:uid="{00000000-0004-0000-0300-000013000000}"/>
    <hyperlink ref="A135:M135" location="Cap_Expend_Name" display="Cap_Expend_Name" xr:uid="{00000000-0004-0000-0300-000014000000}"/>
    <hyperlink ref="A178:I178" location="cap_exp_contact" display="cap_exp_contact" xr:uid="{00000000-0004-0000-0300-000015000000}"/>
    <hyperlink ref="G182:L182" location="Definitions!A66" display="Definition of Spending Commitment Date" xr:uid="{00000000-0004-0000-0300-000016000000}"/>
    <hyperlink ref="O185" location="def_exceptions" display="Definition" xr:uid="{00000000-0004-0000-0300-000017000000}"/>
    <hyperlink ref="O185:Q185" location="Definitions!A74" display="Exceptions Definitions" xr:uid="{00000000-0004-0000-0300-000018000000}"/>
    <hyperlink ref="A178:M178" location="Cap_Expend_Name" display="Cap_Expend_Name" xr:uid="{00000000-0004-0000-0300-000019000000}"/>
    <hyperlink ref="A221:I221" location="cap_exp_contact" display="cap_exp_contact" xr:uid="{00000000-0004-0000-0300-00001A000000}"/>
    <hyperlink ref="G225:L225" location="Definitions!A66" display="Definition of Spending Commitment Date" xr:uid="{00000000-0004-0000-0300-00001B000000}"/>
    <hyperlink ref="O228" location="def_exceptions" display="Definition" xr:uid="{00000000-0004-0000-0300-00001C000000}"/>
    <hyperlink ref="O228:Q228" location="Definitions!A74" display="Exceptions Definitions" xr:uid="{00000000-0004-0000-0300-00001D000000}"/>
    <hyperlink ref="A221:M221" location="Cap_Expend_Name" display="Cap_Expend_Name" xr:uid="{00000000-0004-0000-0300-00001E000000}"/>
    <hyperlink ref="A264:I264" location="cap_exp_contact" display="cap_exp_contact" xr:uid="{00000000-0004-0000-0300-00001F000000}"/>
    <hyperlink ref="G268:L268" location="Definitions!A66" display="Definition of Spending Commitment Date" xr:uid="{00000000-0004-0000-0300-000020000000}"/>
    <hyperlink ref="O271" location="def_exceptions" display="Definition" xr:uid="{00000000-0004-0000-0300-000021000000}"/>
    <hyperlink ref="O271:Q271" location="Definitions!A74" display="Exceptions Definitions" xr:uid="{00000000-0004-0000-0300-000022000000}"/>
    <hyperlink ref="A264:M264" location="Cap_Expend_Name" display="Cap_Expend_Name" xr:uid="{00000000-0004-0000-0300-000023000000}"/>
    <hyperlink ref="A307:I307" location="cap_exp_contact" display="cap_exp_contact" xr:uid="{00000000-0004-0000-0300-000024000000}"/>
    <hyperlink ref="G311:L311" location="Definitions!A66" display="Definition of Spending Commitment Date" xr:uid="{00000000-0004-0000-0300-000025000000}"/>
    <hyperlink ref="O314" location="def_exceptions" display="Definition" xr:uid="{00000000-0004-0000-0300-000026000000}"/>
    <hyperlink ref="O314:Q314" location="Definitions!A74" display="Exceptions Definitions" xr:uid="{00000000-0004-0000-0300-000027000000}"/>
    <hyperlink ref="A307:M307" location="Cap_Expend_Name" display="Cap_Expend_Name" xr:uid="{00000000-0004-0000-0300-000028000000}"/>
    <hyperlink ref="A350:I350" location="cap_exp_contact" display="cap_exp_contact" xr:uid="{00000000-0004-0000-0300-000029000000}"/>
    <hyperlink ref="G354:L354" location="Definitions!A66" display="Definition of Spending Commitment Date" xr:uid="{00000000-0004-0000-0300-00002A000000}"/>
    <hyperlink ref="O357" location="def_exceptions" display="Definition" xr:uid="{00000000-0004-0000-0300-00002B000000}"/>
    <hyperlink ref="O357:Q357" location="Definitions!A74" display="Exceptions Definitions" xr:uid="{00000000-0004-0000-0300-00002C000000}"/>
    <hyperlink ref="A350:M350" location="Cap_Expend_Name" display="Cap_Expend_Name" xr:uid="{00000000-0004-0000-0300-00002D000000}"/>
    <hyperlink ref="A393:I393" location="cap_exp_contact" display="cap_exp_contact" xr:uid="{00000000-0004-0000-0300-00002E000000}"/>
    <hyperlink ref="G397:L397" location="Definitions!A66" display="Definition of Spending Commitment Date" xr:uid="{00000000-0004-0000-0300-00002F000000}"/>
    <hyperlink ref="O400" location="def_exceptions" display="Definition" xr:uid="{00000000-0004-0000-0300-000030000000}"/>
    <hyperlink ref="O400:Q400" location="Definitions!A74" display="Exceptions Definitions" xr:uid="{00000000-0004-0000-0300-000031000000}"/>
    <hyperlink ref="R1:R4" location="'Prior Cap Exp Report'!A1" display="Please check here to ensure this project has not be reported in a previous year." xr:uid="{00000000-0004-0000-0300-000032000000}"/>
    <hyperlink ref="A393:M393" location="Cap_Expend_Name" display="Cap_Expend_Name" xr:uid="{00000000-0004-0000-0300-000033000000}"/>
  </hyperlinks>
  <printOptions horizontalCentered="1"/>
  <pageMargins left="0.75" right="0.75" top="1" bottom="1" header="0.5" footer="0.5"/>
  <pageSetup scale="55" orientation="portrait" r:id="rId1"/>
  <headerFooter alignWithMargins="0">
    <oddFooter xml:space="preserve">&amp;LMDH
www.health.state.mn.us/data/economics/hccis/index.html
Phone: 651-201-3572 
Fax: 651-201-5179
&amp;CPage &amp;P
2021 Hospital Annual Report
Health Care Cost  Information System (HCCIS)&amp;RMHA
Jsanislo@mnhospitals.org
Phone: 651-659-1440 
Fax: 651-659-1477
</oddFooter>
  </headerFooter>
  <rowBreaks count="9" manualBreakCount="9">
    <brk id="46" max="17" man="1"/>
    <brk id="89" max="17" man="1"/>
    <brk id="132" max="17" man="1"/>
    <brk id="175" max="17" man="1"/>
    <brk id="218" max="17" man="1"/>
    <brk id="261" max="17" man="1"/>
    <brk id="304" max="17" man="1"/>
    <brk id="347" max="17" man="1"/>
    <brk id="390" max="17" man="1"/>
  </rowBreaks>
  <extLst>
    <ext xmlns:x14="http://schemas.microsoft.com/office/spreadsheetml/2009/9/main" uri="{78C0D931-6437-407d-A8EE-F0AAD7539E65}">
      <x14:conditionalFormattings>
        <x14:conditionalFormatting xmlns:xm="http://schemas.microsoft.com/office/excel/2006/main">
          <x14:cfRule type="expression" priority="5" id="{761398EE-DC27-42D6-90A7-AAD1AE06DCB0}">
            <xm:f>IF(AND('2021 HAR'!$L$750="",'2021 HAR'!$M$750="X"),TRUE,FALSE)</xm:f>
            <x14:dxf>
              <fill>
                <patternFill>
                  <bgColor rgb="FFC0C0C0"/>
                </patternFill>
              </fill>
            </x14:dxf>
          </x14:cfRule>
          <xm:sqref>E7:L9 E10:F11 I12 A14 A17 P15:Q18 A21:Q21 M23:Q25 A27 A30 M33:Q34 A36 A39 A42 A45 E50:L52 E53:F54 I55 A57 A60 P58:Q61 A64:Q64 M66:Q68 A70 A73 M76:Q77 A79 A82 A85 A88 E96:F97 I98 A100 A103 P101:Q104 A107:Q107 M109:Q111 A113 A116 M119:Q120 A122 A125 A128 A131 E136:L138 E139:F140 I141 A143 A146 P144:Q147 A150:Q150 M152:Q154 A156 A159 M162:Q163 A165 A168 A171 A174 E182:F183 I184 A186 A189 P187:Q190 A193:Q193 M195:Q197 A199 A202 M205:Q206 A208 A211 A214 A217 E222:L224 E225:F226 I227 A229 A232 P230:Q233 A236:Q236 M238:Q240 A242 A245 M248:Q249 A251 A254 A257 A260 E268:F269 I270 A272 A275 P273:Q276 A279:Q279 M281:Q283 A285 A288 M291:Q292 A294 A297 A300 A303 E308:L310 E311:F312 I313 A315 A318 P316:Q319 A322:Q322 M324:Q326 A328 A331 M334:Q335 A337 A340 A343 A346 E354:F355 I356 A358 A361 P359:Q362 A365:Q365 M367:Q369 A371 A374 M377:Q378 A380 A383 A386 A389 E394:L396 E397:F398 I399 A401 A404 P402:Q405 A408:Q408 M410:Q412 A414 A417 M420:Q421 A423 A426 A429 A432</xm:sqref>
        </x14:conditionalFormatting>
        <x14:conditionalFormatting xmlns:xm="http://schemas.microsoft.com/office/excel/2006/main">
          <x14:cfRule type="expression" priority="4" id="{477CEAA9-9A13-4124-AA43-1105DD23566D}">
            <xm:f>IF(AND('2021 HAR'!$L$750="",'2021 HAR'!$M$750="X"),TRUE,FALSE)</xm:f>
            <x14:dxf>
              <fill>
                <patternFill>
                  <bgColor rgb="FFC0C0C0"/>
                </patternFill>
              </fill>
            </x14:dxf>
          </x14:cfRule>
          <xm:sqref>E93:L95</xm:sqref>
        </x14:conditionalFormatting>
        <x14:conditionalFormatting xmlns:xm="http://schemas.microsoft.com/office/excel/2006/main">
          <x14:cfRule type="expression" priority="3" id="{80754486-762A-4495-9409-C380C18B2EA8}">
            <xm:f>IF(AND('2021 HAR'!$L$750="",'2021 HAR'!$M$750="X"),TRUE,FALSE)</xm:f>
            <x14:dxf>
              <fill>
                <patternFill>
                  <bgColor rgb="FFC0C0C0"/>
                </patternFill>
              </fill>
            </x14:dxf>
          </x14:cfRule>
          <xm:sqref>E179:L181</xm:sqref>
        </x14:conditionalFormatting>
        <x14:conditionalFormatting xmlns:xm="http://schemas.microsoft.com/office/excel/2006/main">
          <x14:cfRule type="expression" priority="2" id="{C9342169-C8B2-4911-96D3-1FB14B40D83D}">
            <xm:f>IF(AND('2021 HAR'!$L$750="",'2021 HAR'!$M$750="X"),TRUE,FALSE)</xm:f>
            <x14:dxf>
              <fill>
                <patternFill>
                  <bgColor rgb="FFC0C0C0"/>
                </patternFill>
              </fill>
            </x14:dxf>
          </x14:cfRule>
          <xm:sqref>E265:L267</xm:sqref>
        </x14:conditionalFormatting>
        <x14:conditionalFormatting xmlns:xm="http://schemas.microsoft.com/office/excel/2006/main">
          <x14:cfRule type="expression" priority="1" id="{BEB88833-4FE7-4D62-BECB-3486D397DFE7}">
            <xm:f>IF(AND('2021 HAR'!$L$750="",'2021 HAR'!$M$750="X"),TRUE,FALSE)</xm:f>
            <x14:dxf>
              <fill>
                <patternFill>
                  <bgColor rgb="FFC0C0C0"/>
                </patternFill>
              </fill>
            </x14:dxf>
          </x14:cfRule>
          <xm:sqref>E351:L353</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pageSetUpPr fitToPage="1"/>
  </sheetPr>
  <dimension ref="A1:AA1546"/>
  <sheetViews>
    <sheetView view="pageBreakPreview" zoomScaleNormal="100" zoomScaleSheetLayoutView="100" workbookViewId="0">
      <selection sqref="A1:I1"/>
    </sheetView>
  </sheetViews>
  <sheetFormatPr defaultColWidth="9.140625" defaultRowHeight="12.75" x14ac:dyDescent="0.2"/>
  <cols>
    <col min="1" max="2" width="9.140625" style="2"/>
    <col min="3" max="3" width="34.42578125" style="66" customWidth="1"/>
    <col min="4" max="4" width="24.28515625" style="66" customWidth="1"/>
    <col min="5" max="5" width="12.42578125" style="66" bestFit="1" customWidth="1"/>
    <col min="6" max="7" width="14.85546875" style="66" customWidth="1"/>
    <col min="8" max="8" width="5.7109375" style="66" bestFit="1" customWidth="1"/>
    <col min="9" max="9" width="10.5703125" style="66" bestFit="1" customWidth="1"/>
    <col min="10" max="11" width="11.7109375" style="66" customWidth="1"/>
    <col min="12" max="12" width="11" style="66" bestFit="1" customWidth="1"/>
    <col min="13" max="13" width="11.7109375" style="66" customWidth="1"/>
    <col min="14" max="14" width="17.5703125" style="66" customWidth="1"/>
    <col min="15" max="16384" width="9.140625" style="66"/>
  </cols>
  <sheetData>
    <row r="1" spans="1:27" ht="22.5" customHeight="1" x14ac:dyDescent="0.2">
      <c r="A1" s="1441" t="str">
        <f>'2021 HAR'!$A$33</f>
        <v xml:space="preserve"> </v>
      </c>
      <c r="B1" s="1442"/>
      <c r="C1" s="1442"/>
      <c r="D1" s="1442"/>
      <c r="E1" s="1442"/>
      <c r="F1" s="1442"/>
      <c r="G1" s="1442"/>
      <c r="H1" s="1442"/>
      <c r="I1" s="1442"/>
      <c r="J1" s="252"/>
      <c r="K1" s="252"/>
      <c r="L1" s="252"/>
      <c r="M1" s="252"/>
    </row>
    <row r="2" spans="1:27" ht="106.5" customHeight="1" x14ac:dyDescent="0.2">
      <c r="A2" s="1447" t="s">
        <v>1192</v>
      </c>
      <c r="B2" s="1447"/>
      <c r="C2" s="1447"/>
      <c r="D2" s="1447"/>
      <c r="E2" s="1447"/>
      <c r="F2" s="1447"/>
      <c r="G2" s="1447"/>
      <c r="H2" s="1447"/>
      <c r="I2" s="1447"/>
      <c r="J2" s="1447"/>
      <c r="K2" s="1447"/>
      <c r="L2" s="1447"/>
      <c r="M2" s="1447"/>
      <c r="N2" s="1447"/>
    </row>
    <row r="3" spans="1:27" ht="25.5" customHeight="1" x14ac:dyDescent="0.2">
      <c r="A3" s="1445" t="s">
        <v>1580</v>
      </c>
      <c r="B3" s="1446"/>
      <c r="C3" s="1446"/>
      <c r="D3" s="1446"/>
      <c r="E3" s="1446"/>
      <c r="F3" s="1446"/>
      <c r="G3" s="1446"/>
      <c r="H3" s="1446"/>
      <c r="I3" s="1446"/>
      <c r="J3" s="1446"/>
      <c r="K3" s="1446"/>
      <c r="L3" s="1446"/>
      <c r="M3" s="1446"/>
      <c r="N3" s="1446"/>
    </row>
    <row r="4" spans="1:27" ht="100.5" customHeight="1" x14ac:dyDescent="0.2">
      <c r="A4" s="1451" t="s">
        <v>1391</v>
      </c>
      <c r="B4" s="1452"/>
      <c r="C4" s="1443" t="s">
        <v>1392</v>
      </c>
      <c r="D4" s="1443" t="s">
        <v>1393</v>
      </c>
      <c r="E4" s="1443" t="s">
        <v>1394</v>
      </c>
      <c r="F4" s="1443" t="s">
        <v>83</v>
      </c>
      <c r="G4" s="1443" t="s">
        <v>86</v>
      </c>
      <c r="H4" s="1443" t="s">
        <v>595</v>
      </c>
      <c r="I4" s="1443" t="s">
        <v>596</v>
      </c>
      <c r="J4" s="1443" t="s">
        <v>598</v>
      </c>
      <c r="K4" s="1443" t="s">
        <v>599</v>
      </c>
      <c r="L4" s="1443" t="s">
        <v>76</v>
      </c>
      <c r="M4" s="1448" t="s">
        <v>1395</v>
      </c>
      <c r="N4" s="1448" t="s">
        <v>2399</v>
      </c>
    </row>
    <row r="5" spans="1:27" ht="30" customHeight="1" x14ac:dyDescent="0.2">
      <c r="A5" s="253" t="s">
        <v>91</v>
      </c>
      <c r="B5" s="253" t="s">
        <v>92</v>
      </c>
      <c r="C5" s="1444"/>
      <c r="D5" s="1444" t="s">
        <v>1393</v>
      </c>
      <c r="E5" s="1444" t="s">
        <v>1394</v>
      </c>
      <c r="F5" s="1444" t="s">
        <v>83</v>
      </c>
      <c r="G5" s="1444" t="s">
        <v>86</v>
      </c>
      <c r="H5" s="1444" t="s">
        <v>595</v>
      </c>
      <c r="I5" s="1444" t="s">
        <v>596</v>
      </c>
      <c r="J5" s="1444" t="s">
        <v>598</v>
      </c>
      <c r="K5" s="1444" t="s">
        <v>599</v>
      </c>
      <c r="L5" s="1444" t="s">
        <v>76</v>
      </c>
      <c r="M5" s="1449" t="s">
        <v>1395</v>
      </c>
      <c r="N5" s="1449"/>
    </row>
    <row r="6" spans="1:27" s="256" customFormat="1" ht="35.1" customHeight="1" x14ac:dyDescent="0.2">
      <c r="A6" s="501"/>
      <c r="B6" s="501"/>
      <c r="C6" s="497"/>
      <c r="D6" s="498"/>
      <c r="E6" s="498"/>
      <c r="F6" s="496"/>
      <c r="G6" s="498"/>
      <c r="H6" s="480"/>
      <c r="I6" s="496"/>
      <c r="J6" s="498"/>
      <c r="K6" s="496"/>
      <c r="L6" s="496"/>
      <c r="M6" s="496"/>
      <c r="N6" s="264"/>
      <c r="O6" s="495" t="str">
        <f>IF(AND(ISBLANK(C6),NOT(ISBLANK(M6))),"Please use one line per offsite location","")</f>
        <v/>
      </c>
    </row>
    <row r="7" spans="1:27" s="256" customFormat="1" ht="35.1" customHeight="1" x14ac:dyDescent="0.2">
      <c r="A7" s="502"/>
      <c r="B7" s="501"/>
      <c r="C7" s="497"/>
      <c r="D7" s="498"/>
      <c r="E7" s="498"/>
      <c r="F7" s="264"/>
      <c r="G7" s="264"/>
      <c r="H7" s="254"/>
      <c r="I7" s="498"/>
      <c r="J7" s="498"/>
      <c r="K7" s="498"/>
      <c r="L7" s="498"/>
      <c r="M7" s="496"/>
      <c r="N7" s="264"/>
      <c r="O7" s="495" t="str">
        <f t="shared" ref="O7:O37" si="0">IF(AND(ISBLANK(C7),NOT(ISBLANK(M7))),"Please use one line per offsite location","")</f>
        <v/>
      </c>
      <c r="AA7" s="481"/>
    </row>
    <row r="8" spans="1:27" s="256" customFormat="1" ht="35.1" customHeight="1" x14ac:dyDescent="0.2">
      <c r="A8" s="502"/>
      <c r="B8" s="501"/>
      <c r="C8" s="497"/>
      <c r="D8" s="498"/>
      <c r="E8" s="498"/>
      <c r="F8" s="498"/>
      <c r="G8" s="498"/>
      <c r="H8" s="254"/>
      <c r="I8" s="498"/>
      <c r="J8" s="498"/>
      <c r="K8" s="498"/>
      <c r="L8" s="498"/>
      <c r="M8" s="496"/>
      <c r="N8" s="264"/>
      <c r="O8" s="495" t="str">
        <f t="shared" si="0"/>
        <v/>
      </c>
      <c r="AA8" s="481" t="s">
        <v>2388</v>
      </c>
    </row>
    <row r="9" spans="1:27" s="256" customFormat="1" ht="35.1" customHeight="1" x14ac:dyDescent="0.2">
      <c r="A9" s="502"/>
      <c r="B9" s="501"/>
      <c r="C9" s="497"/>
      <c r="D9" s="498"/>
      <c r="E9" s="498"/>
      <c r="F9" s="498"/>
      <c r="G9" s="498"/>
      <c r="H9" s="254"/>
      <c r="I9" s="498"/>
      <c r="J9" s="498"/>
      <c r="K9" s="498"/>
      <c r="L9" s="498"/>
      <c r="M9" s="496"/>
      <c r="N9" s="264"/>
      <c r="O9" s="495" t="str">
        <f t="shared" si="0"/>
        <v/>
      </c>
      <c r="AA9" s="481" t="s">
        <v>2389</v>
      </c>
    </row>
    <row r="10" spans="1:27" s="256" customFormat="1" ht="35.1" customHeight="1" x14ac:dyDescent="0.2">
      <c r="A10" s="502"/>
      <c r="B10" s="501"/>
      <c r="C10" s="497"/>
      <c r="D10" s="498"/>
      <c r="E10" s="498"/>
      <c r="F10" s="498"/>
      <c r="G10" s="498"/>
      <c r="H10" s="254"/>
      <c r="I10" s="498"/>
      <c r="J10" s="498"/>
      <c r="K10" s="498"/>
      <c r="L10" s="498"/>
      <c r="M10" s="496"/>
      <c r="N10" s="264"/>
      <c r="O10" s="495" t="str">
        <f t="shared" si="0"/>
        <v/>
      </c>
      <c r="AA10" s="481" t="s">
        <v>2390</v>
      </c>
    </row>
    <row r="11" spans="1:27" s="256" customFormat="1" ht="35.1" customHeight="1" x14ac:dyDescent="0.2">
      <c r="A11" s="502"/>
      <c r="B11" s="501"/>
      <c r="C11" s="497"/>
      <c r="D11" s="498"/>
      <c r="E11" s="498"/>
      <c r="F11" s="498"/>
      <c r="G11" s="498"/>
      <c r="H11" s="254"/>
      <c r="I11" s="498"/>
      <c r="J11" s="498"/>
      <c r="K11" s="498"/>
      <c r="L11" s="498"/>
      <c r="M11" s="496"/>
      <c r="N11" s="264"/>
      <c r="O11" s="495" t="str">
        <f t="shared" si="0"/>
        <v/>
      </c>
      <c r="AA11" s="481" t="s">
        <v>2391</v>
      </c>
    </row>
    <row r="12" spans="1:27" s="256" customFormat="1" ht="35.1" customHeight="1" x14ac:dyDescent="0.2">
      <c r="A12" s="502"/>
      <c r="B12" s="501"/>
      <c r="C12" s="497"/>
      <c r="D12" s="498"/>
      <c r="E12" s="498"/>
      <c r="F12" s="498"/>
      <c r="G12" s="498"/>
      <c r="H12" s="254"/>
      <c r="I12" s="498"/>
      <c r="J12" s="498"/>
      <c r="K12" s="498"/>
      <c r="L12" s="498"/>
      <c r="M12" s="496"/>
      <c r="N12" s="264"/>
      <c r="O12" s="495" t="str">
        <f t="shared" si="0"/>
        <v/>
      </c>
      <c r="AA12" s="481" t="s">
        <v>2392</v>
      </c>
    </row>
    <row r="13" spans="1:27" s="256" customFormat="1" ht="35.1" customHeight="1" x14ac:dyDescent="0.2">
      <c r="A13" s="502"/>
      <c r="B13" s="501"/>
      <c r="C13" s="497"/>
      <c r="D13" s="498"/>
      <c r="E13" s="498"/>
      <c r="F13" s="498"/>
      <c r="G13" s="498"/>
      <c r="H13" s="254"/>
      <c r="I13" s="498"/>
      <c r="J13" s="498"/>
      <c r="K13" s="498"/>
      <c r="L13" s="498"/>
      <c r="M13" s="496"/>
      <c r="N13" s="264"/>
      <c r="O13" s="495" t="str">
        <f t="shared" si="0"/>
        <v/>
      </c>
      <c r="AA13" s="481" t="s">
        <v>2393</v>
      </c>
    </row>
    <row r="14" spans="1:27" s="256" customFormat="1" ht="35.1" customHeight="1" x14ac:dyDescent="0.2">
      <c r="A14" s="502"/>
      <c r="B14" s="501"/>
      <c r="C14" s="499"/>
      <c r="D14" s="500"/>
      <c r="E14" s="500"/>
      <c r="F14" s="500"/>
      <c r="G14" s="500"/>
      <c r="H14" s="257"/>
      <c r="I14" s="500"/>
      <c r="J14" s="500"/>
      <c r="K14" s="500"/>
      <c r="L14" s="500"/>
      <c r="M14" s="496"/>
      <c r="N14" s="264"/>
      <c r="O14" s="495" t="str">
        <f t="shared" si="0"/>
        <v/>
      </c>
      <c r="AA14" s="481" t="s">
        <v>2394</v>
      </c>
    </row>
    <row r="15" spans="1:27" s="256" customFormat="1" ht="35.1" customHeight="1" x14ac:dyDescent="0.2">
      <c r="A15" s="502"/>
      <c r="B15" s="501"/>
      <c r="C15" s="499"/>
      <c r="D15" s="500"/>
      <c r="E15" s="500"/>
      <c r="F15" s="500"/>
      <c r="G15" s="500"/>
      <c r="H15" s="257"/>
      <c r="I15" s="500"/>
      <c r="J15" s="500"/>
      <c r="K15" s="500"/>
      <c r="L15" s="500"/>
      <c r="M15" s="496"/>
      <c r="N15" s="264"/>
      <c r="O15" s="495" t="str">
        <f t="shared" si="0"/>
        <v/>
      </c>
      <c r="AA15" s="481"/>
    </row>
    <row r="16" spans="1:27" s="256" customFormat="1" ht="35.1" customHeight="1" x14ac:dyDescent="0.2">
      <c r="A16" s="502"/>
      <c r="B16" s="501"/>
      <c r="C16" s="499"/>
      <c r="D16" s="500"/>
      <c r="E16" s="500"/>
      <c r="F16" s="500"/>
      <c r="G16" s="500"/>
      <c r="H16" s="257"/>
      <c r="I16" s="500"/>
      <c r="J16" s="500"/>
      <c r="K16" s="500"/>
      <c r="L16" s="500"/>
      <c r="M16" s="496"/>
      <c r="N16" s="264"/>
      <c r="O16" s="495" t="str">
        <f t="shared" si="0"/>
        <v/>
      </c>
    </row>
    <row r="17" spans="1:15" s="256" customFormat="1" ht="35.1" customHeight="1" x14ac:dyDescent="0.2">
      <c r="A17" s="502"/>
      <c r="B17" s="501"/>
      <c r="C17" s="499"/>
      <c r="D17" s="500"/>
      <c r="E17" s="500"/>
      <c r="F17" s="500"/>
      <c r="G17" s="500"/>
      <c r="H17" s="257"/>
      <c r="I17" s="500"/>
      <c r="J17" s="500"/>
      <c r="K17" s="500"/>
      <c r="L17" s="500"/>
      <c r="M17" s="496"/>
      <c r="N17" s="264"/>
      <c r="O17" s="495" t="str">
        <f t="shared" si="0"/>
        <v/>
      </c>
    </row>
    <row r="18" spans="1:15" s="256" customFormat="1" ht="35.1" customHeight="1" x14ac:dyDescent="0.2">
      <c r="A18" s="502"/>
      <c r="B18" s="501"/>
      <c r="C18" s="499"/>
      <c r="D18" s="500"/>
      <c r="E18" s="500"/>
      <c r="F18" s="500"/>
      <c r="G18" s="500"/>
      <c r="H18" s="257"/>
      <c r="I18" s="500"/>
      <c r="J18" s="500"/>
      <c r="K18" s="500"/>
      <c r="L18" s="500"/>
      <c r="M18" s="496"/>
      <c r="N18" s="264"/>
      <c r="O18" s="495" t="str">
        <f t="shared" si="0"/>
        <v/>
      </c>
    </row>
    <row r="19" spans="1:15" s="256" customFormat="1" ht="35.1" customHeight="1" x14ac:dyDescent="0.2">
      <c r="A19" s="502"/>
      <c r="B19" s="501"/>
      <c r="C19" s="499"/>
      <c r="D19" s="500"/>
      <c r="E19" s="500"/>
      <c r="F19" s="500"/>
      <c r="G19" s="500"/>
      <c r="H19" s="257"/>
      <c r="I19" s="500"/>
      <c r="J19" s="500"/>
      <c r="K19" s="500"/>
      <c r="L19" s="500"/>
      <c r="M19" s="496"/>
      <c r="N19" s="264"/>
      <c r="O19" s="495" t="str">
        <f t="shared" si="0"/>
        <v/>
      </c>
    </row>
    <row r="20" spans="1:15" s="256" customFormat="1" ht="35.1" customHeight="1" x14ac:dyDescent="0.2">
      <c r="A20" s="502"/>
      <c r="B20" s="501"/>
      <c r="C20" s="499"/>
      <c r="D20" s="500"/>
      <c r="E20" s="500"/>
      <c r="F20" s="500"/>
      <c r="G20" s="500"/>
      <c r="H20" s="257"/>
      <c r="I20" s="500"/>
      <c r="J20" s="500"/>
      <c r="K20" s="500"/>
      <c r="L20" s="500"/>
      <c r="M20" s="496"/>
      <c r="N20" s="264"/>
      <c r="O20" s="495" t="str">
        <f t="shared" si="0"/>
        <v/>
      </c>
    </row>
    <row r="21" spans="1:15" s="256" customFormat="1" ht="35.1" customHeight="1" x14ac:dyDescent="0.2">
      <c r="A21" s="502"/>
      <c r="B21" s="501"/>
      <c r="C21" s="499"/>
      <c r="D21" s="500"/>
      <c r="E21" s="500"/>
      <c r="F21" s="500"/>
      <c r="G21" s="500"/>
      <c r="H21" s="257"/>
      <c r="I21" s="500"/>
      <c r="J21" s="500"/>
      <c r="K21" s="500"/>
      <c r="L21" s="500"/>
      <c r="M21" s="496"/>
      <c r="N21" s="264"/>
      <c r="O21" s="495" t="str">
        <f t="shared" si="0"/>
        <v/>
      </c>
    </row>
    <row r="22" spans="1:15" s="256" customFormat="1" ht="35.1" customHeight="1" x14ac:dyDescent="0.2">
      <c r="A22" s="502"/>
      <c r="B22" s="501"/>
      <c r="C22" s="499"/>
      <c r="D22" s="500"/>
      <c r="E22" s="500"/>
      <c r="F22" s="500"/>
      <c r="G22" s="500"/>
      <c r="H22" s="257"/>
      <c r="I22" s="500"/>
      <c r="J22" s="500"/>
      <c r="K22" s="500"/>
      <c r="L22" s="500"/>
      <c r="M22" s="496"/>
      <c r="N22" s="264"/>
      <c r="O22" s="495" t="str">
        <f t="shared" si="0"/>
        <v/>
      </c>
    </row>
    <row r="23" spans="1:15" s="256" customFormat="1" ht="35.1" customHeight="1" x14ac:dyDescent="0.2">
      <c r="A23" s="502"/>
      <c r="B23" s="501"/>
      <c r="C23" s="499"/>
      <c r="D23" s="500"/>
      <c r="E23" s="500"/>
      <c r="F23" s="500"/>
      <c r="G23" s="500"/>
      <c r="H23" s="257"/>
      <c r="I23" s="500"/>
      <c r="J23" s="500"/>
      <c r="K23" s="500"/>
      <c r="L23" s="500"/>
      <c r="M23" s="496"/>
      <c r="N23" s="264"/>
      <c r="O23" s="495" t="str">
        <f t="shared" si="0"/>
        <v/>
      </c>
    </row>
    <row r="24" spans="1:15" s="256" customFormat="1" ht="35.1" customHeight="1" x14ac:dyDescent="0.2">
      <c r="A24" s="502"/>
      <c r="B24" s="501"/>
      <c r="C24" s="499"/>
      <c r="D24" s="500"/>
      <c r="E24" s="500"/>
      <c r="F24" s="500"/>
      <c r="G24" s="500"/>
      <c r="H24" s="257"/>
      <c r="I24" s="500"/>
      <c r="J24" s="500"/>
      <c r="K24" s="500"/>
      <c r="L24" s="500"/>
      <c r="M24" s="496"/>
      <c r="N24" s="264"/>
      <c r="O24" s="495" t="str">
        <f t="shared" si="0"/>
        <v/>
      </c>
    </row>
    <row r="25" spans="1:15" s="256" customFormat="1" ht="35.1" customHeight="1" x14ac:dyDescent="0.2">
      <c r="A25" s="502"/>
      <c r="B25" s="501"/>
      <c r="C25" s="499"/>
      <c r="D25" s="500"/>
      <c r="E25" s="500"/>
      <c r="F25" s="500"/>
      <c r="G25" s="500"/>
      <c r="H25" s="257"/>
      <c r="I25" s="500"/>
      <c r="J25" s="500"/>
      <c r="K25" s="500"/>
      <c r="L25" s="500"/>
      <c r="M25" s="496"/>
      <c r="N25" s="264"/>
      <c r="O25" s="495" t="str">
        <f t="shared" si="0"/>
        <v/>
      </c>
    </row>
    <row r="26" spans="1:15" s="256" customFormat="1" ht="35.1" customHeight="1" x14ac:dyDescent="0.2">
      <c r="A26" s="502"/>
      <c r="B26" s="501"/>
      <c r="C26" s="499"/>
      <c r="D26" s="500"/>
      <c r="E26" s="500"/>
      <c r="F26" s="500"/>
      <c r="G26" s="500"/>
      <c r="H26" s="257"/>
      <c r="I26" s="500"/>
      <c r="J26" s="500"/>
      <c r="K26" s="500"/>
      <c r="L26" s="500"/>
      <c r="M26" s="496"/>
      <c r="N26" s="264"/>
      <c r="O26" s="495" t="str">
        <f t="shared" si="0"/>
        <v/>
      </c>
    </row>
    <row r="27" spans="1:15" s="256" customFormat="1" ht="35.1" customHeight="1" x14ac:dyDescent="0.2">
      <c r="A27" s="502"/>
      <c r="B27" s="501"/>
      <c r="C27" s="499"/>
      <c r="D27" s="500"/>
      <c r="E27" s="500"/>
      <c r="F27" s="500"/>
      <c r="G27" s="500"/>
      <c r="H27" s="257"/>
      <c r="I27" s="500"/>
      <c r="J27" s="500"/>
      <c r="K27" s="500"/>
      <c r="L27" s="500"/>
      <c r="M27" s="496"/>
      <c r="N27" s="264"/>
      <c r="O27" s="495" t="str">
        <f t="shared" si="0"/>
        <v/>
      </c>
    </row>
    <row r="28" spans="1:15" s="256" customFormat="1" ht="35.1" customHeight="1" x14ac:dyDescent="0.2">
      <c r="A28" s="502"/>
      <c r="B28" s="501"/>
      <c r="C28" s="499"/>
      <c r="D28" s="500"/>
      <c r="E28" s="500"/>
      <c r="F28" s="500"/>
      <c r="G28" s="500"/>
      <c r="H28" s="257"/>
      <c r="I28" s="500"/>
      <c r="J28" s="500"/>
      <c r="K28" s="500"/>
      <c r="L28" s="500"/>
      <c r="M28" s="496"/>
      <c r="N28" s="264"/>
      <c r="O28" s="495" t="str">
        <f t="shared" si="0"/>
        <v/>
      </c>
    </row>
    <row r="29" spans="1:15" s="256" customFormat="1" ht="35.1" customHeight="1" x14ac:dyDescent="0.2">
      <c r="A29" s="502"/>
      <c r="B29" s="501"/>
      <c r="C29" s="499"/>
      <c r="D29" s="500"/>
      <c r="E29" s="500"/>
      <c r="F29" s="500"/>
      <c r="G29" s="500"/>
      <c r="H29" s="257"/>
      <c r="I29" s="500"/>
      <c r="J29" s="500"/>
      <c r="K29" s="500"/>
      <c r="L29" s="500"/>
      <c r="M29" s="496"/>
      <c r="N29" s="264"/>
      <c r="O29" s="495" t="str">
        <f t="shared" si="0"/>
        <v/>
      </c>
    </row>
    <row r="30" spans="1:15" s="256" customFormat="1" ht="35.1" customHeight="1" x14ac:dyDescent="0.2">
      <c r="A30" s="502"/>
      <c r="B30" s="501"/>
      <c r="C30" s="499"/>
      <c r="D30" s="500"/>
      <c r="E30" s="500"/>
      <c r="F30" s="500"/>
      <c r="G30" s="500"/>
      <c r="H30" s="257"/>
      <c r="I30" s="500"/>
      <c r="J30" s="500"/>
      <c r="K30" s="500"/>
      <c r="L30" s="500"/>
      <c r="M30" s="496"/>
      <c r="N30" s="264"/>
      <c r="O30" s="495" t="str">
        <f t="shared" si="0"/>
        <v/>
      </c>
    </row>
    <row r="31" spans="1:15" s="256" customFormat="1" ht="35.1" customHeight="1" x14ac:dyDescent="0.2">
      <c r="A31" s="502"/>
      <c r="B31" s="501"/>
      <c r="C31" s="499"/>
      <c r="D31" s="500"/>
      <c r="E31" s="500"/>
      <c r="F31" s="500"/>
      <c r="G31" s="500"/>
      <c r="H31" s="257"/>
      <c r="I31" s="500"/>
      <c r="J31" s="500"/>
      <c r="K31" s="500"/>
      <c r="L31" s="500"/>
      <c r="M31" s="496"/>
      <c r="N31" s="264"/>
      <c r="O31" s="495" t="str">
        <f t="shared" si="0"/>
        <v/>
      </c>
    </row>
    <row r="32" spans="1:15" s="256" customFormat="1" ht="35.1" customHeight="1" x14ac:dyDescent="0.2">
      <c r="A32" s="502"/>
      <c r="B32" s="501"/>
      <c r="C32" s="499"/>
      <c r="D32" s="500"/>
      <c r="E32" s="500"/>
      <c r="F32" s="500"/>
      <c r="G32" s="500"/>
      <c r="H32" s="257"/>
      <c r="I32" s="500"/>
      <c r="J32" s="500"/>
      <c r="K32" s="500"/>
      <c r="L32" s="500"/>
      <c r="M32" s="496"/>
      <c r="N32" s="264"/>
      <c r="O32" s="495" t="str">
        <f t="shared" si="0"/>
        <v/>
      </c>
    </row>
    <row r="33" spans="1:15" s="256" customFormat="1" ht="35.1" customHeight="1" x14ac:dyDescent="0.2">
      <c r="A33" s="502"/>
      <c r="B33" s="501"/>
      <c r="C33" s="499"/>
      <c r="D33" s="500"/>
      <c r="E33" s="500"/>
      <c r="F33" s="500"/>
      <c r="G33" s="500"/>
      <c r="H33" s="257"/>
      <c r="I33" s="500"/>
      <c r="J33" s="500"/>
      <c r="K33" s="500"/>
      <c r="L33" s="500"/>
      <c r="M33" s="496"/>
      <c r="N33" s="264"/>
      <c r="O33" s="495" t="str">
        <f t="shared" si="0"/>
        <v/>
      </c>
    </row>
    <row r="34" spans="1:15" s="256" customFormat="1" ht="35.1" customHeight="1" x14ac:dyDescent="0.2">
      <c r="A34" s="502"/>
      <c r="B34" s="501"/>
      <c r="C34" s="499"/>
      <c r="D34" s="500"/>
      <c r="E34" s="500"/>
      <c r="F34" s="500"/>
      <c r="G34" s="500"/>
      <c r="H34" s="257"/>
      <c r="I34" s="500"/>
      <c r="J34" s="500"/>
      <c r="K34" s="500"/>
      <c r="L34" s="500"/>
      <c r="M34" s="496"/>
      <c r="N34" s="264"/>
      <c r="O34" s="495" t="str">
        <f t="shared" si="0"/>
        <v/>
      </c>
    </row>
    <row r="35" spans="1:15" s="256" customFormat="1" ht="35.1" customHeight="1" x14ac:dyDescent="0.2">
      <c r="A35" s="502"/>
      <c r="B35" s="501"/>
      <c r="C35" s="499"/>
      <c r="D35" s="500"/>
      <c r="E35" s="500"/>
      <c r="F35" s="500"/>
      <c r="G35" s="500"/>
      <c r="H35" s="257"/>
      <c r="I35" s="500"/>
      <c r="J35" s="500"/>
      <c r="K35" s="500"/>
      <c r="L35" s="500"/>
      <c r="M35" s="496"/>
      <c r="N35" s="264"/>
      <c r="O35" s="495" t="str">
        <f t="shared" si="0"/>
        <v/>
      </c>
    </row>
    <row r="36" spans="1:15" s="256" customFormat="1" ht="35.1" customHeight="1" x14ac:dyDescent="0.2">
      <c r="A36" s="502"/>
      <c r="B36" s="501"/>
      <c r="C36" s="499"/>
      <c r="D36" s="500"/>
      <c r="E36" s="500"/>
      <c r="F36" s="500"/>
      <c r="G36" s="500"/>
      <c r="H36" s="257"/>
      <c r="I36" s="500"/>
      <c r="J36" s="500"/>
      <c r="K36" s="500"/>
      <c r="L36" s="500"/>
      <c r="M36" s="496"/>
      <c r="N36" s="264"/>
      <c r="O36" s="495" t="str">
        <f t="shared" si="0"/>
        <v/>
      </c>
    </row>
    <row r="37" spans="1:15" s="256" customFormat="1" ht="35.1" customHeight="1" x14ac:dyDescent="0.2">
      <c r="A37" s="502"/>
      <c r="B37" s="501"/>
      <c r="C37" s="499"/>
      <c r="D37" s="500"/>
      <c r="E37" s="500"/>
      <c r="F37" s="500"/>
      <c r="G37" s="500"/>
      <c r="H37" s="257"/>
      <c r="I37" s="500"/>
      <c r="J37" s="500"/>
      <c r="K37" s="500"/>
      <c r="L37" s="500"/>
      <c r="M37" s="496"/>
      <c r="N37" s="264"/>
      <c r="O37" s="495" t="str">
        <f t="shared" si="0"/>
        <v/>
      </c>
    </row>
    <row r="38" spans="1:15" s="256" customFormat="1" ht="18.75" customHeight="1" x14ac:dyDescent="0.2">
      <c r="A38" s="885" t="s">
        <v>2845</v>
      </c>
      <c r="B38" s="1453"/>
      <c r="C38" s="1453"/>
      <c r="D38" s="260"/>
      <c r="E38" s="260"/>
      <c r="F38" s="260"/>
      <c r="G38" s="260"/>
      <c r="H38" s="260"/>
      <c r="I38" s="260"/>
      <c r="J38" s="260"/>
      <c r="K38" s="260"/>
      <c r="L38" s="260"/>
      <c r="M38" s="260"/>
      <c r="N38" s="255"/>
    </row>
    <row r="39" spans="1:15" s="256" customFormat="1" ht="18.75" customHeight="1" x14ac:dyDescent="0.2">
      <c r="A39" s="258"/>
      <c r="B39" s="258"/>
      <c r="C39" s="259"/>
      <c r="D39" s="260"/>
      <c r="E39" s="260"/>
      <c r="F39" s="260"/>
      <c r="G39" s="260"/>
      <c r="H39" s="260"/>
      <c r="I39" s="260"/>
      <c r="J39" s="260"/>
      <c r="K39" s="260"/>
      <c r="L39" s="260"/>
      <c r="M39" s="260"/>
      <c r="N39" s="255"/>
    </row>
    <row r="40" spans="1:15" s="256" customFormat="1" ht="18.75" customHeight="1" x14ac:dyDescent="0.2">
      <c r="A40" s="258"/>
      <c r="B40" s="258"/>
      <c r="C40" s="259"/>
      <c r="D40" s="260"/>
      <c r="E40" s="260"/>
      <c r="F40" s="260"/>
      <c r="G40" s="260"/>
      <c r="H40" s="260"/>
      <c r="I40" s="260"/>
      <c r="J40" s="260"/>
      <c r="K40" s="260"/>
      <c r="L40" s="260"/>
      <c r="M40" s="260"/>
      <c r="N40" s="255"/>
    </row>
    <row r="41" spans="1:15" s="256" customFormat="1" ht="18.75" customHeight="1" x14ac:dyDescent="0.2">
      <c r="A41" s="258"/>
      <c r="B41" s="258"/>
      <c r="C41" s="259"/>
      <c r="D41" s="260"/>
      <c r="E41" s="260"/>
      <c r="F41" s="260"/>
      <c r="G41" s="260"/>
      <c r="H41" s="260"/>
      <c r="I41" s="260"/>
      <c r="J41" s="260"/>
      <c r="K41" s="260"/>
      <c r="L41" s="260"/>
      <c r="M41" s="260"/>
      <c r="N41" s="255"/>
    </row>
    <row r="42" spans="1:15" x14ac:dyDescent="0.2">
      <c r="C42" s="259"/>
      <c r="D42" s="260"/>
      <c r="E42" s="260"/>
      <c r="F42" s="260"/>
      <c r="G42" s="260"/>
      <c r="H42" s="260"/>
      <c r="I42" s="260"/>
      <c r="J42" s="260"/>
      <c r="K42" s="260"/>
      <c r="L42" s="260"/>
      <c r="M42" s="260"/>
      <c r="N42" s="261"/>
    </row>
    <row r="43" spans="1:15" x14ac:dyDescent="0.2">
      <c r="C43" s="259"/>
      <c r="D43" s="260"/>
      <c r="E43" s="260"/>
      <c r="F43" s="260"/>
      <c r="G43" s="260"/>
      <c r="H43" s="260"/>
      <c r="I43" s="260"/>
      <c r="J43" s="260"/>
      <c r="K43" s="260"/>
      <c r="L43" s="260"/>
      <c r="M43" s="260"/>
      <c r="N43" s="261"/>
    </row>
    <row r="44" spans="1:15" ht="27" customHeight="1" x14ac:dyDescent="0.2">
      <c r="C44" s="259"/>
      <c r="D44" s="260"/>
      <c r="E44" s="260"/>
      <c r="F44" s="260"/>
      <c r="G44" s="260"/>
      <c r="H44" s="260"/>
      <c r="I44" s="260"/>
      <c r="J44" s="260"/>
      <c r="K44" s="260"/>
      <c r="L44" s="260"/>
      <c r="M44" s="260"/>
      <c r="N44" s="261"/>
    </row>
    <row r="45" spans="1:15" x14ac:dyDescent="0.2">
      <c r="C45" s="259"/>
      <c r="D45" s="260"/>
      <c r="E45" s="260"/>
      <c r="F45" s="260"/>
      <c r="G45" s="260"/>
      <c r="H45" s="260"/>
      <c r="I45" s="260"/>
      <c r="J45" s="260"/>
      <c r="K45" s="260"/>
      <c r="L45" s="260"/>
      <c r="M45" s="260"/>
      <c r="N45" s="261"/>
    </row>
    <row r="46" spans="1:15" x14ac:dyDescent="0.2">
      <c r="C46" s="259"/>
      <c r="D46" s="260"/>
      <c r="E46" s="260"/>
      <c r="F46" s="260"/>
      <c r="G46" s="260"/>
      <c r="H46" s="260"/>
      <c r="I46" s="260"/>
      <c r="J46" s="260"/>
      <c r="K46" s="260"/>
      <c r="L46" s="260"/>
      <c r="M46" s="260"/>
      <c r="N46" s="261"/>
    </row>
    <row r="47" spans="1:15" x14ac:dyDescent="0.2">
      <c r="C47" s="259"/>
      <c r="D47" s="260"/>
      <c r="E47" s="260"/>
      <c r="F47" s="260"/>
      <c r="G47" s="260"/>
      <c r="H47" s="260"/>
      <c r="I47" s="260"/>
      <c r="J47" s="260"/>
      <c r="K47" s="260"/>
      <c r="L47" s="260"/>
      <c r="M47" s="260"/>
      <c r="N47" s="261"/>
    </row>
    <row r="48" spans="1:15" x14ac:dyDescent="0.2">
      <c r="C48" s="259"/>
      <c r="D48" s="260"/>
      <c r="E48" s="260"/>
      <c r="F48" s="260"/>
      <c r="G48" s="260"/>
      <c r="H48" s="260"/>
      <c r="I48" s="260"/>
      <c r="J48" s="260"/>
      <c r="K48" s="260"/>
      <c r="L48" s="260"/>
      <c r="M48" s="260"/>
      <c r="N48" s="261"/>
    </row>
    <row r="49" spans="3:14" x14ac:dyDescent="0.2">
      <c r="C49" s="259"/>
      <c r="D49" s="260"/>
      <c r="E49" s="260"/>
      <c r="F49" s="260"/>
      <c r="G49" s="260"/>
      <c r="H49" s="260"/>
      <c r="I49" s="260"/>
      <c r="J49" s="260"/>
      <c r="K49" s="260"/>
      <c r="L49" s="260"/>
      <c r="M49" s="260"/>
      <c r="N49" s="261"/>
    </row>
    <row r="50" spans="3:14" x14ac:dyDescent="0.2">
      <c r="C50" s="262"/>
      <c r="D50" s="259"/>
      <c r="E50" s="259"/>
      <c r="F50" s="259"/>
      <c r="G50" s="259"/>
      <c r="H50" s="259"/>
      <c r="I50" s="259"/>
      <c r="J50" s="259"/>
      <c r="K50" s="259"/>
      <c r="L50" s="259"/>
      <c r="M50" s="259"/>
      <c r="N50" s="261"/>
    </row>
    <row r="51" spans="3:14" x14ac:dyDescent="0.2">
      <c r="C51" s="262"/>
      <c r="D51" s="259"/>
      <c r="E51" s="259"/>
      <c r="F51" s="259"/>
      <c r="G51" s="259"/>
      <c r="H51" s="259"/>
      <c r="I51" s="259"/>
      <c r="J51" s="259"/>
      <c r="K51" s="259"/>
      <c r="L51" s="259"/>
      <c r="M51" s="259"/>
      <c r="N51" s="261"/>
    </row>
    <row r="52" spans="3:14" x14ac:dyDescent="0.2">
      <c r="C52" s="262"/>
      <c r="D52" s="259"/>
      <c r="E52" s="259"/>
      <c r="F52" s="259"/>
      <c r="G52" s="259"/>
      <c r="H52" s="259"/>
      <c r="I52" s="259"/>
      <c r="J52" s="259"/>
      <c r="K52" s="259"/>
      <c r="L52" s="259"/>
      <c r="M52" s="259"/>
      <c r="N52" s="261"/>
    </row>
    <row r="53" spans="3:14" x14ac:dyDescent="0.2">
      <c r="C53" s="262"/>
      <c r="D53" s="259"/>
      <c r="E53" s="259"/>
      <c r="F53" s="259"/>
      <c r="G53" s="259"/>
      <c r="H53" s="259"/>
      <c r="I53" s="259"/>
      <c r="J53" s="259"/>
      <c r="K53" s="259"/>
      <c r="L53" s="259"/>
      <c r="M53" s="259"/>
      <c r="N53" s="261"/>
    </row>
    <row r="54" spans="3:14" x14ac:dyDescent="0.2">
      <c r="C54" s="262"/>
      <c r="D54" s="259"/>
      <c r="E54" s="259"/>
      <c r="F54" s="259"/>
      <c r="G54" s="259"/>
      <c r="H54" s="259"/>
      <c r="I54" s="259"/>
      <c r="J54" s="259"/>
      <c r="K54" s="259"/>
      <c r="L54" s="259"/>
      <c r="M54" s="259"/>
      <c r="N54" s="261"/>
    </row>
    <row r="55" spans="3:14" x14ac:dyDescent="0.2">
      <c r="C55" s="262"/>
      <c r="D55" s="259"/>
      <c r="E55" s="259"/>
      <c r="F55" s="259"/>
      <c r="G55" s="259"/>
      <c r="H55" s="259"/>
      <c r="I55" s="259"/>
      <c r="J55" s="259"/>
      <c r="K55" s="259"/>
      <c r="L55" s="259"/>
      <c r="M55" s="259"/>
      <c r="N55" s="261"/>
    </row>
    <row r="56" spans="3:14" x14ac:dyDescent="0.2">
      <c r="C56" s="262"/>
      <c r="D56" s="259"/>
      <c r="E56" s="259"/>
      <c r="F56" s="259"/>
      <c r="G56" s="259"/>
      <c r="H56" s="259"/>
      <c r="I56" s="259"/>
      <c r="J56" s="259"/>
      <c r="K56" s="259"/>
      <c r="L56" s="259"/>
      <c r="M56" s="259"/>
      <c r="N56" s="261"/>
    </row>
    <row r="57" spans="3:14" x14ac:dyDescent="0.2">
      <c r="C57" s="262"/>
      <c r="D57" s="259"/>
      <c r="E57" s="259"/>
      <c r="F57" s="259"/>
      <c r="G57" s="259"/>
      <c r="H57" s="259"/>
      <c r="I57" s="259"/>
      <c r="J57" s="259"/>
      <c r="K57" s="259"/>
      <c r="L57" s="259"/>
      <c r="M57" s="259"/>
      <c r="N57" s="261"/>
    </row>
    <row r="58" spans="3:14" x14ac:dyDescent="0.2">
      <c r="C58" s="262"/>
      <c r="D58" s="259"/>
      <c r="E58" s="259"/>
      <c r="F58" s="259"/>
      <c r="G58" s="259"/>
      <c r="H58" s="259"/>
      <c r="I58" s="259"/>
      <c r="J58" s="259"/>
      <c r="K58" s="259"/>
      <c r="L58" s="259"/>
      <c r="M58" s="259"/>
      <c r="N58" s="261"/>
    </row>
    <row r="59" spans="3:14" x14ac:dyDescent="0.2">
      <c r="C59" s="262"/>
      <c r="D59" s="259"/>
      <c r="E59" s="259"/>
      <c r="F59" s="259"/>
      <c r="G59" s="259"/>
      <c r="H59" s="259"/>
      <c r="I59" s="259"/>
      <c r="J59" s="259"/>
      <c r="K59" s="259"/>
      <c r="L59" s="259"/>
      <c r="M59" s="259"/>
      <c r="N59" s="261"/>
    </row>
    <row r="60" spans="3:14" x14ac:dyDescent="0.2">
      <c r="C60" s="262"/>
      <c r="D60" s="259"/>
      <c r="E60" s="259"/>
      <c r="F60" s="259"/>
      <c r="G60" s="259"/>
      <c r="H60" s="259"/>
      <c r="I60" s="259"/>
      <c r="J60" s="259"/>
      <c r="K60" s="259"/>
      <c r="L60" s="259"/>
      <c r="M60" s="259"/>
      <c r="N60" s="261"/>
    </row>
    <row r="61" spans="3:14" x14ac:dyDescent="0.2">
      <c r="C61" s="262"/>
      <c r="D61" s="259"/>
      <c r="E61" s="259"/>
      <c r="F61" s="259"/>
      <c r="G61" s="259"/>
      <c r="H61" s="259"/>
      <c r="I61" s="259"/>
      <c r="J61" s="259"/>
      <c r="K61" s="259"/>
      <c r="L61" s="259"/>
      <c r="M61" s="259"/>
      <c r="N61" s="261"/>
    </row>
    <row r="62" spans="3:14" x14ac:dyDescent="0.2">
      <c r="C62" s="262"/>
      <c r="D62" s="259"/>
      <c r="E62" s="259"/>
      <c r="F62" s="259"/>
      <c r="G62" s="259"/>
      <c r="H62" s="259"/>
      <c r="I62" s="259"/>
      <c r="J62" s="259"/>
      <c r="K62" s="259"/>
      <c r="L62" s="259"/>
      <c r="M62" s="259"/>
      <c r="N62" s="261"/>
    </row>
    <row r="63" spans="3:14" x14ac:dyDescent="0.2">
      <c r="C63" s="262"/>
      <c r="D63" s="259"/>
      <c r="E63" s="259"/>
      <c r="F63" s="259"/>
      <c r="G63" s="259"/>
      <c r="H63" s="259"/>
      <c r="I63" s="259"/>
      <c r="J63" s="259"/>
      <c r="K63" s="259"/>
      <c r="L63" s="259"/>
      <c r="M63" s="259"/>
      <c r="N63" s="261"/>
    </row>
    <row r="64" spans="3:14" x14ac:dyDescent="0.2">
      <c r="C64" s="262"/>
      <c r="D64" s="259"/>
      <c r="E64" s="259"/>
      <c r="F64" s="259"/>
      <c r="G64" s="259"/>
      <c r="H64" s="259"/>
      <c r="I64" s="259"/>
      <c r="J64" s="259"/>
      <c r="K64" s="259"/>
      <c r="L64" s="259"/>
      <c r="M64" s="259"/>
      <c r="N64" s="1450"/>
    </row>
    <row r="65" spans="3:14" ht="12.75" customHeight="1" x14ac:dyDescent="0.2">
      <c r="C65" s="262"/>
      <c r="D65" s="259"/>
      <c r="E65" s="259"/>
      <c r="F65" s="259"/>
      <c r="G65" s="259"/>
      <c r="H65" s="259"/>
      <c r="I65" s="259"/>
      <c r="J65" s="259"/>
      <c r="K65" s="259"/>
      <c r="L65" s="259"/>
      <c r="M65" s="259"/>
      <c r="N65" s="1450"/>
    </row>
    <row r="66" spans="3:14" x14ac:dyDescent="0.2">
      <c r="C66" s="263"/>
      <c r="D66" s="263"/>
      <c r="E66" s="263"/>
      <c r="F66" s="263"/>
      <c r="G66" s="263"/>
      <c r="H66" s="263"/>
      <c r="I66" s="263"/>
      <c r="J66" s="263"/>
      <c r="K66" s="263"/>
      <c r="L66" s="263"/>
      <c r="M66" s="263"/>
      <c r="N66" s="261"/>
    </row>
    <row r="67" spans="3:14" x14ac:dyDescent="0.2">
      <c r="C67" s="263"/>
      <c r="D67" s="263"/>
      <c r="E67" s="263"/>
      <c r="F67" s="263"/>
      <c r="G67" s="263"/>
      <c r="H67" s="263"/>
      <c r="I67" s="263"/>
      <c r="J67" s="263"/>
      <c r="K67" s="263"/>
      <c r="L67" s="263"/>
      <c r="M67" s="263"/>
      <c r="N67" s="261"/>
    </row>
    <row r="68" spans="3:14" x14ac:dyDescent="0.2">
      <c r="C68" s="263"/>
      <c r="D68" s="263"/>
      <c r="E68" s="263"/>
      <c r="F68" s="263"/>
      <c r="G68" s="263"/>
      <c r="H68" s="263"/>
      <c r="I68" s="263"/>
      <c r="J68" s="263"/>
      <c r="K68" s="263"/>
      <c r="L68" s="263"/>
      <c r="M68" s="263"/>
      <c r="N68" s="261"/>
    </row>
    <row r="69" spans="3:14" x14ac:dyDescent="0.2">
      <c r="C69" s="263"/>
      <c r="D69" s="263"/>
      <c r="E69" s="263"/>
      <c r="F69" s="263"/>
      <c r="G69" s="263"/>
      <c r="H69" s="263"/>
      <c r="I69" s="263"/>
      <c r="J69" s="263"/>
      <c r="K69" s="263"/>
      <c r="L69" s="263"/>
      <c r="M69" s="263"/>
      <c r="N69" s="261"/>
    </row>
    <row r="70" spans="3:14" x14ac:dyDescent="0.2">
      <c r="C70" s="263"/>
      <c r="D70" s="263"/>
      <c r="E70" s="263"/>
      <c r="F70" s="263"/>
      <c r="G70" s="263"/>
      <c r="H70" s="263"/>
      <c r="I70" s="263"/>
      <c r="J70" s="263"/>
      <c r="K70" s="263"/>
      <c r="L70" s="263"/>
      <c r="M70" s="263"/>
      <c r="N70" s="261"/>
    </row>
    <row r="71" spans="3:14" x14ac:dyDescent="0.2">
      <c r="C71" s="263"/>
      <c r="D71" s="263"/>
      <c r="E71" s="263"/>
      <c r="F71" s="263"/>
      <c r="G71" s="263"/>
      <c r="H71" s="263"/>
      <c r="I71" s="263"/>
      <c r="J71" s="263"/>
      <c r="K71" s="263"/>
      <c r="L71" s="263"/>
      <c r="M71" s="263"/>
      <c r="N71" s="261"/>
    </row>
    <row r="72" spans="3:14" x14ac:dyDescent="0.2">
      <c r="C72" s="263"/>
      <c r="D72" s="263"/>
      <c r="E72" s="263"/>
      <c r="F72" s="263"/>
      <c r="G72" s="263"/>
      <c r="H72" s="263"/>
      <c r="I72" s="263"/>
      <c r="J72" s="263"/>
      <c r="K72" s="263"/>
      <c r="L72" s="263"/>
      <c r="M72" s="263"/>
      <c r="N72" s="261"/>
    </row>
    <row r="73" spans="3:14" x14ac:dyDescent="0.2">
      <c r="C73" s="263"/>
      <c r="D73" s="263"/>
      <c r="E73" s="263"/>
      <c r="F73" s="263"/>
      <c r="G73" s="263"/>
      <c r="H73" s="263"/>
      <c r="I73" s="263"/>
      <c r="J73" s="263"/>
      <c r="K73" s="263"/>
      <c r="L73" s="263"/>
      <c r="M73" s="263"/>
      <c r="N73" s="261"/>
    </row>
    <row r="74" spans="3:14" x14ac:dyDescent="0.2">
      <c r="C74" s="263"/>
      <c r="D74" s="263"/>
      <c r="E74" s="263"/>
      <c r="F74" s="263"/>
      <c r="G74" s="263"/>
      <c r="H74" s="263"/>
      <c r="I74" s="263"/>
      <c r="J74" s="263"/>
      <c r="K74" s="263"/>
      <c r="L74" s="263"/>
      <c r="M74" s="263"/>
      <c r="N74" s="261"/>
    </row>
    <row r="75" spans="3:14" x14ac:dyDescent="0.2">
      <c r="C75" s="263"/>
      <c r="D75" s="263"/>
      <c r="E75" s="263"/>
      <c r="F75" s="263"/>
      <c r="G75" s="263"/>
      <c r="H75" s="263"/>
      <c r="I75" s="263"/>
      <c r="J75" s="263"/>
      <c r="K75" s="263"/>
      <c r="L75" s="263"/>
      <c r="M75" s="263"/>
      <c r="N75" s="261"/>
    </row>
    <row r="76" spans="3:14" x14ac:dyDescent="0.2">
      <c r="C76" s="263"/>
      <c r="D76" s="263"/>
      <c r="E76" s="263"/>
      <c r="F76" s="263"/>
      <c r="G76" s="263"/>
      <c r="H76" s="263"/>
      <c r="I76" s="263"/>
      <c r="J76" s="263"/>
      <c r="K76" s="263"/>
      <c r="L76" s="263"/>
      <c r="M76" s="263"/>
      <c r="N76" s="261"/>
    </row>
    <row r="77" spans="3:14" x14ac:dyDescent="0.2">
      <c r="C77" s="263"/>
      <c r="D77" s="263"/>
      <c r="E77" s="263"/>
      <c r="F77" s="263"/>
      <c r="G77" s="263"/>
      <c r="H77" s="263"/>
      <c r="I77" s="263"/>
      <c r="J77" s="263"/>
      <c r="K77" s="263"/>
      <c r="L77" s="263"/>
      <c r="M77" s="263"/>
      <c r="N77" s="261"/>
    </row>
    <row r="78" spans="3:14" x14ac:dyDescent="0.2">
      <c r="C78" s="263"/>
      <c r="D78" s="263"/>
      <c r="E78" s="263"/>
      <c r="F78" s="263"/>
      <c r="G78" s="263"/>
      <c r="H78" s="263"/>
      <c r="I78" s="263"/>
      <c r="J78" s="263"/>
      <c r="K78" s="263"/>
      <c r="L78" s="263"/>
      <c r="M78" s="263"/>
      <c r="N78" s="261"/>
    </row>
    <row r="79" spans="3:14" x14ac:dyDescent="0.2">
      <c r="C79" s="263"/>
      <c r="D79" s="263"/>
      <c r="E79" s="263"/>
      <c r="F79" s="263"/>
      <c r="G79" s="263"/>
      <c r="H79" s="263"/>
      <c r="I79" s="263"/>
      <c r="J79" s="263"/>
      <c r="K79" s="263"/>
      <c r="L79" s="263"/>
      <c r="M79" s="263"/>
      <c r="N79" s="261"/>
    </row>
    <row r="80" spans="3:14" x14ac:dyDescent="0.2">
      <c r="C80" s="263"/>
      <c r="D80" s="263"/>
      <c r="E80" s="263"/>
      <c r="F80" s="263"/>
      <c r="G80" s="263"/>
      <c r="H80" s="263"/>
      <c r="I80" s="263"/>
      <c r="J80" s="263"/>
      <c r="K80" s="263"/>
      <c r="L80" s="263"/>
      <c r="M80" s="263"/>
      <c r="N80" s="261"/>
    </row>
    <row r="81" spans="3:14" x14ac:dyDescent="0.2">
      <c r="C81" s="263"/>
      <c r="D81" s="263"/>
      <c r="E81" s="263"/>
      <c r="F81" s="263"/>
      <c r="G81" s="263"/>
      <c r="H81" s="263"/>
      <c r="I81" s="263"/>
      <c r="J81" s="263"/>
      <c r="K81" s="263"/>
      <c r="L81" s="263"/>
      <c r="M81" s="263"/>
      <c r="N81" s="261"/>
    </row>
    <row r="82" spans="3:14" x14ac:dyDescent="0.2">
      <c r="C82" s="263"/>
      <c r="D82" s="263"/>
      <c r="E82" s="263"/>
      <c r="F82" s="263"/>
      <c r="G82" s="263"/>
      <c r="H82" s="263"/>
      <c r="I82" s="263"/>
      <c r="J82" s="263"/>
      <c r="K82" s="263"/>
      <c r="L82" s="263"/>
      <c r="M82" s="263"/>
      <c r="N82" s="261"/>
    </row>
    <row r="83" spans="3:14" x14ac:dyDescent="0.2">
      <c r="C83" s="263"/>
      <c r="D83" s="263"/>
      <c r="E83" s="263"/>
      <c r="F83" s="263"/>
      <c r="G83" s="263"/>
      <c r="H83" s="263"/>
      <c r="I83" s="263"/>
      <c r="J83" s="263"/>
      <c r="K83" s="263"/>
      <c r="L83" s="263"/>
      <c r="M83" s="263"/>
      <c r="N83" s="261"/>
    </row>
    <row r="84" spans="3:14" x14ac:dyDescent="0.2">
      <c r="C84" s="263"/>
      <c r="D84" s="263"/>
      <c r="E84" s="263"/>
      <c r="F84" s="263"/>
      <c r="G84" s="263"/>
      <c r="H84" s="263"/>
      <c r="I84" s="263"/>
      <c r="J84" s="263"/>
      <c r="K84" s="263"/>
      <c r="L84" s="263"/>
      <c r="M84" s="263"/>
      <c r="N84" s="261"/>
    </row>
    <row r="85" spans="3:14" x14ac:dyDescent="0.2">
      <c r="C85" s="263"/>
      <c r="D85" s="263"/>
      <c r="E85" s="263"/>
      <c r="F85" s="263"/>
      <c r="G85" s="263"/>
      <c r="H85" s="263"/>
      <c r="I85" s="263"/>
      <c r="J85" s="263"/>
      <c r="K85" s="263"/>
      <c r="L85" s="263"/>
      <c r="M85" s="263"/>
      <c r="N85" s="261"/>
    </row>
    <row r="86" spans="3:14" x14ac:dyDescent="0.2">
      <c r="C86" s="263"/>
      <c r="D86" s="263"/>
      <c r="E86" s="263"/>
      <c r="F86" s="263"/>
      <c r="G86" s="263"/>
      <c r="H86" s="263"/>
      <c r="I86" s="263"/>
      <c r="J86" s="263"/>
      <c r="K86" s="263"/>
      <c r="L86" s="263"/>
      <c r="M86" s="263"/>
      <c r="N86" s="261"/>
    </row>
    <row r="87" spans="3:14" x14ac:dyDescent="0.2">
      <c r="C87" s="263"/>
      <c r="D87" s="263"/>
      <c r="E87" s="263"/>
      <c r="F87" s="263"/>
      <c r="G87" s="263"/>
      <c r="H87" s="263"/>
      <c r="I87" s="263"/>
      <c r="J87" s="263"/>
      <c r="K87" s="263"/>
      <c r="L87" s="263"/>
      <c r="M87" s="263"/>
      <c r="N87" s="261"/>
    </row>
    <row r="88" spans="3:14" x14ac:dyDescent="0.2">
      <c r="C88" s="263"/>
      <c r="D88" s="263"/>
      <c r="E88" s="263"/>
      <c r="F88" s="263"/>
      <c r="G88" s="263"/>
      <c r="H88" s="263"/>
      <c r="I88" s="263"/>
      <c r="J88" s="263"/>
      <c r="K88" s="263"/>
      <c r="L88" s="263"/>
      <c r="M88" s="263"/>
      <c r="N88" s="261"/>
    </row>
    <row r="89" spans="3:14" x14ac:dyDescent="0.2">
      <c r="C89" s="263"/>
      <c r="D89" s="263"/>
      <c r="E89" s="263"/>
      <c r="F89" s="263"/>
      <c r="G89" s="263"/>
      <c r="H89" s="263"/>
      <c r="I89" s="263"/>
      <c r="J89" s="263"/>
      <c r="K89" s="263"/>
      <c r="L89" s="263"/>
      <c r="M89" s="263"/>
      <c r="N89" s="261"/>
    </row>
    <row r="90" spans="3:14" x14ac:dyDescent="0.2">
      <c r="C90" s="263"/>
      <c r="D90" s="263"/>
      <c r="E90" s="263"/>
      <c r="F90" s="263"/>
      <c r="G90" s="263"/>
      <c r="H90" s="263"/>
      <c r="I90" s="263"/>
      <c r="J90" s="263"/>
      <c r="K90" s="263"/>
      <c r="L90" s="263"/>
      <c r="M90" s="263"/>
      <c r="N90" s="261"/>
    </row>
    <row r="91" spans="3:14" x14ac:dyDescent="0.2">
      <c r="C91" s="263"/>
      <c r="D91" s="263"/>
      <c r="E91" s="263"/>
      <c r="F91" s="263"/>
      <c r="G91" s="263"/>
      <c r="H91" s="263"/>
      <c r="I91" s="263"/>
      <c r="J91" s="263"/>
      <c r="K91" s="263"/>
      <c r="L91" s="263"/>
      <c r="M91" s="263"/>
      <c r="N91" s="261"/>
    </row>
    <row r="92" spans="3:14" x14ac:dyDescent="0.2">
      <c r="C92" s="263"/>
      <c r="D92" s="263"/>
      <c r="E92" s="263"/>
      <c r="F92" s="263"/>
      <c r="G92" s="263"/>
      <c r="H92" s="263"/>
      <c r="I92" s="263"/>
      <c r="J92" s="263"/>
      <c r="K92" s="263"/>
      <c r="L92" s="263"/>
      <c r="M92" s="263"/>
      <c r="N92" s="261"/>
    </row>
    <row r="93" spans="3:14" x14ac:dyDescent="0.2">
      <c r="C93" s="263"/>
      <c r="D93" s="263"/>
      <c r="E93" s="263"/>
      <c r="F93" s="263"/>
      <c r="G93" s="263"/>
      <c r="H93" s="263"/>
      <c r="I93" s="263"/>
      <c r="J93" s="263"/>
      <c r="K93" s="263"/>
      <c r="L93" s="263"/>
      <c r="M93" s="263"/>
      <c r="N93" s="261"/>
    </row>
    <row r="94" spans="3:14" x14ac:dyDescent="0.2">
      <c r="C94" s="263"/>
      <c r="D94" s="263"/>
      <c r="E94" s="263"/>
      <c r="F94" s="263"/>
      <c r="G94" s="263"/>
      <c r="H94" s="263"/>
      <c r="I94" s="263"/>
      <c r="J94" s="263"/>
      <c r="K94" s="263"/>
      <c r="L94" s="263"/>
      <c r="M94" s="263"/>
      <c r="N94" s="261"/>
    </row>
    <row r="95" spans="3:14" x14ac:dyDescent="0.2">
      <c r="C95" s="263"/>
      <c r="D95" s="263"/>
      <c r="E95" s="263"/>
      <c r="F95" s="263"/>
      <c r="G95" s="263"/>
      <c r="H95" s="263"/>
      <c r="I95" s="263"/>
      <c r="J95" s="263"/>
      <c r="K95" s="263"/>
      <c r="L95" s="263"/>
      <c r="M95" s="263"/>
      <c r="N95" s="261"/>
    </row>
    <row r="96" spans="3:14" x14ac:dyDescent="0.2">
      <c r="C96" s="263"/>
      <c r="D96" s="263"/>
      <c r="E96" s="263"/>
      <c r="F96" s="263"/>
      <c r="G96" s="263"/>
      <c r="H96" s="263"/>
      <c r="I96" s="263"/>
      <c r="J96" s="263"/>
      <c r="K96" s="263"/>
      <c r="L96" s="263"/>
      <c r="M96" s="263"/>
      <c r="N96" s="261"/>
    </row>
    <row r="97" spans="3:14" x14ac:dyDescent="0.2">
      <c r="C97" s="263"/>
      <c r="D97" s="263"/>
      <c r="E97" s="263"/>
      <c r="F97" s="263"/>
      <c r="G97" s="263"/>
      <c r="H97" s="263"/>
      <c r="I97" s="263"/>
      <c r="J97" s="263"/>
      <c r="K97" s="263"/>
      <c r="L97" s="263"/>
      <c r="M97" s="263"/>
      <c r="N97" s="261"/>
    </row>
    <row r="98" spans="3:14" x14ac:dyDescent="0.2">
      <c r="C98" s="263"/>
      <c r="D98" s="263"/>
      <c r="E98" s="263"/>
      <c r="F98" s="263"/>
      <c r="G98" s="263"/>
      <c r="H98" s="263"/>
      <c r="I98" s="263"/>
      <c r="J98" s="263"/>
      <c r="K98" s="263"/>
      <c r="L98" s="263"/>
      <c r="M98" s="263"/>
      <c r="N98" s="261"/>
    </row>
    <row r="99" spans="3:14" x14ac:dyDescent="0.2">
      <c r="C99" s="263"/>
      <c r="D99" s="263"/>
      <c r="E99" s="263"/>
      <c r="F99" s="263"/>
      <c r="G99" s="263"/>
      <c r="H99" s="263"/>
      <c r="I99" s="263"/>
      <c r="J99" s="263"/>
      <c r="K99" s="263"/>
      <c r="L99" s="263"/>
      <c r="M99" s="263"/>
      <c r="N99" s="261"/>
    </row>
    <row r="100" spans="3:14" x14ac:dyDescent="0.2">
      <c r="C100" s="263"/>
      <c r="D100" s="263"/>
      <c r="E100" s="263"/>
      <c r="F100" s="263"/>
      <c r="G100" s="263"/>
      <c r="H100" s="263"/>
      <c r="I100" s="263"/>
      <c r="J100" s="263"/>
      <c r="K100" s="263"/>
      <c r="L100" s="263"/>
      <c r="M100" s="263"/>
      <c r="N100" s="261"/>
    </row>
    <row r="101" spans="3:14" x14ac:dyDescent="0.2">
      <c r="C101" s="260"/>
      <c r="D101" s="260"/>
      <c r="E101" s="260"/>
      <c r="F101" s="260"/>
      <c r="G101" s="260"/>
      <c r="H101" s="260"/>
      <c r="I101" s="260"/>
      <c r="J101" s="260"/>
      <c r="K101" s="260"/>
      <c r="L101" s="260"/>
      <c r="M101" s="260"/>
      <c r="N101" s="261"/>
    </row>
    <row r="102" spans="3:14" x14ac:dyDescent="0.2">
      <c r="C102" s="260"/>
      <c r="D102" s="260"/>
      <c r="E102" s="260"/>
      <c r="F102" s="260"/>
      <c r="G102" s="260"/>
      <c r="H102" s="260"/>
      <c r="I102" s="260"/>
      <c r="J102" s="260"/>
      <c r="K102" s="260"/>
      <c r="L102" s="260"/>
      <c r="M102" s="260"/>
      <c r="N102" s="261"/>
    </row>
    <row r="103" spans="3:14" x14ac:dyDescent="0.2">
      <c r="C103" s="260"/>
      <c r="D103" s="260"/>
      <c r="E103" s="260"/>
      <c r="F103" s="260"/>
      <c r="G103" s="260"/>
      <c r="H103" s="260"/>
      <c r="I103" s="260"/>
      <c r="J103" s="260"/>
      <c r="K103" s="260"/>
      <c r="L103" s="260"/>
      <c r="M103" s="260"/>
      <c r="N103" s="261"/>
    </row>
    <row r="104" spans="3:14" x14ac:dyDescent="0.2">
      <c r="C104" s="260"/>
      <c r="D104" s="260"/>
      <c r="E104" s="260"/>
      <c r="F104" s="260"/>
      <c r="G104" s="260"/>
      <c r="H104" s="260"/>
      <c r="I104" s="260"/>
      <c r="J104" s="260"/>
      <c r="K104" s="260"/>
      <c r="L104" s="260"/>
      <c r="M104" s="260"/>
      <c r="N104" s="261"/>
    </row>
    <row r="105" spans="3:14" x14ac:dyDescent="0.2">
      <c r="C105" s="260"/>
      <c r="D105" s="260"/>
      <c r="E105" s="260"/>
      <c r="F105" s="260"/>
      <c r="G105" s="260"/>
      <c r="H105" s="260"/>
      <c r="I105" s="260"/>
      <c r="J105" s="260"/>
      <c r="K105" s="260"/>
      <c r="L105" s="260"/>
      <c r="M105" s="260"/>
      <c r="N105" s="261"/>
    </row>
    <row r="106" spans="3:14" x14ac:dyDescent="0.2">
      <c r="C106" s="260"/>
      <c r="D106" s="260"/>
      <c r="E106" s="260"/>
      <c r="F106" s="260"/>
      <c r="G106" s="260"/>
      <c r="H106" s="260"/>
      <c r="I106" s="260"/>
      <c r="J106" s="260"/>
      <c r="K106" s="260"/>
      <c r="L106" s="260"/>
      <c r="M106" s="260"/>
      <c r="N106" s="261"/>
    </row>
    <row r="107" spans="3:14" x14ac:dyDescent="0.2">
      <c r="C107" s="260"/>
      <c r="D107" s="260"/>
      <c r="E107" s="260"/>
      <c r="F107" s="260"/>
      <c r="G107" s="260"/>
      <c r="H107" s="260"/>
      <c r="I107" s="260"/>
      <c r="J107" s="260"/>
      <c r="K107" s="260"/>
      <c r="L107" s="260"/>
      <c r="M107" s="260"/>
      <c r="N107" s="261"/>
    </row>
    <row r="108" spans="3:14" x14ac:dyDescent="0.2">
      <c r="C108" s="260"/>
      <c r="D108" s="260"/>
      <c r="E108" s="260"/>
      <c r="F108" s="260"/>
      <c r="G108" s="260"/>
      <c r="H108" s="260"/>
      <c r="I108" s="260"/>
      <c r="J108" s="260"/>
      <c r="K108" s="260"/>
      <c r="L108" s="260"/>
      <c r="M108" s="260"/>
      <c r="N108" s="261"/>
    </row>
    <row r="109" spans="3:14" x14ac:dyDescent="0.2">
      <c r="C109" s="260"/>
      <c r="D109" s="260"/>
      <c r="E109" s="260"/>
      <c r="F109" s="260"/>
      <c r="G109" s="260"/>
      <c r="H109" s="260"/>
      <c r="I109" s="260"/>
      <c r="J109" s="260"/>
      <c r="K109" s="260"/>
      <c r="L109" s="260"/>
      <c r="M109" s="260"/>
      <c r="N109" s="261"/>
    </row>
    <row r="110" spans="3:14" x14ac:dyDescent="0.2">
      <c r="C110" s="260"/>
      <c r="D110" s="260"/>
      <c r="E110" s="260"/>
      <c r="F110" s="260"/>
      <c r="G110" s="260"/>
      <c r="H110" s="260"/>
      <c r="I110" s="260"/>
      <c r="J110" s="260"/>
      <c r="K110" s="260"/>
      <c r="L110" s="260"/>
      <c r="M110" s="260"/>
      <c r="N110" s="261"/>
    </row>
    <row r="111" spans="3:14" x14ac:dyDescent="0.2">
      <c r="C111" s="260"/>
      <c r="D111" s="260"/>
      <c r="E111" s="260"/>
      <c r="F111" s="260"/>
      <c r="G111" s="260"/>
      <c r="H111" s="260"/>
      <c r="I111" s="260"/>
      <c r="J111" s="260"/>
      <c r="K111" s="260"/>
      <c r="L111" s="260"/>
      <c r="M111" s="260"/>
      <c r="N111" s="261"/>
    </row>
    <row r="112" spans="3:14" x14ac:dyDescent="0.2">
      <c r="C112" s="260"/>
      <c r="D112" s="260"/>
      <c r="E112" s="260"/>
      <c r="F112" s="260"/>
      <c r="G112" s="260"/>
      <c r="H112" s="260"/>
      <c r="I112" s="260"/>
      <c r="J112" s="260"/>
      <c r="K112" s="260"/>
      <c r="L112" s="260"/>
      <c r="M112" s="260"/>
      <c r="N112" s="261"/>
    </row>
    <row r="113" spans="3:14" x14ac:dyDescent="0.2">
      <c r="C113" s="260"/>
      <c r="D113" s="260"/>
      <c r="E113" s="260"/>
      <c r="F113" s="260"/>
      <c r="G113" s="260"/>
      <c r="H113" s="260"/>
      <c r="I113" s="260"/>
      <c r="J113" s="260"/>
      <c r="K113" s="260"/>
      <c r="L113" s="260"/>
      <c r="M113" s="260"/>
      <c r="N113" s="261"/>
    </row>
    <row r="114" spans="3:14" x14ac:dyDescent="0.2">
      <c r="C114" s="260"/>
      <c r="D114" s="260"/>
      <c r="E114" s="260"/>
      <c r="F114" s="260"/>
      <c r="G114" s="260"/>
      <c r="H114" s="260"/>
      <c r="I114" s="260"/>
      <c r="J114" s="260"/>
      <c r="K114" s="260"/>
      <c r="L114" s="260"/>
      <c r="M114" s="260"/>
      <c r="N114" s="261"/>
    </row>
    <row r="115" spans="3:14" x14ac:dyDescent="0.2">
      <c r="C115" s="260"/>
      <c r="D115" s="260"/>
      <c r="E115" s="260"/>
      <c r="F115" s="260"/>
      <c r="G115" s="260"/>
      <c r="H115" s="260"/>
      <c r="I115" s="260"/>
      <c r="J115" s="260"/>
      <c r="K115" s="260"/>
      <c r="L115" s="260"/>
      <c r="M115" s="260"/>
      <c r="N115" s="261"/>
    </row>
    <row r="116" spans="3:14" x14ac:dyDescent="0.2">
      <c r="C116" s="260"/>
      <c r="D116" s="260"/>
      <c r="E116" s="260"/>
      <c r="F116" s="260"/>
      <c r="G116" s="260"/>
      <c r="H116" s="260"/>
      <c r="I116" s="260"/>
      <c r="J116" s="260"/>
      <c r="K116" s="260"/>
      <c r="L116" s="260"/>
      <c r="M116" s="260"/>
      <c r="N116" s="261"/>
    </row>
    <row r="117" spans="3:14" x14ac:dyDescent="0.2">
      <c r="C117" s="260"/>
      <c r="D117" s="260"/>
      <c r="E117" s="260"/>
      <c r="F117" s="260"/>
      <c r="G117" s="260"/>
      <c r="H117" s="260"/>
      <c r="I117" s="260"/>
      <c r="J117" s="260"/>
      <c r="K117" s="260"/>
      <c r="L117" s="260"/>
      <c r="M117" s="260"/>
      <c r="N117" s="261"/>
    </row>
    <row r="118" spans="3:14" x14ac:dyDescent="0.2">
      <c r="C118" s="260"/>
      <c r="D118" s="260"/>
      <c r="E118" s="260"/>
      <c r="F118" s="260"/>
      <c r="G118" s="260"/>
      <c r="H118" s="260"/>
      <c r="I118" s="260"/>
      <c r="J118" s="260"/>
      <c r="K118" s="260"/>
      <c r="L118" s="260"/>
      <c r="M118" s="260"/>
      <c r="N118" s="261"/>
    </row>
    <row r="119" spans="3:14" x14ac:dyDescent="0.2">
      <c r="C119" s="260"/>
      <c r="D119" s="260"/>
      <c r="E119" s="260"/>
      <c r="F119" s="260"/>
      <c r="G119" s="260"/>
      <c r="H119" s="260"/>
      <c r="I119" s="260"/>
      <c r="J119" s="260"/>
      <c r="K119" s="260"/>
      <c r="L119" s="260"/>
      <c r="M119" s="260"/>
      <c r="N119" s="261"/>
    </row>
    <row r="120" spans="3:14" x14ac:dyDescent="0.2">
      <c r="C120" s="260"/>
      <c r="D120" s="260"/>
      <c r="E120" s="260"/>
      <c r="F120" s="260"/>
      <c r="G120" s="260"/>
      <c r="H120" s="260"/>
      <c r="I120" s="260"/>
      <c r="J120" s="260"/>
      <c r="K120" s="260"/>
      <c r="L120" s="260"/>
      <c r="M120" s="260"/>
      <c r="N120" s="261"/>
    </row>
    <row r="121" spans="3:14" x14ac:dyDescent="0.2">
      <c r="C121" s="260"/>
      <c r="D121" s="260"/>
      <c r="E121" s="260"/>
      <c r="F121" s="260"/>
      <c r="G121" s="260"/>
      <c r="H121" s="260"/>
      <c r="I121" s="260"/>
      <c r="J121" s="260"/>
      <c r="K121" s="260"/>
      <c r="L121" s="260"/>
      <c r="M121" s="260"/>
      <c r="N121" s="261"/>
    </row>
    <row r="122" spans="3:14" x14ac:dyDescent="0.2">
      <c r="C122" s="260"/>
      <c r="D122" s="260"/>
      <c r="E122" s="260"/>
      <c r="F122" s="260"/>
      <c r="G122" s="260"/>
      <c r="H122" s="260"/>
      <c r="I122" s="260"/>
      <c r="J122" s="260"/>
      <c r="K122" s="260"/>
      <c r="L122" s="260"/>
      <c r="M122" s="260"/>
      <c r="N122" s="261"/>
    </row>
    <row r="123" spans="3:14" x14ac:dyDescent="0.2">
      <c r="C123" s="260"/>
      <c r="D123" s="260"/>
      <c r="E123" s="260"/>
      <c r="F123" s="260"/>
      <c r="G123" s="260"/>
      <c r="H123" s="260"/>
      <c r="I123" s="260"/>
      <c r="J123" s="260"/>
      <c r="K123" s="260"/>
      <c r="L123" s="260"/>
      <c r="M123" s="260"/>
      <c r="N123" s="261"/>
    </row>
    <row r="124" spans="3:14" x14ac:dyDescent="0.2">
      <c r="C124" s="260"/>
      <c r="D124" s="260"/>
      <c r="E124" s="260"/>
      <c r="F124" s="260"/>
      <c r="G124" s="260"/>
      <c r="H124" s="260"/>
      <c r="I124" s="260"/>
      <c r="J124" s="260"/>
      <c r="K124" s="260"/>
      <c r="L124" s="260"/>
      <c r="M124" s="260"/>
      <c r="N124" s="261"/>
    </row>
    <row r="125" spans="3:14" x14ac:dyDescent="0.2">
      <c r="C125" s="260"/>
      <c r="D125" s="260"/>
      <c r="E125" s="260"/>
      <c r="F125" s="260"/>
      <c r="G125" s="260"/>
      <c r="H125" s="260"/>
      <c r="I125" s="260"/>
      <c r="J125" s="260"/>
      <c r="K125" s="260"/>
      <c r="L125" s="260"/>
      <c r="M125" s="260"/>
      <c r="N125" s="261"/>
    </row>
    <row r="126" spans="3:14" x14ac:dyDescent="0.2">
      <c r="C126" s="260"/>
      <c r="D126" s="260"/>
      <c r="E126" s="260"/>
      <c r="F126" s="260"/>
      <c r="G126" s="260"/>
      <c r="H126" s="260"/>
      <c r="I126" s="260"/>
      <c r="J126" s="260"/>
      <c r="K126" s="260"/>
      <c r="L126" s="260"/>
      <c r="M126" s="260"/>
      <c r="N126" s="261"/>
    </row>
    <row r="127" spans="3:14" x14ac:dyDescent="0.2">
      <c r="C127" s="260"/>
      <c r="D127" s="260"/>
      <c r="E127" s="260"/>
      <c r="F127" s="260"/>
      <c r="G127" s="260"/>
      <c r="H127" s="260"/>
      <c r="I127" s="260"/>
      <c r="J127" s="260"/>
      <c r="K127" s="260"/>
      <c r="L127" s="260"/>
      <c r="M127" s="260"/>
      <c r="N127" s="261"/>
    </row>
    <row r="128" spans="3:14" x14ac:dyDescent="0.2">
      <c r="C128" s="260"/>
      <c r="D128" s="260"/>
      <c r="E128" s="260"/>
      <c r="F128" s="260"/>
      <c r="G128" s="260"/>
      <c r="H128" s="260"/>
      <c r="I128" s="260"/>
      <c r="J128" s="260"/>
      <c r="K128" s="260"/>
      <c r="L128" s="260"/>
      <c r="M128" s="260"/>
      <c r="N128" s="261"/>
    </row>
    <row r="129" spans="3:14" x14ac:dyDescent="0.2">
      <c r="C129" s="260"/>
      <c r="D129" s="260"/>
      <c r="E129" s="260"/>
      <c r="F129" s="260"/>
      <c r="G129" s="260"/>
      <c r="H129" s="260"/>
      <c r="I129" s="260"/>
      <c r="J129" s="260"/>
      <c r="K129" s="260"/>
      <c r="L129" s="260"/>
      <c r="M129" s="260"/>
      <c r="N129" s="261"/>
    </row>
    <row r="130" spans="3:14" x14ac:dyDescent="0.2">
      <c r="C130" s="260"/>
      <c r="D130" s="260"/>
      <c r="E130" s="260"/>
      <c r="F130" s="260"/>
      <c r="G130" s="260"/>
      <c r="H130" s="260"/>
      <c r="I130" s="260"/>
      <c r="J130" s="260"/>
      <c r="K130" s="260"/>
      <c r="L130" s="260"/>
      <c r="M130" s="260"/>
      <c r="N130" s="261"/>
    </row>
    <row r="131" spans="3:14" x14ac:dyDescent="0.2">
      <c r="C131" s="260"/>
      <c r="D131" s="260"/>
      <c r="E131" s="260"/>
      <c r="F131" s="260"/>
      <c r="G131" s="260"/>
      <c r="H131" s="260"/>
      <c r="I131" s="260"/>
      <c r="J131" s="260"/>
      <c r="K131" s="260"/>
      <c r="L131" s="260"/>
      <c r="M131" s="260"/>
      <c r="N131" s="261"/>
    </row>
    <row r="132" spans="3:14" x14ac:dyDescent="0.2">
      <c r="C132" s="260"/>
      <c r="D132" s="260"/>
      <c r="E132" s="260"/>
      <c r="F132" s="260"/>
      <c r="G132" s="260"/>
      <c r="H132" s="260"/>
      <c r="I132" s="260"/>
      <c r="J132" s="260"/>
      <c r="K132" s="260"/>
      <c r="L132" s="260"/>
      <c r="M132" s="260"/>
      <c r="N132" s="261"/>
    </row>
    <row r="133" spans="3:14" x14ac:dyDescent="0.2">
      <c r="C133" s="260"/>
      <c r="D133" s="260"/>
      <c r="E133" s="260"/>
      <c r="F133" s="260"/>
      <c r="G133" s="260"/>
      <c r="H133" s="260"/>
      <c r="I133" s="260"/>
      <c r="J133" s="260"/>
      <c r="K133" s="260"/>
      <c r="L133" s="260"/>
      <c r="M133" s="260"/>
      <c r="N133" s="261"/>
    </row>
    <row r="134" spans="3:14" x14ac:dyDescent="0.2">
      <c r="C134" s="260"/>
      <c r="D134" s="260"/>
      <c r="E134" s="260"/>
      <c r="F134" s="260"/>
      <c r="G134" s="260"/>
      <c r="H134" s="260"/>
      <c r="I134" s="260"/>
      <c r="J134" s="260"/>
      <c r="K134" s="260"/>
      <c r="L134" s="260"/>
      <c r="M134" s="260"/>
      <c r="N134" s="261"/>
    </row>
    <row r="135" spans="3:14" x14ac:dyDescent="0.2">
      <c r="C135" s="260"/>
      <c r="D135" s="260"/>
      <c r="E135" s="260"/>
      <c r="F135" s="260"/>
      <c r="G135" s="260"/>
      <c r="H135" s="260"/>
      <c r="I135" s="260"/>
      <c r="J135" s="260"/>
      <c r="K135" s="260"/>
      <c r="L135" s="260"/>
      <c r="M135" s="260"/>
      <c r="N135" s="261"/>
    </row>
    <row r="136" spans="3:14" x14ac:dyDescent="0.2">
      <c r="C136" s="260"/>
      <c r="D136" s="260"/>
      <c r="E136" s="260"/>
      <c r="F136" s="260"/>
      <c r="G136" s="260"/>
      <c r="H136" s="260"/>
      <c r="I136" s="260"/>
      <c r="J136" s="260"/>
      <c r="K136" s="260"/>
      <c r="L136" s="260"/>
      <c r="M136" s="260"/>
      <c r="N136" s="261"/>
    </row>
    <row r="137" spans="3:14" x14ac:dyDescent="0.2">
      <c r="C137" s="260"/>
      <c r="D137" s="260"/>
      <c r="E137" s="260"/>
      <c r="F137" s="260"/>
      <c r="G137" s="260"/>
      <c r="H137" s="260"/>
      <c r="I137" s="260"/>
      <c r="J137" s="260"/>
      <c r="K137" s="260"/>
      <c r="L137" s="260"/>
      <c r="M137" s="260"/>
      <c r="N137" s="261"/>
    </row>
    <row r="138" spans="3:14" x14ac:dyDescent="0.2">
      <c r="C138" s="260"/>
      <c r="D138" s="260"/>
      <c r="E138" s="260"/>
      <c r="F138" s="260"/>
      <c r="G138" s="260"/>
      <c r="H138" s="260"/>
      <c r="I138" s="260"/>
      <c r="J138" s="260"/>
      <c r="K138" s="260"/>
      <c r="L138" s="260"/>
      <c r="M138" s="260"/>
      <c r="N138" s="261"/>
    </row>
    <row r="139" spans="3:14" x14ac:dyDescent="0.2">
      <c r="C139" s="260"/>
      <c r="D139" s="260"/>
      <c r="E139" s="260"/>
      <c r="F139" s="260"/>
      <c r="G139" s="260"/>
      <c r="H139" s="260"/>
      <c r="I139" s="260"/>
      <c r="J139" s="260"/>
      <c r="K139" s="260"/>
      <c r="L139" s="260"/>
      <c r="M139" s="260"/>
      <c r="N139" s="261"/>
    </row>
    <row r="140" spans="3:14" x14ac:dyDescent="0.2">
      <c r="C140" s="260"/>
      <c r="D140" s="260"/>
      <c r="E140" s="260"/>
      <c r="F140" s="260"/>
      <c r="G140" s="260"/>
      <c r="H140" s="260"/>
      <c r="I140" s="260"/>
      <c r="J140" s="260"/>
      <c r="K140" s="260"/>
      <c r="L140" s="260"/>
      <c r="M140" s="260"/>
      <c r="N140" s="261"/>
    </row>
    <row r="141" spans="3:14" x14ac:dyDescent="0.2">
      <c r="C141" s="260"/>
      <c r="D141" s="260"/>
      <c r="E141" s="260"/>
      <c r="F141" s="260"/>
      <c r="G141" s="260"/>
      <c r="H141" s="260"/>
      <c r="I141" s="260"/>
      <c r="J141" s="260"/>
      <c r="K141" s="260"/>
      <c r="L141" s="260"/>
      <c r="M141" s="260"/>
      <c r="N141" s="261"/>
    </row>
    <row r="142" spans="3:14" x14ac:dyDescent="0.2">
      <c r="C142" s="260"/>
      <c r="D142" s="260"/>
      <c r="E142" s="260"/>
      <c r="F142" s="260"/>
      <c r="G142" s="260"/>
      <c r="H142" s="260"/>
      <c r="I142" s="260"/>
      <c r="J142" s="260"/>
      <c r="K142" s="260"/>
      <c r="L142" s="260"/>
      <c r="M142" s="260"/>
      <c r="N142" s="261"/>
    </row>
    <row r="143" spans="3:14" x14ac:dyDescent="0.2">
      <c r="C143" s="260"/>
      <c r="D143" s="260"/>
      <c r="E143" s="260"/>
      <c r="F143" s="260"/>
      <c r="G143" s="260"/>
      <c r="H143" s="260"/>
      <c r="I143" s="260"/>
      <c r="J143" s="260"/>
      <c r="K143" s="260"/>
      <c r="L143" s="260"/>
      <c r="M143" s="260"/>
      <c r="N143" s="261"/>
    </row>
    <row r="144" spans="3:14" x14ac:dyDescent="0.2">
      <c r="C144" s="260"/>
      <c r="D144" s="260"/>
      <c r="E144" s="260"/>
      <c r="F144" s="260"/>
      <c r="G144" s="260"/>
      <c r="H144" s="260"/>
      <c r="I144" s="260"/>
      <c r="J144" s="260"/>
      <c r="K144" s="260"/>
      <c r="L144" s="260"/>
      <c r="M144" s="260"/>
      <c r="N144" s="261"/>
    </row>
    <row r="145" spans="3:14" x14ac:dyDescent="0.2">
      <c r="C145" s="260"/>
      <c r="D145" s="260"/>
      <c r="E145" s="260"/>
      <c r="F145" s="260"/>
      <c r="G145" s="260"/>
      <c r="H145" s="260"/>
      <c r="I145" s="260"/>
      <c r="J145" s="260"/>
      <c r="K145" s="260"/>
      <c r="L145" s="260"/>
      <c r="M145" s="260"/>
      <c r="N145" s="261"/>
    </row>
    <row r="146" spans="3:14" x14ac:dyDescent="0.2">
      <c r="C146" s="260"/>
      <c r="D146" s="260"/>
      <c r="E146" s="260"/>
      <c r="F146" s="260"/>
      <c r="G146" s="260"/>
      <c r="H146" s="260"/>
      <c r="I146" s="260"/>
      <c r="J146" s="260"/>
      <c r="K146" s="260"/>
      <c r="L146" s="260"/>
      <c r="M146" s="260"/>
      <c r="N146" s="261"/>
    </row>
    <row r="147" spans="3:14" x14ac:dyDescent="0.2">
      <c r="C147" s="260"/>
      <c r="D147" s="260"/>
      <c r="E147" s="260"/>
      <c r="F147" s="260"/>
      <c r="G147" s="260"/>
      <c r="H147" s="260"/>
      <c r="I147" s="260"/>
      <c r="J147" s="260"/>
      <c r="K147" s="260"/>
      <c r="L147" s="260"/>
      <c r="M147" s="260"/>
      <c r="N147" s="261"/>
    </row>
    <row r="148" spans="3:14" x14ac:dyDescent="0.2">
      <c r="C148" s="260"/>
      <c r="D148" s="260"/>
      <c r="E148" s="260"/>
      <c r="F148" s="260"/>
      <c r="G148" s="260"/>
      <c r="H148" s="260"/>
      <c r="I148" s="260"/>
      <c r="J148" s="260"/>
      <c r="K148" s="260"/>
      <c r="L148" s="260"/>
      <c r="M148" s="260"/>
      <c r="N148" s="261"/>
    </row>
    <row r="149" spans="3:14" x14ac:dyDescent="0.2">
      <c r="C149" s="260"/>
      <c r="D149" s="260"/>
      <c r="E149" s="260"/>
      <c r="F149" s="260"/>
      <c r="G149" s="260"/>
      <c r="H149" s="260"/>
      <c r="I149" s="260"/>
      <c r="J149" s="260"/>
      <c r="K149" s="260"/>
      <c r="L149" s="260"/>
      <c r="M149" s="260"/>
      <c r="N149" s="261"/>
    </row>
    <row r="150" spans="3:14" x14ac:dyDescent="0.2">
      <c r="C150" s="260"/>
      <c r="D150" s="260"/>
      <c r="E150" s="260"/>
      <c r="F150" s="260"/>
      <c r="G150" s="260"/>
      <c r="H150" s="260"/>
      <c r="I150" s="260"/>
      <c r="J150" s="260"/>
      <c r="K150" s="260"/>
      <c r="L150" s="260"/>
      <c r="M150" s="260"/>
      <c r="N150" s="261"/>
    </row>
    <row r="151" spans="3:14" x14ac:dyDescent="0.2">
      <c r="C151" s="260"/>
      <c r="D151" s="260"/>
      <c r="E151" s="260"/>
      <c r="F151" s="260"/>
      <c r="G151" s="260"/>
      <c r="H151" s="260"/>
      <c r="I151" s="260"/>
      <c r="J151" s="260"/>
      <c r="K151" s="260"/>
      <c r="L151" s="260"/>
      <c r="M151" s="260"/>
      <c r="N151" s="261"/>
    </row>
    <row r="152" spans="3:14" x14ac:dyDescent="0.2">
      <c r="C152" s="260"/>
      <c r="D152" s="260"/>
      <c r="E152" s="260"/>
      <c r="F152" s="260"/>
      <c r="G152" s="260"/>
      <c r="H152" s="260"/>
      <c r="I152" s="260"/>
      <c r="J152" s="260"/>
      <c r="K152" s="260"/>
      <c r="L152" s="260"/>
      <c r="M152" s="260"/>
      <c r="N152" s="261"/>
    </row>
    <row r="153" spans="3:14" x14ac:dyDescent="0.2">
      <c r="C153" s="260"/>
      <c r="D153" s="260"/>
      <c r="E153" s="260"/>
      <c r="F153" s="260"/>
      <c r="G153" s="260"/>
      <c r="H153" s="260"/>
      <c r="I153" s="260"/>
      <c r="J153" s="260"/>
      <c r="K153" s="260"/>
      <c r="L153" s="260"/>
      <c r="M153" s="260"/>
      <c r="N153" s="261"/>
    </row>
    <row r="154" spans="3:14" x14ac:dyDescent="0.2">
      <c r="C154" s="260"/>
      <c r="D154" s="260"/>
      <c r="E154" s="260"/>
      <c r="F154" s="260"/>
      <c r="G154" s="260"/>
      <c r="H154" s="260"/>
      <c r="I154" s="260"/>
      <c r="J154" s="260"/>
      <c r="K154" s="260"/>
      <c r="L154" s="260"/>
      <c r="M154" s="260"/>
      <c r="N154" s="261"/>
    </row>
    <row r="155" spans="3:14" x14ac:dyDescent="0.2">
      <c r="C155" s="260"/>
      <c r="D155" s="260"/>
      <c r="E155" s="260"/>
      <c r="F155" s="260"/>
      <c r="G155" s="260"/>
      <c r="H155" s="260"/>
      <c r="I155" s="260"/>
      <c r="J155" s="260"/>
      <c r="K155" s="260"/>
      <c r="L155" s="260"/>
      <c r="M155" s="260"/>
      <c r="N155" s="261"/>
    </row>
    <row r="156" spans="3:14" x14ac:dyDescent="0.2">
      <c r="C156" s="260"/>
      <c r="D156" s="260"/>
      <c r="E156" s="260"/>
      <c r="F156" s="260"/>
      <c r="G156" s="260"/>
      <c r="H156" s="260"/>
      <c r="I156" s="260"/>
      <c r="J156" s="260"/>
      <c r="K156" s="260"/>
      <c r="L156" s="260"/>
      <c r="M156" s="260"/>
      <c r="N156" s="261"/>
    </row>
    <row r="157" spans="3:14" x14ac:dyDescent="0.2">
      <c r="C157" s="260"/>
      <c r="D157" s="260"/>
      <c r="E157" s="260"/>
      <c r="F157" s="260"/>
      <c r="G157" s="260"/>
      <c r="H157" s="260"/>
      <c r="I157" s="260"/>
      <c r="J157" s="260"/>
      <c r="K157" s="260"/>
      <c r="L157" s="260"/>
      <c r="M157" s="260"/>
      <c r="N157" s="261"/>
    </row>
    <row r="158" spans="3:14" x14ac:dyDescent="0.2">
      <c r="C158" s="260"/>
      <c r="D158" s="260"/>
      <c r="E158" s="260"/>
      <c r="F158" s="260"/>
      <c r="G158" s="260"/>
      <c r="H158" s="260"/>
      <c r="I158" s="260"/>
      <c r="J158" s="260"/>
      <c r="K158" s="260"/>
      <c r="L158" s="260"/>
      <c r="M158" s="260"/>
      <c r="N158" s="261"/>
    </row>
    <row r="159" spans="3:14" x14ac:dyDescent="0.2">
      <c r="C159" s="260"/>
      <c r="D159" s="260"/>
      <c r="E159" s="260"/>
      <c r="F159" s="260"/>
      <c r="G159" s="260"/>
      <c r="H159" s="260"/>
      <c r="I159" s="260"/>
      <c r="J159" s="260"/>
      <c r="K159" s="260"/>
      <c r="L159" s="260"/>
      <c r="M159" s="260"/>
      <c r="N159" s="261"/>
    </row>
    <row r="160" spans="3:14" x14ac:dyDescent="0.2">
      <c r="C160" s="260"/>
      <c r="D160" s="260"/>
      <c r="E160" s="260"/>
      <c r="F160" s="260"/>
      <c r="G160" s="260"/>
      <c r="H160" s="260"/>
      <c r="I160" s="260"/>
      <c r="J160" s="260"/>
      <c r="K160" s="260"/>
      <c r="L160" s="260"/>
      <c r="M160" s="260"/>
      <c r="N160" s="261"/>
    </row>
    <row r="161" spans="3:14" x14ac:dyDescent="0.2">
      <c r="C161" s="260"/>
      <c r="D161" s="260"/>
      <c r="E161" s="260"/>
      <c r="F161" s="260"/>
      <c r="G161" s="260"/>
      <c r="H161" s="260"/>
      <c r="I161" s="260"/>
      <c r="J161" s="260"/>
      <c r="K161" s="260"/>
      <c r="L161" s="260"/>
      <c r="M161" s="260"/>
      <c r="N161" s="261"/>
    </row>
    <row r="162" spans="3:14" x14ac:dyDescent="0.2">
      <c r="C162" s="260"/>
      <c r="D162" s="260"/>
      <c r="E162" s="260"/>
      <c r="F162" s="260"/>
      <c r="G162" s="260"/>
      <c r="H162" s="260"/>
      <c r="I162" s="260"/>
      <c r="J162" s="260"/>
      <c r="K162" s="260"/>
      <c r="L162" s="260"/>
      <c r="M162" s="260"/>
      <c r="N162" s="261"/>
    </row>
    <row r="163" spans="3:14" x14ac:dyDescent="0.2">
      <c r="C163" s="260"/>
      <c r="D163" s="260"/>
      <c r="E163" s="260"/>
      <c r="F163" s="260"/>
      <c r="G163" s="260"/>
      <c r="H163" s="260"/>
      <c r="I163" s="260"/>
      <c r="J163" s="260"/>
      <c r="K163" s="260"/>
      <c r="L163" s="260"/>
      <c r="M163" s="260"/>
      <c r="N163" s="261"/>
    </row>
    <row r="164" spans="3:14" x14ac:dyDescent="0.2">
      <c r="C164" s="260"/>
      <c r="D164" s="260"/>
      <c r="E164" s="260"/>
      <c r="F164" s="260"/>
      <c r="G164" s="260"/>
      <c r="H164" s="260"/>
      <c r="I164" s="260"/>
      <c r="J164" s="260"/>
      <c r="K164" s="260"/>
      <c r="L164" s="260"/>
      <c r="M164" s="260"/>
      <c r="N164" s="261"/>
    </row>
    <row r="165" spans="3:14" x14ac:dyDescent="0.2">
      <c r="C165" s="260"/>
      <c r="D165" s="260"/>
      <c r="E165" s="260"/>
      <c r="F165" s="260"/>
      <c r="G165" s="260"/>
      <c r="H165" s="260"/>
      <c r="I165" s="260"/>
      <c r="J165" s="260"/>
      <c r="K165" s="260"/>
      <c r="L165" s="260"/>
      <c r="M165" s="260"/>
      <c r="N165" s="261"/>
    </row>
    <row r="166" spans="3:14" x14ac:dyDescent="0.2">
      <c r="C166" s="260"/>
      <c r="D166" s="260"/>
      <c r="E166" s="260"/>
      <c r="F166" s="260"/>
      <c r="G166" s="260"/>
      <c r="H166" s="260"/>
      <c r="I166" s="260"/>
      <c r="J166" s="260"/>
      <c r="K166" s="260"/>
      <c r="L166" s="260"/>
      <c r="M166" s="260"/>
      <c r="N166" s="261"/>
    </row>
    <row r="167" spans="3:14" x14ac:dyDescent="0.2">
      <c r="C167" s="260"/>
      <c r="D167" s="260"/>
      <c r="E167" s="260"/>
      <c r="F167" s="260"/>
      <c r="G167" s="260"/>
      <c r="H167" s="260"/>
      <c r="I167" s="260"/>
      <c r="J167" s="260"/>
      <c r="K167" s="260"/>
      <c r="L167" s="260"/>
      <c r="M167" s="260"/>
      <c r="N167" s="261"/>
    </row>
    <row r="168" spans="3:14" x14ac:dyDescent="0.2">
      <c r="C168" s="260"/>
      <c r="D168" s="260"/>
      <c r="E168" s="260"/>
      <c r="F168" s="260"/>
      <c r="G168" s="260"/>
      <c r="H168" s="260"/>
      <c r="I168" s="260"/>
      <c r="J168" s="260"/>
      <c r="K168" s="260"/>
      <c r="L168" s="260"/>
      <c r="M168" s="260"/>
      <c r="N168" s="261"/>
    </row>
    <row r="169" spans="3:14" x14ac:dyDescent="0.2">
      <c r="C169" s="260"/>
      <c r="D169" s="260"/>
      <c r="E169" s="260"/>
      <c r="F169" s="260"/>
      <c r="G169" s="260"/>
      <c r="H169" s="260"/>
      <c r="I169" s="260"/>
      <c r="J169" s="260"/>
      <c r="K169" s="260"/>
      <c r="L169" s="260"/>
      <c r="M169" s="260"/>
      <c r="N169" s="261"/>
    </row>
    <row r="170" spans="3:14" x14ac:dyDescent="0.2">
      <c r="C170" s="260"/>
      <c r="D170" s="260"/>
      <c r="E170" s="260"/>
      <c r="F170" s="260"/>
      <c r="G170" s="260"/>
      <c r="H170" s="260"/>
      <c r="I170" s="260"/>
      <c r="J170" s="260"/>
      <c r="K170" s="260"/>
      <c r="L170" s="260"/>
      <c r="M170" s="260"/>
      <c r="N170" s="261"/>
    </row>
    <row r="171" spans="3:14" x14ac:dyDescent="0.2">
      <c r="C171" s="260"/>
      <c r="D171" s="260"/>
      <c r="E171" s="260"/>
      <c r="F171" s="260"/>
      <c r="G171" s="260"/>
      <c r="H171" s="260"/>
      <c r="I171" s="260"/>
      <c r="J171" s="260"/>
      <c r="K171" s="260"/>
      <c r="L171" s="260"/>
      <c r="M171" s="260"/>
      <c r="N171" s="261"/>
    </row>
    <row r="172" spans="3:14" x14ac:dyDescent="0.2">
      <c r="C172" s="260"/>
      <c r="D172" s="260"/>
      <c r="E172" s="260"/>
      <c r="F172" s="260"/>
      <c r="G172" s="260"/>
      <c r="H172" s="260"/>
      <c r="I172" s="260"/>
      <c r="J172" s="260"/>
      <c r="K172" s="260"/>
      <c r="L172" s="260"/>
      <c r="M172" s="260"/>
      <c r="N172" s="261"/>
    </row>
    <row r="173" spans="3:14" x14ac:dyDescent="0.2">
      <c r="C173" s="260"/>
      <c r="D173" s="260"/>
      <c r="E173" s="260"/>
      <c r="F173" s="260"/>
      <c r="G173" s="260"/>
      <c r="H173" s="260"/>
      <c r="I173" s="260"/>
      <c r="J173" s="260"/>
      <c r="K173" s="260"/>
      <c r="L173" s="260"/>
      <c r="M173" s="260"/>
      <c r="N173" s="261"/>
    </row>
    <row r="174" spans="3:14" x14ac:dyDescent="0.2">
      <c r="C174" s="260"/>
      <c r="D174" s="260"/>
      <c r="E174" s="260"/>
      <c r="F174" s="260"/>
      <c r="G174" s="260"/>
      <c r="H174" s="260"/>
      <c r="I174" s="260"/>
      <c r="J174" s="260"/>
      <c r="K174" s="260"/>
      <c r="L174" s="260"/>
      <c r="M174" s="260"/>
      <c r="N174" s="261"/>
    </row>
    <row r="175" spans="3:14" x14ac:dyDescent="0.2">
      <c r="C175" s="260"/>
      <c r="D175" s="260"/>
      <c r="E175" s="260"/>
      <c r="F175" s="260"/>
      <c r="G175" s="260"/>
      <c r="H175" s="260"/>
      <c r="I175" s="260"/>
      <c r="J175" s="260"/>
      <c r="K175" s="260"/>
      <c r="L175" s="260"/>
      <c r="M175" s="260"/>
      <c r="N175" s="261"/>
    </row>
    <row r="176" spans="3:14" x14ac:dyDescent="0.2">
      <c r="C176" s="260"/>
      <c r="D176" s="260"/>
      <c r="E176" s="260"/>
      <c r="F176" s="260"/>
      <c r="G176" s="260"/>
      <c r="H176" s="260"/>
      <c r="I176" s="260"/>
      <c r="J176" s="260"/>
      <c r="K176" s="260"/>
      <c r="L176" s="260"/>
      <c r="M176" s="260"/>
      <c r="N176" s="261"/>
    </row>
    <row r="177" spans="3:14" x14ac:dyDescent="0.2">
      <c r="C177" s="260"/>
      <c r="D177" s="260"/>
      <c r="E177" s="260"/>
      <c r="F177" s="260"/>
      <c r="G177" s="260"/>
      <c r="H177" s="260"/>
      <c r="I177" s="260"/>
      <c r="J177" s="260"/>
      <c r="K177" s="260"/>
      <c r="L177" s="260"/>
      <c r="M177" s="260"/>
      <c r="N177" s="261"/>
    </row>
    <row r="178" spans="3:14" x14ac:dyDescent="0.2">
      <c r="C178" s="260"/>
      <c r="D178" s="260"/>
      <c r="E178" s="260"/>
      <c r="F178" s="260"/>
      <c r="G178" s="260"/>
      <c r="H178" s="260"/>
      <c r="I178" s="260"/>
      <c r="J178" s="260"/>
      <c r="K178" s="260"/>
      <c r="L178" s="260"/>
      <c r="M178" s="260"/>
      <c r="N178" s="261"/>
    </row>
    <row r="179" spans="3:14" x14ac:dyDescent="0.2">
      <c r="C179" s="260"/>
      <c r="D179" s="260"/>
      <c r="E179" s="260"/>
      <c r="F179" s="260"/>
      <c r="G179" s="260"/>
      <c r="H179" s="260"/>
      <c r="I179" s="260"/>
      <c r="J179" s="260"/>
      <c r="K179" s="260"/>
      <c r="L179" s="260"/>
      <c r="M179" s="260"/>
      <c r="N179" s="261"/>
    </row>
    <row r="180" spans="3:14" x14ac:dyDescent="0.2">
      <c r="C180" s="260"/>
      <c r="D180" s="260"/>
      <c r="E180" s="260"/>
      <c r="F180" s="260"/>
      <c r="G180" s="260"/>
      <c r="H180" s="260"/>
      <c r="I180" s="260"/>
      <c r="J180" s="260"/>
      <c r="K180" s="260"/>
      <c r="L180" s="260"/>
      <c r="M180" s="260"/>
      <c r="N180" s="261"/>
    </row>
    <row r="181" spans="3:14" x14ac:dyDescent="0.2">
      <c r="C181" s="260"/>
      <c r="D181" s="260"/>
      <c r="E181" s="260"/>
      <c r="F181" s="260"/>
      <c r="G181" s="260"/>
      <c r="H181" s="260"/>
      <c r="I181" s="260"/>
      <c r="J181" s="260"/>
      <c r="K181" s="260"/>
      <c r="L181" s="260"/>
      <c r="M181" s="260"/>
      <c r="N181" s="261"/>
    </row>
    <row r="182" spans="3:14" x14ac:dyDescent="0.2">
      <c r="C182" s="260"/>
      <c r="D182" s="260"/>
      <c r="E182" s="260"/>
      <c r="F182" s="260"/>
      <c r="G182" s="260"/>
      <c r="H182" s="260"/>
      <c r="I182" s="260"/>
      <c r="J182" s="260"/>
      <c r="K182" s="260"/>
      <c r="L182" s="260"/>
      <c r="M182" s="260"/>
      <c r="N182" s="261"/>
    </row>
    <row r="183" spans="3:14" x14ac:dyDescent="0.2">
      <c r="C183" s="260"/>
      <c r="D183" s="260"/>
      <c r="E183" s="260"/>
      <c r="F183" s="260"/>
      <c r="G183" s="260"/>
      <c r="H183" s="260"/>
      <c r="I183" s="260"/>
      <c r="J183" s="260"/>
      <c r="K183" s="260"/>
      <c r="L183" s="260"/>
      <c r="M183" s="260"/>
      <c r="N183" s="261"/>
    </row>
    <row r="184" spans="3:14" x14ac:dyDescent="0.2">
      <c r="C184" s="260"/>
      <c r="D184" s="260"/>
      <c r="E184" s="260"/>
      <c r="F184" s="260"/>
      <c r="G184" s="260"/>
      <c r="H184" s="260"/>
      <c r="I184" s="260"/>
      <c r="J184" s="260"/>
      <c r="K184" s="260"/>
      <c r="L184" s="260"/>
      <c r="M184" s="260"/>
      <c r="N184" s="261"/>
    </row>
    <row r="185" spans="3:14" x14ac:dyDescent="0.2">
      <c r="C185" s="260"/>
      <c r="D185" s="260"/>
      <c r="E185" s="260"/>
      <c r="F185" s="260"/>
      <c r="G185" s="260"/>
      <c r="H185" s="260"/>
      <c r="I185" s="260"/>
      <c r="J185" s="260"/>
      <c r="K185" s="260"/>
      <c r="L185" s="260"/>
      <c r="M185" s="260"/>
      <c r="N185" s="261"/>
    </row>
    <row r="186" spans="3:14" x14ac:dyDescent="0.2">
      <c r="C186" s="260"/>
      <c r="D186" s="260"/>
      <c r="E186" s="260"/>
      <c r="F186" s="260"/>
      <c r="G186" s="260"/>
      <c r="H186" s="260"/>
      <c r="I186" s="260"/>
      <c r="J186" s="260"/>
      <c r="K186" s="260"/>
      <c r="L186" s="260"/>
      <c r="M186" s="260"/>
      <c r="N186" s="261"/>
    </row>
    <row r="187" spans="3:14" x14ac:dyDescent="0.2">
      <c r="C187" s="260"/>
      <c r="D187" s="260"/>
      <c r="E187" s="260"/>
      <c r="F187" s="260"/>
      <c r="G187" s="260"/>
      <c r="H187" s="260"/>
      <c r="I187" s="260"/>
      <c r="J187" s="260"/>
      <c r="K187" s="260"/>
      <c r="L187" s="260"/>
      <c r="M187" s="260"/>
      <c r="N187" s="261"/>
    </row>
    <row r="188" spans="3:14" x14ac:dyDescent="0.2">
      <c r="C188" s="260"/>
      <c r="D188" s="260"/>
      <c r="E188" s="260"/>
      <c r="F188" s="260"/>
      <c r="G188" s="260"/>
      <c r="H188" s="260"/>
      <c r="I188" s="260"/>
      <c r="J188" s="260"/>
      <c r="K188" s="260"/>
      <c r="L188" s="260"/>
      <c r="M188" s="260"/>
      <c r="N188" s="261"/>
    </row>
    <row r="189" spans="3:14" x14ac:dyDescent="0.2">
      <c r="C189" s="260"/>
      <c r="D189" s="260"/>
      <c r="E189" s="260"/>
      <c r="F189" s="260"/>
      <c r="G189" s="260"/>
      <c r="H189" s="260"/>
      <c r="I189" s="260"/>
      <c r="J189" s="260"/>
      <c r="K189" s="260"/>
      <c r="L189" s="260"/>
      <c r="M189" s="260"/>
      <c r="N189" s="261"/>
    </row>
    <row r="190" spans="3:14" x14ac:dyDescent="0.2">
      <c r="C190" s="260"/>
      <c r="D190" s="260"/>
      <c r="E190" s="260"/>
      <c r="F190" s="260"/>
      <c r="G190" s="260"/>
      <c r="H190" s="260"/>
      <c r="I190" s="260"/>
      <c r="J190" s="260"/>
      <c r="K190" s="260"/>
      <c r="L190" s="260"/>
      <c r="M190" s="260"/>
      <c r="N190" s="261"/>
    </row>
    <row r="191" spans="3:14" x14ac:dyDescent="0.2">
      <c r="C191" s="260"/>
      <c r="D191" s="260"/>
      <c r="E191" s="260"/>
      <c r="F191" s="260"/>
      <c r="G191" s="260"/>
      <c r="H191" s="260"/>
      <c r="I191" s="260"/>
      <c r="J191" s="260"/>
      <c r="K191" s="260"/>
      <c r="L191" s="260"/>
      <c r="M191" s="260"/>
      <c r="N191" s="261"/>
    </row>
    <row r="192" spans="3:14" x14ac:dyDescent="0.2">
      <c r="C192" s="260"/>
      <c r="D192" s="260"/>
      <c r="E192" s="260"/>
      <c r="F192" s="260"/>
      <c r="G192" s="260"/>
      <c r="H192" s="260"/>
      <c r="I192" s="260"/>
      <c r="J192" s="260"/>
      <c r="K192" s="260"/>
      <c r="L192" s="260"/>
      <c r="M192" s="260"/>
      <c r="N192" s="261"/>
    </row>
    <row r="193" spans="3:14" x14ac:dyDescent="0.2">
      <c r="C193" s="260"/>
      <c r="D193" s="260"/>
      <c r="E193" s="260"/>
      <c r="F193" s="260"/>
      <c r="G193" s="260"/>
      <c r="H193" s="260"/>
      <c r="I193" s="260"/>
      <c r="J193" s="260"/>
      <c r="K193" s="260"/>
      <c r="L193" s="260"/>
      <c r="M193" s="260"/>
      <c r="N193" s="261"/>
    </row>
    <row r="194" spans="3:14" x14ac:dyDescent="0.2">
      <c r="C194" s="260"/>
      <c r="D194" s="260"/>
      <c r="E194" s="260"/>
      <c r="F194" s="260"/>
      <c r="G194" s="260"/>
      <c r="H194" s="260"/>
      <c r="I194" s="260"/>
      <c r="J194" s="260"/>
      <c r="K194" s="260"/>
      <c r="L194" s="260"/>
      <c r="M194" s="260"/>
      <c r="N194" s="261"/>
    </row>
    <row r="195" spans="3:14" x14ac:dyDescent="0.2">
      <c r="C195" s="260"/>
      <c r="D195" s="260"/>
      <c r="E195" s="260"/>
      <c r="F195" s="260"/>
      <c r="G195" s="260"/>
      <c r="H195" s="260"/>
      <c r="I195" s="260"/>
      <c r="J195" s="260"/>
      <c r="K195" s="260"/>
      <c r="L195" s="260"/>
      <c r="M195" s="260"/>
      <c r="N195" s="261"/>
    </row>
    <row r="196" spans="3:14" x14ac:dyDescent="0.2">
      <c r="C196" s="260"/>
      <c r="D196" s="260"/>
      <c r="E196" s="260"/>
      <c r="F196" s="260"/>
      <c r="G196" s="260"/>
      <c r="H196" s="260"/>
      <c r="I196" s="260"/>
      <c r="J196" s="260"/>
      <c r="K196" s="260"/>
      <c r="L196" s="260"/>
      <c r="M196" s="260"/>
      <c r="N196" s="261"/>
    </row>
    <row r="197" spans="3:14" x14ac:dyDescent="0.2">
      <c r="C197" s="260"/>
      <c r="D197" s="260"/>
      <c r="E197" s="260"/>
      <c r="F197" s="260"/>
      <c r="G197" s="260"/>
      <c r="H197" s="260"/>
      <c r="I197" s="260"/>
      <c r="J197" s="260"/>
      <c r="K197" s="260"/>
      <c r="L197" s="260"/>
      <c r="M197" s="260"/>
      <c r="N197" s="261"/>
    </row>
    <row r="198" spans="3:14" x14ac:dyDescent="0.2">
      <c r="C198" s="260"/>
      <c r="D198" s="260"/>
      <c r="E198" s="260"/>
      <c r="F198" s="260"/>
      <c r="G198" s="260"/>
      <c r="H198" s="260"/>
      <c r="I198" s="260"/>
      <c r="J198" s="260"/>
      <c r="K198" s="260"/>
      <c r="L198" s="260"/>
      <c r="M198" s="260"/>
      <c r="N198" s="261"/>
    </row>
    <row r="199" spans="3:14" x14ac:dyDescent="0.2">
      <c r="C199" s="260"/>
      <c r="D199" s="260"/>
      <c r="E199" s="260"/>
      <c r="F199" s="260"/>
      <c r="G199" s="260"/>
      <c r="H199" s="260"/>
      <c r="I199" s="260"/>
      <c r="J199" s="260"/>
      <c r="K199" s="260"/>
      <c r="L199" s="260"/>
      <c r="M199" s="260"/>
      <c r="N199" s="261"/>
    </row>
    <row r="200" spans="3:14" x14ac:dyDescent="0.2">
      <c r="C200" s="260"/>
      <c r="D200" s="260"/>
      <c r="E200" s="260"/>
      <c r="F200" s="260"/>
      <c r="G200" s="260"/>
      <c r="H200" s="260"/>
      <c r="I200" s="260"/>
      <c r="J200" s="260"/>
      <c r="K200" s="260"/>
      <c r="L200" s="260"/>
      <c r="M200" s="260"/>
      <c r="N200" s="261"/>
    </row>
    <row r="201" spans="3:14" x14ac:dyDescent="0.2">
      <c r="C201" s="260"/>
      <c r="D201" s="260"/>
      <c r="E201" s="260"/>
      <c r="F201" s="260"/>
      <c r="G201" s="260"/>
      <c r="H201" s="260"/>
      <c r="I201" s="260"/>
      <c r="J201" s="260"/>
      <c r="K201" s="260"/>
      <c r="L201" s="260"/>
      <c r="M201" s="260"/>
      <c r="N201" s="261"/>
    </row>
    <row r="202" spans="3:14" x14ac:dyDescent="0.2">
      <c r="C202" s="260"/>
      <c r="D202" s="260"/>
      <c r="E202" s="260"/>
      <c r="F202" s="260"/>
      <c r="G202" s="260"/>
      <c r="H202" s="260"/>
      <c r="I202" s="260"/>
      <c r="J202" s="260"/>
      <c r="K202" s="260"/>
      <c r="L202" s="260"/>
      <c r="M202" s="260"/>
      <c r="N202" s="261"/>
    </row>
    <row r="203" spans="3:14" x14ac:dyDescent="0.2">
      <c r="C203" s="260"/>
      <c r="D203" s="260"/>
      <c r="E203" s="260"/>
      <c r="F203" s="260"/>
      <c r="G203" s="260"/>
      <c r="H203" s="260"/>
      <c r="I203" s="260"/>
      <c r="J203" s="260"/>
      <c r="K203" s="260"/>
      <c r="L203" s="260"/>
      <c r="M203" s="260"/>
      <c r="N203" s="261"/>
    </row>
    <row r="204" spans="3:14" x14ac:dyDescent="0.2">
      <c r="C204" s="260"/>
      <c r="D204" s="260"/>
      <c r="E204" s="260"/>
      <c r="F204" s="260"/>
      <c r="G204" s="260"/>
      <c r="H204" s="260"/>
      <c r="I204" s="260"/>
      <c r="J204" s="260"/>
      <c r="K204" s="260"/>
      <c r="L204" s="260"/>
      <c r="M204" s="260"/>
      <c r="N204" s="261"/>
    </row>
    <row r="205" spans="3:14" x14ac:dyDescent="0.2">
      <c r="C205" s="260"/>
      <c r="D205" s="260"/>
      <c r="E205" s="260"/>
      <c r="F205" s="260"/>
      <c r="G205" s="260"/>
      <c r="H205" s="260"/>
      <c r="I205" s="260"/>
      <c r="J205" s="260"/>
      <c r="K205" s="260"/>
      <c r="L205" s="260"/>
      <c r="M205" s="260"/>
      <c r="N205" s="261"/>
    </row>
    <row r="206" spans="3:14" x14ac:dyDescent="0.2">
      <c r="C206" s="260"/>
      <c r="D206" s="260"/>
      <c r="E206" s="260"/>
      <c r="F206" s="260"/>
      <c r="G206" s="260"/>
      <c r="H206" s="260"/>
      <c r="I206" s="260"/>
      <c r="J206" s="260"/>
      <c r="K206" s="260"/>
      <c r="L206" s="260"/>
      <c r="M206" s="260"/>
      <c r="N206" s="261"/>
    </row>
    <row r="207" spans="3:14" x14ac:dyDescent="0.2">
      <c r="C207" s="260"/>
      <c r="D207" s="260"/>
      <c r="E207" s="260"/>
      <c r="F207" s="260"/>
      <c r="G207" s="260"/>
      <c r="H207" s="260"/>
      <c r="I207" s="260"/>
      <c r="J207" s="260"/>
      <c r="K207" s="260"/>
      <c r="L207" s="260"/>
      <c r="M207" s="260"/>
      <c r="N207" s="261"/>
    </row>
    <row r="208" spans="3:14" x14ac:dyDescent="0.2">
      <c r="C208" s="260"/>
      <c r="D208" s="260"/>
      <c r="E208" s="260"/>
      <c r="F208" s="260"/>
      <c r="G208" s="260"/>
      <c r="H208" s="260"/>
      <c r="I208" s="260"/>
      <c r="J208" s="260"/>
      <c r="K208" s="260"/>
      <c r="L208" s="260"/>
      <c r="M208" s="260"/>
      <c r="N208" s="261"/>
    </row>
    <row r="209" spans="3:14" x14ac:dyDescent="0.2">
      <c r="C209" s="260"/>
      <c r="D209" s="260"/>
      <c r="E209" s="260"/>
      <c r="F209" s="260"/>
      <c r="G209" s="260"/>
      <c r="H209" s="260"/>
      <c r="I209" s="260"/>
      <c r="J209" s="260"/>
      <c r="K209" s="260"/>
      <c r="L209" s="260"/>
      <c r="M209" s="260"/>
      <c r="N209" s="261"/>
    </row>
    <row r="210" spans="3:14" x14ac:dyDescent="0.2">
      <c r="C210" s="260"/>
      <c r="D210" s="260"/>
      <c r="E210" s="260"/>
      <c r="F210" s="260"/>
      <c r="G210" s="260"/>
      <c r="H210" s="260"/>
      <c r="I210" s="260"/>
      <c r="J210" s="260"/>
      <c r="K210" s="260"/>
      <c r="L210" s="260"/>
      <c r="M210" s="260"/>
      <c r="N210" s="261"/>
    </row>
    <row r="211" spans="3:14" x14ac:dyDescent="0.2">
      <c r="C211" s="260"/>
      <c r="D211" s="260"/>
      <c r="E211" s="260"/>
      <c r="F211" s="260"/>
      <c r="G211" s="260"/>
      <c r="H211" s="260"/>
      <c r="I211" s="260"/>
      <c r="J211" s="260"/>
      <c r="K211" s="260"/>
      <c r="L211" s="260"/>
      <c r="M211" s="260"/>
      <c r="N211" s="261"/>
    </row>
    <row r="212" spans="3:14" x14ac:dyDescent="0.2">
      <c r="C212" s="260"/>
      <c r="D212" s="260"/>
      <c r="E212" s="260"/>
      <c r="F212" s="260"/>
      <c r="G212" s="260"/>
      <c r="H212" s="260"/>
      <c r="I212" s="260"/>
      <c r="J212" s="260"/>
      <c r="K212" s="260"/>
      <c r="L212" s="260"/>
      <c r="M212" s="260"/>
      <c r="N212" s="261"/>
    </row>
    <row r="213" spans="3:14" x14ac:dyDescent="0.2">
      <c r="C213" s="260"/>
      <c r="D213" s="260"/>
      <c r="E213" s="260"/>
      <c r="F213" s="260"/>
      <c r="G213" s="260"/>
      <c r="H213" s="260"/>
      <c r="I213" s="260"/>
      <c r="J213" s="260"/>
      <c r="K213" s="260"/>
      <c r="L213" s="260"/>
      <c r="M213" s="260"/>
      <c r="N213" s="261"/>
    </row>
    <row r="214" spans="3:14" x14ac:dyDescent="0.2">
      <c r="C214" s="260"/>
      <c r="D214" s="260"/>
      <c r="E214" s="260"/>
      <c r="F214" s="260"/>
      <c r="G214" s="260"/>
      <c r="H214" s="260"/>
      <c r="I214" s="260"/>
      <c r="J214" s="260"/>
      <c r="K214" s="260"/>
      <c r="L214" s="260"/>
      <c r="M214" s="260"/>
      <c r="N214" s="261"/>
    </row>
    <row r="215" spans="3:14" x14ac:dyDescent="0.2">
      <c r="C215" s="260"/>
      <c r="D215" s="260"/>
      <c r="E215" s="260"/>
      <c r="F215" s="260"/>
      <c r="G215" s="260"/>
      <c r="H215" s="260"/>
      <c r="I215" s="260"/>
      <c r="J215" s="260"/>
      <c r="K215" s="260"/>
      <c r="L215" s="260"/>
      <c r="M215" s="260"/>
      <c r="N215" s="261"/>
    </row>
    <row r="216" spans="3:14" x14ac:dyDescent="0.2">
      <c r="C216" s="260"/>
      <c r="D216" s="260"/>
      <c r="E216" s="260"/>
      <c r="F216" s="260"/>
      <c r="G216" s="260"/>
      <c r="H216" s="260"/>
      <c r="I216" s="260"/>
      <c r="J216" s="260"/>
      <c r="K216" s="260"/>
      <c r="L216" s="260"/>
      <c r="M216" s="260"/>
      <c r="N216" s="261"/>
    </row>
    <row r="217" spans="3:14" x14ac:dyDescent="0.2">
      <c r="C217" s="260"/>
      <c r="D217" s="260"/>
      <c r="E217" s="260"/>
      <c r="F217" s="260"/>
      <c r="G217" s="260"/>
      <c r="H217" s="260"/>
      <c r="I217" s="260"/>
      <c r="J217" s="260"/>
      <c r="K217" s="260"/>
      <c r="L217" s="260"/>
      <c r="M217" s="260"/>
      <c r="N217" s="261"/>
    </row>
    <row r="218" spans="3:14" x14ac:dyDescent="0.2">
      <c r="C218" s="260"/>
      <c r="D218" s="260"/>
      <c r="E218" s="260"/>
      <c r="F218" s="260"/>
      <c r="G218" s="260"/>
      <c r="H218" s="260"/>
      <c r="I218" s="260"/>
      <c r="J218" s="260"/>
      <c r="K218" s="260"/>
      <c r="L218" s="260"/>
      <c r="M218" s="260"/>
      <c r="N218" s="261"/>
    </row>
    <row r="219" spans="3:14" x14ac:dyDescent="0.2">
      <c r="C219" s="260"/>
      <c r="D219" s="260"/>
      <c r="E219" s="260"/>
      <c r="F219" s="260"/>
      <c r="G219" s="260"/>
      <c r="H219" s="260"/>
      <c r="I219" s="260"/>
      <c r="J219" s="260"/>
      <c r="K219" s="260"/>
      <c r="L219" s="260"/>
      <c r="M219" s="260"/>
      <c r="N219" s="261"/>
    </row>
    <row r="220" spans="3:14" x14ac:dyDescent="0.2">
      <c r="C220" s="260"/>
      <c r="D220" s="260"/>
      <c r="E220" s="260"/>
      <c r="F220" s="260"/>
      <c r="G220" s="260"/>
      <c r="H220" s="260"/>
      <c r="I220" s="260"/>
      <c r="J220" s="260"/>
      <c r="K220" s="260"/>
      <c r="L220" s="260"/>
      <c r="M220" s="260"/>
      <c r="N220" s="261"/>
    </row>
    <row r="221" spans="3:14" x14ac:dyDescent="0.2">
      <c r="C221" s="260"/>
      <c r="D221" s="260"/>
      <c r="E221" s="260"/>
      <c r="F221" s="260"/>
      <c r="G221" s="260"/>
      <c r="H221" s="260"/>
      <c r="I221" s="260"/>
      <c r="J221" s="260"/>
      <c r="K221" s="260"/>
      <c r="L221" s="260"/>
      <c r="M221" s="260"/>
      <c r="N221" s="261"/>
    </row>
    <row r="222" spans="3:14" x14ac:dyDescent="0.2">
      <c r="C222" s="260"/>
      <c r="D222" s="260"/>
      <c r="E222" s="260"/>
      <c r="F222" s="260"/>
      <c r="G222" s="260"/>
      <c r="H222" s="260"/>
      <c r="I222" s="260"/>
      <c r="J222" s="260"/>
      <c r="K222" s="260"/>
      <c r="L222" s="260"/>
      <c r="M222" s="260"/>
      <c r="N222" s="261"/>
    </row>
    <row r="223" spans="3:14" x14ac:dyDescent="0.2">
      <c r="C223" s="260"/>
      <c r="D223" s="260"/>
      <c r="E223" s="260"/>
      <c r="F223" s="260"/>
      <c r="G223" s="260"/>
      <c r="H223" s="260"/>
      <c r="I223" s="260"/>
      <c r="J223" s="260"/>
      <c r="K223" s="260"/>
      <c r="L223" s="260"/>
      <c r="M223" s="260"/>
      <c r="N223" s="261"/>
    </row>
    <row r="224" spans="3:14" x14ac:dyDescent="0.2">
      <c r="C224" s="260"/>
      <c r="D224" s="260"/>
      <c r="E224" s="260"/>
      <c r="F224" s="260"/>
      <c r="G224" s="260"/>
      <c r="H224" s="260"/>
      <c r="I224" s="260"/>
      <c r="J224" s="260"/>
      <c r="K224" s="260"/>
      <c r="L224" s="260"/>
      <c r="M224" s="260"/>
      <c r="N224" s="261"/>
    </row>
    <row r="225" spans="3:14" x14ac:dyDescent="0.2">
      <c r="C225" s="260"/>
      <c r="D225" s="260"/>
      <c r="E225" s="260"/>
      <c r="F225" s="260"/>
      <c r="G225" s="260"/>
      <c r="H225" s="260"/>
      <c r="I225" s="260"/>
      <c r="J225" s="260"/>
      <c r="K225" s="260"/>
      <c r="L225" s="260"/>
      <c r="M225" s="260"/>
      <c r="N225" s="261"/>
    </row>
    <row r="226" spans="3:14" x14ac:dyDescent="0.2">
      <c r="C226" s="260"/>
      <c r="D226" s="260"/>
      <c r="E226" s="260"/>
      <c r="F226" s="260"/>
      <c r="G226" s="260"/>
      <c r="H226" s="260"/>
      <c r="I226" s="260"/>
      <c r="J226" s="260"/>
      <c r="K226" s="260"/>
      <c r="L226" s="260"/>
      <c r="M226" s="260"/>
      <c r="N226" s="261"/>
    </row>
    <row r="227" spans="3:14" x14ac:dyDescent="0.2">
      <c r="C227" s="260"/>
      <c r="D227" s="260"/>
      <c r="E227" s="260"/>
      <c r="F227" s="260"/>
      <c r="G227" s="260"/>
      <c r="H227" s="260"/>
      <c r="I227" s="260"/>
      <c r="J227" s="260"/>
      <c r="K227" s="260"/>
      <c r="L227" s="260"/>
      <c r="M227" s="260"/>
      <c r="N227" s="261"/>
    </row>
    <row r="228" spans="3:14" x14ac:dyDescent="0.2">
      <c r="C228" s="260"/>
      <c r="D228" s="260"/>
      <c r="E228" s="260"/>
      <c r="F228" s="260"/>
      <c r="G228" s="260"/>
      <c r="H228" s="260"/>
      <c r="I228" s="260"/>
      <c r="J228" s="260"/>
      <c r="K228" s="260"/>
      <c r="L228" s="260"/>
      <c r="M228" s="260"/>
      <c r="N228" s="261"/>
    </row>
    <row r="229" spans="3:14" x14ac:dyDescent="0.2">
      <c r="C229" s="260"/>
      <c r="D229" s="260"/>
      <c r="E229" s="260"/>
      <c r="F229" s="260"/>
      <c r="G229" s="260"/>
      <c r="H229" s="260"/>
      <c r="I229" s="260"/>
      <c r="J229" s="260"/>
      <c r="K229" s="260"/>
      <c r="L229" s="260"/>
      <c r="M229" s="260"/>
      <c r="N229" s="261"/>
    </row>
    <row r="230" spans="3:14" x14ac:dyDescent="0.2">
      <c r="C230" s="260"/>
      <c r="D230" s="260"/>
      <c r="E230" s="260"/>
      <c r="F230" s="260"/>
      <c r="G230" s="260"/>
      <c r="H230" s="260"/>
      <c r="I230" s="260"/>
      <c r="J230" s="260"/>
      <c r="K230" s="260"/>
      <c r="L230" s="260"/>
      <c r="M230" s="260"/>
      <c r="N230" s="261"/>
    </row>
    <row r="231" spans="3:14" x14ac:dyDescent="0.2">
      <c r="C231" s="260"/>
      <c r="D231" s="260"/>
      <c r="E231" s="260"/>
      <c r="F231" s="260"/>
      <c r="G231" s="260"/>
      <c r="H231" s="260"/>
      <c r="I231" s="260"/>
      <c r="J231" s="260"/>
      <c r="K231" s="260"/>
      <c r="L231" s="260"/>
      <c r="M231" s="260"/>
      <c r="N231" s="261"/>
    </row>
    <row r="232" spans="3:14" x14ac:dyDescent="0.2">
      <c r="C232" s="260"/>
      <c r="D232" s="260"/>
      <c r="E232" s="260"/>
      <c r="F232" s="260"/>
      <c r="G232" s="260"/>
      <c r="H232" s="260"/>
      <c r="I232" s="260"/>
      <c r="J232" s="260"/>
      <c r="K232" s="260"/>
      <c r="L232" s="260"/>
      <c r="M232" s="260"/>
      <c r="N232" s="261"/>
    </row>
    <row r="233" spans="3:14" x14ac:dyDescent="0.2">
      <c r="C233" s="260"/>
      <c r="D233" s="260"/>
      <c r="E233" s="260"/>
      <c r="F233" s="260"/>
      <c r="G233" s="260"/>
      <c r="H233" s="260"/>
      <c r="I233" s="260"/>
      <c r="J233" s="260"/>
      <c r="K233" s="260"/>
      <c r="L233" s="260"/>
      <c r="M233" s="260"/>
      <c r="N233" s="261"/>
    </row>
    <row r="234" spans="3:14" x14ac:dyDescent="0.2">
      <c r="C234" s="260"/>
      <c r="D234" s="260"/>
      <c r="E234" s="260"/>
      <c r="F234" s="260"/>
      <c r="G234" s="260"/>
      <c r="H234" s="260"/>
      <c r="I234" s="260"/>
      <c r="J234" s="260"/>
      <c r="K234" s="260"/>
      <c r="L234" s="260"/>
      <c r="M234" s="260"/>
      <c r="N234" s="261"/>
    </row>
    <row r="235" spans="3:14" x14ac:dyDescent="0.2">
      <c r="C235" s="260"/>
      <c r="D235" s="260"/>
      <c r="E235" s="260"/>
      <c r="F235" s="260"/>
      <c r="G235" s="260"/>
      <c r="H235" s="260"/>
      <c r="I235" s="260"/>
      <c r="J235" s="260"/>
      <c r="K235" s="260"/>
      <c r="L235" s="260"/>
      <c r="M235" s="260"/>
      <c r="N235" s="261"/>
    </row>
    <row r="236" spans="3:14" x14ac:dyDescent="0.2">
      <c r="C236" s="260"/>
      <c r="D236" s="260"/>
      <c r="E236" s="260"/>
      <c r="F236" s="260"/>
      <c r="G236" s="260"/>
      <c r="H236" s="260"/>
      <c r="I236" s="260"/>
      <c r="J236" s="260"/>
      <c r="K236" s="260"/>
      <c r="L236" s="260"/>
      <c r="M236" s="260"/>
      <c r="N236" s="261"/>
    </row>
    <row r="237" spans="3:14" x14ac:dyDescent="0.2">
      <c r="C237" s="260"/>
      <c r="D237" s="260"/>
      <c r="E237" s="260"/>
      <c r="F237" s="260"/>
      <c r="G237" s="260"/>
      <c r="H237" s="260"/>
      <c r="I237" s="260"/>
      <c r="J237" s="260"/>
      <c r="K237" s="260"/>
      <c r="L237" s="260"/>
      <c r="M237" s="260"/>
      <c r="N237" s="261"/>
    </row>
    <row r="238" spans="3:14" x14ac:dyDescent="0.2">
      <c r="C238" s="260"/>
      <c r="D238" s="260"/>
      <c r="E238" s="260"/>
      <c r="F238" s="260"/>
      <c r="G238" s="260"/>
      <c r="H238" s="260"/>
      <c r="I238" s="260"/>
      <c r="J238" s="260"/>
      <c r="K238" s="260"/>
      <c r="L238" s="260"/>
      <c r="M238" s="260"/>
      <c r="N238" s="261"/>
    </row>
    <row r="239" spans="3:14" x14ac:dyDescent="0.2">
      <c r="C239" s="260"/>
      <c r="D239" s="260"/>
      <c r="E239" s="260"/>
      <c r="F239" s="260"/>
      <c r="G239" s="260"/>
      <c r="H239" s="260"/>
      <c r="I239" s="260"/>
      <c r="J239" s="260"/>
      <c r="K239" s="260"/>
      <c r="L239" s="260"/>
      <c r="M239" s="260"/>
      <c r="N239" s="261"/>
    </row>
    <row r="240" spans="3:14" x14ac:dyDescent="0.2">
      <c r="C240" s="260"/>
      <c r="D240" s="260"/>
      <c r="E240" s="260"/>
      <c r="F240" s="260"/>
      <c r="G240" s="260"/>
      <c r="H240" s="260"/>
      <c r="I240" s="260"/>
      <c r="J240" s="260"/>
      <c r="K240" s="260"/>
      <c r="L240" s="260"/>
      <c r="M240" s="260"/>
      <c r="N240" s="261"/>
    </row>
    <row r="241" spans="3:14" x14ac:dyDescent="0.2">
      <c r="C241" s="260"/>
      <c r="D241" s="260"/>
      <c r="E241" s="260"/>
      <c r="F241" s="260"/>
      <c r="G241" s="260"/>
      <c r="H241" s="260"/>
      <c r="I241" s="260"/>
      <c r="J241" s="260"/>
      <c r="K241" s="260"/>
      <c r="L241" s="260"/>
      <c r="M241" s="260"/>
      <c r="N241" s="261"/>
    </row>
    <row r="242" spans="3:14" x14ac:dyDescent="0.2">
      <c r="C242" s="260"/>
      <c r="D242" s="260"/>
      <c r="E242" s="260"/>
      <c r="F242" s="260"/>
      <c r="G242" s="260"/>
      <c r="H242" s="260"/>
      <c r="I242" s="260"/>
      <c r="J242" s="260"/>
      <c r="K242" s="260"/>
      <c r="L242" s="260"/>
      <c r="M242" s="260"/>
      <c r="N242" s="261"/>
    </row>
    <row r="243" spans="3:14" x14ac:dyDescent="0.2">
      <c r="C243" s="260"/>
      <c r="D243" s="260"/>
      <c r="E243" s="260"/>
      <c r="F243" s="260"/>
      <c r="G243" s="260"/>
      <c r="H243" s="260"/>
      <c r="I243" s="260"/>
      <c r="J243" s="260"/>
      <c r="K243" s="260"/>
      <c r="L243" s="260"/>
      <c r="M243" s="260"/>
      <c r="N243" s="261"/>
    </row>
    <row r="244" spans="3:14" x14ac:dyDescent="0.2">
      <c r="C244" s="260"/>
      <c r="D244" s="260"/>
      <c r="E244" s="260"/>
      <c r="F244" s="260"/>
      <c r="G244" s="260"/>
      <c r="H244" s="260"/>
      <c r="I244" s="260"/>
      <c r="J244" s="260"/>
      <c r="K244" s="260"/>
      <c r="L244" s="260"/>
      <c r="M244" s="260"/>
      <c r="N244" s="261"/>
    </row>
    <row r="245" spans="3:14" x14ac:dyDescent="0.2">
      <c r="C245" s="260"/>
      <c r="D245" s="260"/>
      <c r="E245" s="260"/>
      <c r="F245" s="260"/>
      <c r="G245" s="260"/>
      <c r="H245" s="260"/>
      <c r="I245" s="260"/>
      <c r="J245" s="260"/>
      <c r="K245" s="260"/>
      <c r="L245" s="260"/>
      <c r="M245" s="260"/>
      <c r="N245" s="261"/>
    </row>
    <row r="246" spans="3:14" x14ac:dyDescent="0.2">
      <c r="C246" s="260"/>
      <c r="D246" s="260"/>
      <c r="E246" s="260"/>
      <c r="F246" s="260"/>
      <c r="G246" s="260"/>
      <c r="H246" s="260"/>
      <c r="I246" s="260"/>
      <c r="J246" s="260"/>
      <c r="K246" s="260"/>
      <c r="L246" s="260"/>
      <c r="M246" s="260"/>
      <c r="N246" s="261"/>
    </row>
    <row r="247" spans="3:14" x14ac:dyDescent="0.2">
      <c r="C247" s="260"/>
      <c r="D247" s="260"/>
      <c r="E247" s="260"/>
      <c r="F247" s="260"/>
      <c r="G247" s="260"/>
      <c r="H247" s="260"/>
      <c r="I247" s="260"/>
      <c r="J247" s="260"/>
      <c r="K247" s="260"/>
      <c r="L247" s="260"/>
      <c r="M247" s="260"/>
      <c r="N247" s="261"/>
    </row>
    <row r="248" spans="3:14" x14ac:dyDescent="0.2">
      <c r="C248" s="260"/>
      <c r="D248" s="260"/>
      <c r="E248" s="260"/>
      <c r="F248" s="260"/>
      <c r="G248" s="260"/>
      <c r="H248" s="260"/>
      <c r="I248" s="260"/>
      <c r="J248" s="260"/>
      <c r="K248" s="260"/>
      <c r="L248" s="260"/>
      <c r="M248" s="260"/>
      <c r="N248" s="261"/>
    </row>
    <row r="249" spans="3:14" x14ac:dyDescent="0.2">
      <c r="C249" s="260"/>
      <c r="D249" s="260"/>
      <c r="E249" s="260"/>
      <c r="F249" s="260"/>
      <c r="G249" s="260"/>
      <c r="H249" s="260"/>
      <c r="I249" s="260"/>
      <c r="J249" s="260"/>
      <c r="K249" s="260"/>
      <c r="L249" s="260"/>
      <c r="M249" s="260"/>
      <c r="N249" s="261"/>
    </row>
    <row r="250" spans="3:14" x14ac:dyDescent="0.2">
      <c r="C250" s="260"/>
      <c r="D250" s="260"/>
      <c r="E250" s="260"/>
      <c r="F250" s="260"/>
      <c r="G250" s="260"/>
      <c r="H250" s="260"/>
      <c r="I250" s="260"/>
      <c r="J250" s="260"/>
      <c r="K250" s="260"/>
      <c r="L250" s="260"/>
      <c r="M250" s="260"/>
      <c r="N250" s="261"/>
    </row>
    <row r="251" spans="3:14" x14ac:dyDescent="0.2">
      <c r="C251" s="260"/>
      <c r="D251" s="260"/>
      <c r="E251" s="260"/>
      <c r="F251" s="260"/>
      <c r="G251" s="260"/>
      <c r="H251" s="260"/>
      <c r="I251" s="260"/>
      <c r="J251" s="260"/>
      <c r="K251" s="260"/>
      <c r="L251" s="260"/>
      <c r="M251" s="260"/>
      <c r="N251" s="261"/>
    </row>
    <row r="252" spans="3:14" x14ac:dyDescent="0.2">
      <c r="C252" s="260"/>
      <c r="D252" s="260"/>
      <c r="E252" s="260"/>
      <c r="F252" s="260"/>
      <c r="G252" s="260"/>
      <c r="H252" s="260"/>
      <c r="I252" s="260"/>
      <c r="J252" s="260"/>
      <c r="K252" s="260"/>
      <c r="L252" s="260"/>
      <c r="M252" s="260"/>
      <c r="N252" s="261"/>
    </row>
    <row r="253" spans="3:14" x14ac:dyDescent="0.2">
      <c r="C253" s="260"/>
      <c r="D253" s="260"/>
      <c r="E253" s="260"/>
      <c r="F253" s="260"/>
      <c r="G253" s="260"/>
      <c r="H253" s="260"/>
      <c r="I253" s="260"/>
      <c r="J253" s="260"/>
      <c r="K253" s="260"/>
      <c r="L253" s="260"/>
      <c r="M253" s="260"/>
      <c r="N253" s="261"/>
    </row>
    <row r="254" spans="3:14" x14ac:dyDescent="0.2">
      <c r="C254" s="260"/>
      <c r="D254" s="260"/>
      <c r="E254" s="260"/>
      <c r="F254" s="260"/>
      <c r="G254" s="260"/>
      <c r="H254" s="260"/>
      <c r="I254" s="260"/>
      <c r="J254" s="260"/>
      <c r="K254" s="260"/>
      <c r="L254" s="260"/>
      <c r="M254" s="260"/>
      <c r="N254" s="261"/>
    </row>
    <row r="255" spans="3:14" x14ac:dyDescent="0.2">
      <c r="C255" s="260"/>
      <c r="D255" s="260"/>
      <c r="E255" s="260"/>
      <c r="F255" s="260"/>
      <c r="G255" s="260"/>
      <c r="H255" s="260"/>
      <c r="I255" s="260"/>
      <c r="J255" s="260"/>
      <c r="K255" s="260"/>
      <c r="L255" s="260"/>
      <c r="M255" s="260"/>
      <c r="N255" s="261"/>
    </row>
    <row r="256" spans="3:14" x14ac:dyDescent="0.2">
      <c r="C256" s="260"/>
      <c r="D256" s="260"/>
      <c r="E256" s="260"/>
      <c r="F256" s="260"/>
      <c r="G256" s="260"/>
      <c r="H256" s="260"/>
      <c r="I256" s="260"/>
      <c r="J256" s="260"/>
      <c r="K256" s="260"/>
      <c r="L256" s="260"/>
      <c r="M256" s="260"/>
      <c r="N256" s="261"/>
    </row>
    <row r="257" spans="3:14" x14ac:dyDescent="0.2">
      <c r="C257" s="260"/>
      <c r="D257" s="260"/>
      <c r="E257" s="260"/>
      <c r="F257" s="260"/>
      <c r="G257" s="260"/>
      <c r="H257" s="260"/>
      <c r="I257" s="260"/>
      <c r="J257" s="260"/>
      <c r="K257" s="260"/>
      <c r="L257" s="260"/>
      <c r="M257" s="260"/>
      <c r="N257" s="261"/>
    </row>
    <row r="258" spans="3:14" x14ac:dyDescent="0.2">
      <c r="C258" s="260"/>
      <c r="D258" s="260"/>
      <c r="E258" s="260"/>
      <c r="F258" s="260"/>
      <c r="G258" s="260"/>
      <c r="H258" s="260"/>
      <c r="I258" s="260"/>
      <c r="J258" s="260"/>
      <c r="K258" s="260"/>
      <c r="L258" s="260"/>
      <c r="M258" s="260"/>
      <c r="N258" s="261"/>
    </row>
    <row r="259" spans="3:14" x14ac:dyDescent="0.2">
      <c r="C259" s="260"/>
      <c r="D259" s="260"/>
      <c r="E259" s="260"/>
      <c r="F259" s="260"/>
      <c r="G259" s="260"/>
      <c r="H259" s="260"/>
      <c r="I259" s="260"/>
      <c r="J259" s="260"/>
      <c r="K259" s="260"/>
      <c r="L259" s="260"/>
      <c r="M259" s="260"/>
      <c r="N259" s="261"/>
    </row>
    <row r="260" spans="3:14" x14ac:dyDescent="0.2">
      <c r="C260" s="260"/>
      <c r="D260" s="260"/>
      <c r="E260" s="260"/>
      <c r="F260" s="260"/>
      <c r="G260" s="260"/>
      <c r="H260" s="260"/>
      <c r="I260" s="260"/>
      <c r="J260" s="260"/>
      <c r="K260" s="260"/>
      <c r="L260" s="260"/>
      <c r="M260" s="260"/>
      <c r="N260" s="261"/>
    </row>
    <row r="261" spans="3:14" x14ac:dyDescent="0.2">
      <c r="C261" s="260"/>
      <c r="D261" s="260"/>
      <c r="E261" s="260"/>
      <c r="F261" s="260"/>
      <c r="G261" s="260"/>
      <c r="H261" s="260"/>
      <c r="I261" s="260"/>
      <c r="J261" s="260"/>
      <c r="K261" s="260"/>
      <c r="L261" s="260"/>
      <c r="M261" s="260"/>
      <c r="N261" s="261"/>
    </row>
    <row r="262" spans="3:14" x14ac:dyDescent="0.2">
      <c r="C262" s="260"/>
      <c r="D262" s="260"/>
      <c r="E262" s="260"/>
      <c r="F262" s="260"/>
      <c r="G262" s="260"/>
      <c r="H262" s="260"/>
      <c r="I262" s="260"/>
      <c r="J262" s="260"/>
      <c r="K262" s="260"/>
      <c r="L262" s="260"/>
      <c r="M262" s="260"/>
      <c r="N262" s="261"/>
    </row>
    <row r="263" spans="3:14" x14ac:dyDescent="0.2">
      <c r="C263" s="260"/>
      <c r="D263" s="260"/>
      <c r="E263" s="260"/>
      <c r="F263" s="260"/>
      <c r="G263" s="260"/>
      <c r="H263" s="260"/>
      <c r="I263" s="260"/>
      <c r="J263" s="260"/>
      <c r="K263" s="260"/>
      <c r="L263" s="260"/>
      <c r="M263" s="260"/>
      <c r="N263" s="261"/>
    </row>
    <row r="264" spans="3:14" x14ac:dyDescent="0.2">
      <c r="C264" s="260"/>
      <c r="D264" s="260"/>
      <c r="E264" s="260"/>
      <c r="F264" s="260"/>
      <c r="G264" s="260"/>
      <c r="H264" s="260"/>
      <c r="I264" s="260"/>
      <c r="J264" s="260"/>
      <c r="K264" s="260"/>
      <c r="L264" s="260"/>
      <c r="M264" s="260"/>
      <c r="N264" s="261"/>
    </row>
    <row r="265" spans="3:14" x14ac:dyDescent="0.2">
      <c r="C265" s="260"/>
      <c r="D265" s="260"/>
      <c r="E265" s="260"/>
      <c r="F265" s="260"/>
      <c r="G265" s="260"/>
      <c r="H265" s="260"/>
      <c r="I265" s="260"/>
      <c r="J265" s="260"/>
      <c r="K265" s="260"/>
      <c r="L265" s="260"/>
      <c r="M265" s="260"/>
      <c r="N265" s="261"/>
    </row>
    <row r="266" spans="3:14" x14ac:dyDescent="0.2">
      <c r="C266" s="260"/>
      <c r="D266" s="260"/>
      <c r="E266" s="260"/>
      <c r="F266" s="260"/>
      <c r="G266" s="260"/>
      <c r="H266" s="260"/>
      <c r="I266" s="260"/>
      <c r="J266" s="260"/>
      <c r="K266" s="260"/>
      <c r="L266" s="260"/>
      <c r="M266" s="260"/>
      <c r="N266" s="261"/>
    </row>
    <row r="267" spans="3:14" x14ac:dyDescent="0.2">
      <c r="C267" s="260"/>
      <c r="D267" s="260"/>
      <c r="E267" s="260"/>
      <c r="F267" s="260"/>
      <c r="G267" s="260"/>
      <c r="H267" s="260"/>
      <c r="I267" s="260"/>
      <c r="J267" s="260"/>
      <c r="K267" s="260"/>
      <c r="L267" s="260"/>
      <c r="M267" s="260"/>
      <c r="N267" s="261"/>
    </row>
    <row r="268" spans="3:14" x14ac:dyDescent="0.2">
      <c r="C268" s="260"/>
      <c r="D268" s="260"/>
      <c r="E268" s="260"/>
      <c r="F268" s="260"/>
      <c r="G268" s="260"/>
      <c r="H268" s="260"/>
      <c r="I268" s="260"/>
      <c r="J268" s="260"/>
      <c r="K268" s="260"/>
      <c r="L268" s="260"/>
      <c r="M268" s="260"/>
      <c r="N268" s="261"/>
    </row>
    <row r="269" spans="3:14" x14ac:dyDescent="0.2">
      <c r="C269" s="260"/>
      <c r="D269" s="260"/>
      <c r="E269" s="260"/>
      <c r="F269" s="260"/>
      <c r="G269" s="260"/>
      <c r="H269" s="260"/>
      <c r="I269" s="260"/>
      <c r="J269" s="260"/>
      <c r="K269" s="260"/>
      <c r="L269" s="260"/>
      <c r="M269" s="260"/>
      <c r="N269" s="261"/>
    </row>
    <row r="270" spans="3:14" x14ac:dyDescent="0.2">
      <c r="C270" s="260"/>
      <c r="D270" s="260"/>
      <c r="E270" s="260"/>
      <c r="F270" s="260"/>
      <c r="G270" s="260"/>
      <c r="H270" s="260"/>
      <c r="I270" s="260"/>
      <c r="J270" s="260"/>
      <c r="K270" s="260"/>
      <c r="L270" s="260"/>
      <c r="M270" s="260"/>
      <c r="N270" s="261"/>
    </row>
    <row r="271" spans="3:14" x14ac:dyDescent="0.2">
      <c r="C271" s="260"/>
      <c r="D271" s="260"/>
      <c r="E271" s="260"/>
      <c r="F271" s="260"/>
      <c r="G271" s="260"/>
      <c r="H271" s="260"/>
      <c r="I271" s="260"/>
      <c r="J271" s="260"/>
      <c r="K271" s="260"/>
      <c r="L271" s="260"/>
      <c r="M271" s="260"/>
      <c r="N271" s="261"/>
    </row>
    <row r="272" spans="3:14" x14ac:dyDescent="0.2">
      <c r="C272" s="260"/>
      <c r="D272" s="260"/>
      <c r="E272" s="260"/>
      <c r="F272" s="260"/>
      <c r="G272" s="260"/>
      <c r="H272" s="260"/>
      <c r="I272" s="260"/>
      <c r="J272" s="260"/>
      <c r="K272" s="260"/>
      <c r="L272" s="260"/>
      <c r="M272" s="260"/>
      <c r="N272" s="261"/>
    </row>
    <row r="273" spans="3:14" x14ac:dyDescent="0.2">
      <c r="C273" s="260"/>
      <c r="D273" s="260"/>
      <c r="E273" s="260"/>
      <c r="F273" s="260"/>
      <c r="G273" s="260"/>
      <c r="H273" s="260"/>
      <c r="I273" s="260"/>
      <c r="J273" s="260"/>
      <c r="K273" s="260"/>
      <c r="L273" s="260"/>
      <c r="M273" s="260"/>
      <c r="N273" s="261"/>
    </row>
    <row r="274" spans="3:14" x14ac:dyDescent="0.2">
      <c r="C274" s="260"/>
      <c r="D274" s="260"/>
      <c r="E274" s="260"/>
      <c r="F274" s="260"/>
      <c r="G274" s="260"/>
      <c r="H274" s="260"/>
      <c r="I274" s="260"/>
      <c r="J274" s="260"/>
      <c r="K274" s="260"/>
      <c r="L274" s="260"/>
      <c r="M274" s="260"/>
      <c r="N274" s="261"/>
    </row>
    <row r="275" spans="3:14" x14ac:dyDescent="0.2">
      <c r="C275" s="260"/>
      <c r="D275" s="260"/>
      <c r="E275" s="260"/>
      <c r="F275" s="260"/>
      <c r="G275" s="260"/>
      <c r="H275" s="260"/>
      <c r="I275" s="260"/>
      <c r="J275" s="260"/>
      <c r="K275" s="260"/>
      <c r="L275" s="260"/>
      <c r="M275" s="260"/>
      <c r="N275" s="261"/>
    </row>
    <row r="276" spans="3:14" x14ac:dyDescent="0.2">
      <c r="C276" s="260"/>
      <c r="D276" s="260"/>
      <c r="E276" s="260"/>
      <c r="F276" s="260"/>
      <c r="G276" s="260"/>
      <c r="H276" s="260"/>
      <c r="I276" s="260"/>
      <c r="J276" s="260"/>
      <c r="K276" s="260"/>
      <c r="L276" s="260"/>
      <c r="M276" s="260"/>
      <c r="N276" s="261"/>
    </row>
    <row r="277" spans="3:14" x14ac:dyDescent="0.2">
      <c r="C277" s="260"/>
      <c r="D277" s="260"/>
      <c r="E277" s="260"/>
      <c r="F277" s="260"/>
      <c r="G277" s="260"/>
      <c r="H277" s="260"/>
      <c r="I277" s="260"/>
      <c r="J277" s="260"/>
      <c r="K277" s="260"/>
      <c r="L277" s="260"/>
      <c r="M277" s="260"/>
      <c r="N277" s="261"/>
    </row>
    <row r="278" spans="3:14" x14ac:dyDescent="0.2">
      <c r="C278" s="260"/>
      <c r="D278" s="260"/>
      <c r="E278" s="260"/>
      <c r="F278" s="260"/>
      <c r="G278" s="260"/>
      <c r="H278" s="260"/>
      <c r="I278" s="260"/>
      <c r="J278" s="260"/>
      <c r="K278" s="260"/>
      <c r="L278" s="260"/>
      <c r="M278" s="260"/>
      <c r="N278" s="261"/>
    </row>
    <row r="279" spans="3:14" x14ac:dyDescent="0.2">
      <c r="C279" s="260"/>
      <c r="D279" s="260"/>
      <c r="E279" s="260"/>
      <c r="F279" s="260"/>
      <c r="G279" s="260"/>
      <c r="H279" s="260"/>
      <c r="I279" s="260"/>
      <c r="J279" s="260"/>
      <c r="K279" s="260"/>
      <c r="L279" s="260"/>
      <c r="M279" s="260"/>
      <c r="N279" s="261"/>
    </row>
    <row r="280" spans="3:14" x14ac:dyDescent="0.2">
      <c r="C280" s="260"/>
      <c r="D280" s="260"/>
      <c r="E280" s="260"/>
      <c r="F280" s="260"/>
      <c r="G280" s="260"/>
      <c r="H280" s="260"/>
      <c r="I280" s="260"/>
      <c r="J280" s="260"/>
      <c r="K280" s="260"/>
      <c r="L280" s="260"/>
      <c r="M280" s="260"/>
      <c r="N280" s="261"/>
    </row>
    <row r="281" spans="3:14" x14ac:dyDescent="0.2">
      <c r="C281" s="260"/>
      <c r="D281" s="260"/>
      <c r="E281" s="260"/>
      <c r="F281" s="260"/>
      <c r="G281" s="260"/>
      <c r="H281" s="260"/>
      <c r="I281" s="260"/>
      <c r="J281" s="260"/>
      <c r="K281" s="260"/>
      <c r="L281" s="260"/>
      <c r="M281" s="260"/>
      <c r="N281" s="261"/>
    </row>
    <row r="282" spans="3:14" x14ac:dyDescent="0.2">
      <c r="C282" s="260"/>
      <c r="D282" s="260"/>
      <c r="E282" s="260"/>
      <c r="F282" s="260"/>
      <c r="G282" s="260"/>
      <c r="H282" s="260"/>
      <c r="I282" s="260"/>
      <c r="J282" s="260"/>
      <c r="K282" s="260"/>
      <c r="L282" s="260"/>
      <c r="M282" s="260"/>
      <c r="N282" s="261"/>
    </row>
    <row r="283" spans="3:14" x14ac:dyDescent="0.2">
      <c r="C283" s="260"/>
      <c r="D283" s="260"/>
      <c r="E283" s="260"/>
      <c r="F283" s="260"/>
      <c r="G283" s="260"/>
      <c r="H283" s="260"/>
      <c r="I283" s="260"/>
      <c r="J283" s="260"/>
      <c r="K283" s="260"/>
      <c r="L283" s="260"/>
      <c r="M283" s="260"/>
      <c r="N283" s="261"/>
    </row>
    <row r="284" spans="3:14" x14ac:dyDescent="0.2">
      <c r="C284" s="260"/>
      <c r="D284" s="260"/>
      <c r="E284" s="260"/>
      <c r="F284" s="260"/>
      <c r="G284" s="260"/>
      <c r="H284" s="260"/>
      <c r="I284" s="260"/>
      <c r="J284" s="260"/>
      <c r="K284" s="260"/>
      <c r="L284" s="260"/>
      <c r="M284" s="260"/>
      <c r="N284" s="261"/>
    </row>
    <row r="285" spans="3:14" x14ac:dyDescent="0.2">
      <c r="C285" s="260"/>
      <c r="D285" s="260"/>
      <c r="E285" s="260"/>
      <c r="F285" s="260"/>
      <c r="G285" s="260"/>
      <c r="H285" s="260"/>
      <c r="I285" s="260"/>
      <c r="J285" s="260"/>
      <c r="K285" s="260"/>
      <c r="L285" s="260"/>
      <c r="M285" s="260"/>
      <c r="N285" s="261"/>
    </row>
    <row r="286" spans="3:14" x14ac:dyDescent="0.2">
      <c r="C286" s="260"/>
      <c r="D286" s="260"/>
      <c r="E286" s="260"/>
      <c r="F286" s="260"/>
      <c r="G286" s="260"/>
      <c r="H286" s="260"/>
      <c r="I286" s="260"/>
      <c r="J286" s="260"/>
      <c r="K286" s="260"/>
      <c r="L286" s="260"/>
      <c r="M286" s="260"/>
      <c r="N286" s="261"/>
    </row>
    <row r="287" spans="3:14" x14ac:dyDescent="0.2">
      <c r="C287" s="260"/>
      <c r="D287" s="260"/>
      <c r="E287" s="260"/>
      <c r="F287" s="260"/>
      <c r="G287" s="260"/>
      <c r="H287" s="260"/>
      <c r="I287" s="260"/>
      <c r="J287" s="260"/>
      <c r="K287" s="260"/>
      <c r="L287" s="260"/>
      <c r="M287" s="260"/>
      <c r="N287" s="261"/>
    </row>
    <row r="288" spans="3:14" x14ac:dyDescent="0.2">
      <c r="C288" s="260"/>
      <c r="D288" s="260"/>
      <c r="E288" s="260"/>
      <c r="F288" s="260"/>
      <c r="G288" s="260"/>
      <c r="H288" s="260"/>
      <c r="I288" s="260"/>
      <c r="J288" s="260"/>
      <c r="K288" s="260"/>
      <c r="L288" s="260"/>
      <c r="M288" s="260"/>
      <c r="N288" s="261"/>
    </row>
    <row r="289" spans="3:14" x14ac:dyDescent="0.2">
      <c r="C289" s="260"/>
      <c r="D289" s="260"/>
      <c r="E289" s="260"/>
      <c r="F289" s="260"/>
      <c r="G289" s="260"/>
      <c r="H289" s="260"/>
      <c r="I289" s="260"/>
      <c r="J289" s="260"/>
      <c r="K289" s="260"/>
      <c r="L289" s="260"/>
      <c r="M289" s="260"/>
      <c r="N289" s="261"/>
    </row>
    <row r="290" spans="3:14" x14ac:dyDescent="0.2">
      <c r="C290" s="260"/>
      <c r="D290" s="260"/>
      <c r="E290" s="260"/>
      <c r="F290" s="260"/>
      <c r="G290" s="260"/>
      <c r="H290" s="260"/>
      <c r="I290" s="260"/>
      <c r="J290" s="260"/>
      <c r="K290" s="260"/>
      <c r="L290" s="260"/>
      <c r="M290" s="260"/>
      <c r="N290" s="261"/>
    </row>
    <row r="291" spans="3:14" x14ac:dyDescent="0.2">
      <c r="C291" s="260"/>
      <c r="D291" s="260"/>
      <c r="E291" s="260"/>
      <c r="F291" s="260"/>
      <c r="G291" s="260"/>
      <c r="H291" s="260"/>
      <c r="I291" s="260"/>
      <c r="J291" s="260"/>
      <c r="K291" s="260"/>
      <c r="L291" s="260"/>
      <c r="M291" s="260"/>
      <c r="N291" s="261"/>
    </row>
    <row r="292" spans="3:14" x14ac:dyDescent="0.2">
      <c r="C292" s="260"/>
      <c r="D292" s="260"/>
      <c r="E292" s="260"/>
      <c r="F292" s="260"/>
      <c r="G292" s="260"/>
      <c r="H292" s="260"/>
      <c r="I292" s="260"/>
      <c r="J292" s="260"/>
      <c r="K292" s="260"/>
      <c r="L292" s="260"/>
      <c r="M292" s="260"/>
      <c r="N292" s="261"/>
    </row>
    <row r="293" spans="3:14" x14ac:dyDescent="0.2">
      <c r="C293" s="260"/>
      <c r="D293" s="260"/>
      <c r="E293" s="260"/>
      <c r="F293" s="260"/>
      <c r="G293" s="260"/>
      <c r="H293" s="260"/>
      <c r="I293" s="260"/>
      <c r="J293" s="260"/>
      <c r="K293" s="260"/>
      <c r="L293" s="260"/>
      <c r="M293" s="260"/>
      <c r="N293" s="261"/>
    </row>
    <row r="294" spans="3:14" x14ac:dyDescent="0.2">
      <c r="C294" s="260"/>
      <c r="D294" s="260"/>
      <c r="E294" s="260"/>
      <c r="F294" s="260"/>
      <c r="G294" s="260"/>
      <c r="H294" s="260"/>
      <c r="I294" s="260"/>
      <c r="J294" s="260"/>
      <c r="K294" s="260"/>
      <c r="L294" s="260"/>
      <c r="M294" s="260"/>
      <c r="N294" s="261"/>
    </row>
    <row r="295" spans="3:14" x14ac:dyDescent="0.2">
      <c r="C295" s="260"/>
      <c r="D295" s="260"/>
      <c r="E295" s="260"/>
      <c r="F295" s="260"/>
      <c r="G295" s="260"/>
      <c r="H295" s="260"/>
      <c r="I295" s="260"/>
      <c r="J295" s="260"/>
      <c r="K295" s="260"/>
      <c r="L295" s="260"/>
      <c r="M295" s="260"/>
      <c r="N295" s="261"/>
    </row>
    <row r="296" spans="3:14" x14ac:dyDescent="0.2">
      <c r="C296" s="260"/>
      <c r="D296" s="260"/>
      <c r="E296" s="260"/>
      <c r="F296" s="260"/>
      <c r="G296" s="260"/>
      <c r="H296" s="260"/>
      <c r="I296" s="260"/>
      <c r="J296" s="260"/>
      <c r="K296" s="260"/>
      <c r="L296" s="260"/>
      <c r="M296" s="260"/>
      <c r="N296" s="261"/>
    </row>
    <row r="297" spans="3:14" x14ac:dyDescent="0.2">
      <c r="C297" s="260"/>
      <c r="D297" s="260"/>
      <c r="E297" s="260"/>
      <c r="F297" s="260"/>
      <c r="G297" s="260"/>
      <c r="H297" s="260"/>
      <c r="I297" s="260"/>
      <c r="J297" s="260"/>
      <c r="K297" s="260"/>
      <c r="L297" s="260"/>
      <c r="M297" s="260"/>
      <c r="N297" s="261"/>
    </row>
    <row r="298" spans="3:14" x14ac:dyDescent="0.2">
      <c r="C298" s="260"/>
      <c r="D298" s="260"/>
      <c r="E298" s="260"/>
      <c r="F298" s="260"/>
      <c r="G298" s="260"/>
      <c r="H298" s="260"/>
      <c r="I298" s="260"/>
      <c r="J298" s="260"/>
      <c r="K298" s="260"/>
      <c r="L298" s="260"/>
      <c r="M298" s="260"/>
      <c r="N298" s="261"/>
    </row>
    <row r="299" spans="3:14" x14ac:dyDescent="0.2">
      <c r="C299" s="260"/>
      <c r="D299" s="260"/>
      <c r="E299" s="260"/>
      <c r="F299" s="260"/>
      <c r="G299" s="260"/>
      <c r="H299" s="260"/>
      <c r="I299" s="260"/>
      <c r="J299" s="260"/>
      <c r="K299" s="260"/>
      <c r="L299" s="260"/>
      <c r="M299" s="260"/>
      <c r="N299" s="261"/>
    </row>
    <row r="300" spans="3:14" x14ac:dyDescent="0.2">
      <c r="C300" s="260"/>
      <c r="D300" s="260"/>
      <c r="E300" s="260"/>
      <c r="F300" s="260"/>
      <c r="G300" s="260"/>
      <c r="H300" s="260"/>
      <c r="I300" s="260"/>
      <c r="J300" s="260"/>
      <c r="K300" s="260"/>
      <c r="L300" s="260"/>
      <c r="M300" s="260"/>
      <c r="N300" s="261"/>
    </row>
    <row r="301" spans="3:14" x14ac:dyDescent="0.2">
      <c r="C301" s="260"/>
      <c r="D301" s="260"/>
      <c r="E301" s="260"/>
      <c r="F301" s="260"/>
      <c r="G301" s="260"/>
      <c r="H301" s="260"/>
      <c r="I301" s="260"/>
      <c r="J301" s="260"/>
      <c r="K301" s="260"/>
      <c r="L301" s="260"/>
      <c r="M301" s="260"/>
      <c r="N301" s="261"/>
    </row>
    <row r="302" spans="3:14" x14ac:dyDescent="0.2">
      <c r="C302" s="260"/>
      <c r="D302" s="260"/>
      <c r="E302" s="260"/>
      <c r="F302" s="260"/>
      <c r="G302" s="260"/>
      <c r="H302" s="260"/>
      <c r="I302" s="260"/>
      <c r="J302" s="260"/>
      <c r="K302" s="260"/>
      <c r="L302" s="260"/>
      <c r="M302" s="260"/>
      <c r="N302" s="261"/>
    </row>
    <row r="303" spans="3:14" x14ac:dyDescent="0.2">
      <c r="C303" s="260"/>
      <c r="D303" s="260"/>
      <c r="E303" s="260"/>
      <c r="F303" s="260"/>
      <c r="G303" s="260"/>
      <c r="H303" s="260"/>
      <c r="I303" s="260"/>
      <c r="J303" s="260"/>
      <c r="K303" s="260"/>
      <c r="L303" s="260"/>
      <c r="M303" s="260"/>
      <c r="N303" s="261"/>
    </row>
    <row r="304" spans="3:14" x14ac:dyDescent="0.2">
      <c r="C304" s="260"/>
      <c r="D304" s="260"/>
      <c r="E304" s="260"/>
      <c r="F304" s="260"/>
      <c r="G304" s="260"/>
      <c r="H304" s="260"/>
      <c r="I304" s="260"/>
      <c r="J304" s="260"/>
      <c r="K304" s="260"/>
      <c r="L304" s="260"/>
      <c r="M304" s="260"/>
      <c r="N304" s="261"/>
    </row>
    <row r="305" spans="3:14" x14ac:dyDescent="0.2">
      <c r="C305" s="260"/>
      <c r="D305" s="260"/>
      <c r="E305" s="260"/>
      <c r="F305" s="260"/>
      <c r="G305" s="260"/>
      <c r="H305" s="260"/>
      <c r="I305" s="260"/>
      <c r="J305" s="260"/>
      <c r="K305" s="260"/>
      <c r="L305" s="260"/>
      <c r="M305" s="260"/>
      <c r="N305" s="261"/>
    </row>
    <row r="306" spans="3:14" x14ac:dyDescent="0.2">
      <c r="C306" s="260"/>
      <c r="D306" s="260"/>
      <c r="E306" s="260"/>
      <c r="F306" s="260"/>
      <c r="G306" s="260"/>
      <c r="H306" s="260"/>
      <c r="I306" s="260"/>
      <c r="J306" s="260"/>
      <c r="K306" s="260"/>
      <c r="L306" s="260"/>
      <c r="M306" s="260"/>
      <c r="N306" s="261"/>
    </row>
    <row r="307" spans="3:14" x14ac:dyDescent="0.2">
      <c r="C307" s="260"/>
      <c r="D307" s="260"/>
      <c r="E307" s="260"/>
      <c r="F307" s="260"/>
      <c r="G307" s="260"/>
      <c r="H307" s="260"/>
      <c r="I307" s="260"/>
      <c r="J307" s="260"/>
      <c r="K307" s="260"/>
      <c r="L307" s="260"/>
      <c r="M307" s="260"/>
      <c r="N307" s="261"/>
    </row>
    <row r="308" spans="3:14" x14ac:dyDescent="0.2">
      <c r="C308" s="260"/>
      <c r="D308" s="260"/>
      <c r="E308" s="260"/>
      <c r="F308" s="260"/>
      <c r="G308" s="260"/>
      <c r="H308" s="260"/>
      <c r="I308" s="260"/>
      <c r="J308" s="260"/>
      <c r="K308" s="260"/>
      <c r="L308" s="260"/>
      <c r="M308" s="260"/>
      <c r="N308" s="261"/>
    </row>
    <row r="309" spans="3:14" x14ac:dyDescent="0.2">
      <c r="C309" s="260"/>
      <c r="D309" s="260"/>
      <c r="E309" s="260"/>
      <c r="F309" s="260"/>
      <c r="G309" s="260"/>
      <c r="H309" s="260"/>
      <c r="I309" s="260"/>
      <c r="J309" s="260"/>
      <c r="K309" s="260"/>
      <c r="L309" s="260"/>
      <c r="M309" s="260"/>
      <c r="N309" s="261"/>
    </row>
    <row r="310" spans="3:14" x14ac:dyDescent="0.2">
      <c r="C310" s="260"/>
      <c r="D310" s="260"/>
      <c r="E310" s="260"/>
      <c r="F310" s="260"/>
      <c r="G310" s="260"/>
      <c r="H310" s="260"/>
      <c r="I310" s="260"/>
      <c r="J310" s="260"/>
      <c r="K310" s="260"/>
      <c r="L310" s="260"/>
      <c r="M310" s="260"/>
      <c r="N310" s="261"/>
    </row>
    <row r="311" spans="3:14" x14ac:dyDescent="0.2">
      <c r="C311" s="260"/>
      <c r="D311" s="260"/>
      <c r="E311" s="260"/>
      <c r="F311" s="260"/>
      <c r="G311" s="260"/>
      <c r="H311" s="260"/>
      <c r="I311" s="260"/>
      <c r="J311" s="260"/>
      <c r="K311" s="260"/>
      <c r="L311" s="260"/>
      <c r="M311" s="260"/>
      <c r="N311" s="261"/>
    </row>
    <row r="312" spans="3:14" x14ac:dyDescent="0.2">
      <c r="C312" s="260"/>
      <c r="D312" s="260"/>
      <c r="E312" s="260"/>
      <c r="F312" s="260"/>
      <c r="G312" s="260"/>
      <c r="H312" s="260"/>
      <c r="I312" s="260"/>
      <c r="J312" s="260"/>
      <c r="K312" s="260"/>
      <c r="L312" s="260"/>
      <c r="M312" s="260"/>
      <c r="N312" s="261"/>
    </row>
    <row r="313" spans="3:14" x14ac:dyDescent="0.2">
      <c r="C313" s="260"/>
      <c r="D313" s="260"/>
      <c r="E313" s="260"/>
      <c r="F313" s="260"/>
      <c r="G313" s="260"/>
      <c r="H313" s="260"/>
      <c r="I313" s="260"/>
      <c r="J313" s="260"/>
      <c r="K313" s="260"/>
      <c r="L313" s="260"/>
      <c r="M313" s="260"/>
      <c r="N313" s="261"/>
    </row>
    <row r="314" spans="3:14" x14ac:dyDescent="0.2">
      <c r="C314" s="260"/>
      <c r="D314" s="260"/>
      <c r="E314" s="260"/>
      <c r="F314" s="260"/>
      <c r="G314" s="260"/>
      <c r="H314" s="260"/>
      <c r="I314" s="260"/>
      <c r="J314" s="260"/>
      <c r="K314" s="260"/>
      <c r="L314" s="260"/>
      <c r="M314" s="260"/>
      <c r="N314" s="261"/>
    </row>
    <row r="315" spans="3:14" x14ac:dyDescent="0.2">
      <c r="C315" s="260"/>
      <c r="D315" s="260"/>
      <c r="E315" s="260"/>
      <c r="F315" s="260"/>
      <c r="G315" s="260"/>
      <c r="H315" s="260"/>
      <c r="I315" s="260"/>
      <c r="J315" s="260"/>
      <c r="K315" s="260"/>
      <c r="L315" s="260"/>
      <c r="M315" s="260"/>
      <c r="N315" s="261"/>
    </row>
    <row r="316" spans="3:14" x14ac:dyDescent="0.2">
      <c r="C316" s="260"/>
      <c r="D316" s="260"/>
      <c r="E316" s="260"/>
      <c r="F316" s="260"/>
      <c r="G316" s="260"/>
      <c r="H316" s="260"/>
      <c r="I316" s="260"/>
      <c r="J316" s="260"/>
      <c r="K316" s="260"/>
      <c r="L316" s="260"/>
      <c r="M316" s="260"/>
      <c r="N316" s="261"/>
    </row>
    <row r="317" spans="3:14" x14ac:dyDescent="0.2">
      <c r="C317" s="260"/>
      <c r="D317" s="260"/>
      <c r="E317" s="260"/>
      <c r="F317" s="260"/>
      <c r="G317" s="260"/>
      <c r="H317" s="260"/>
      <c r="I317" s="260"/>
      <c r="J317" s="260"/>
      <c r="K317" s="260"/>
      <c r="L317" s="260"/>
      <c r="M317" s="260"/>
      <c r="N317" s="261"/>
    </row>
    <row r="318" spans="3:14" x14ac:dyDescent="0.2">
      <c r="C318" s="260"/>
      <c r="D318" s="260"/>
      <c r="E318" s="260"/>
      <c r="F318" s="260"/>
      <c r="G318" s="260"/>
      <c r="H318" s="260"/>
      <c r="I318" s="260"/>
      <c r="J318" s="260"/>
      <c r="K318" s="260"/>
      <c r="L318" s="260"/>
      <c r="M318" s="260"/>
      <c r="N318" s="261"/>
    </row>
    <row r="319" spans="3:14" x14ac:dyDescent="0.2">
      <c r="C319" s="260"/>
      <c r="D319" s="260"/>
      <c r="E319" s="260"/>
      <c r="F319" s="260"/>
      <c r="G319" s="260"/>
      <c r="H319" s="260"/>
      <c r="I319" s="260"/>
      <c r="J319" s="260"/>
      <c r="K319" s="260"/>
      <c r="L319" s="260"/>
      <c r="M319" s="260"/>
      <c r="N319" s="261"/>
    </row>
    <row r="320" spans="3:14" x14ac:dyDescent="0.2">
      <c r="C320" s="260"/>
      <c r="D320" s="260"/>
      <c r="E320" s="260"/>
      <c r="F320" s="260"/>
      <c r="G320" s="260"/>
      <c r="H320" s="260"/>
      <c r="I320" s="260"/>
      <c r="J320" s="260"/>
      <c r="K320" s="260"/>
      <c r="L320" s="260"/>
      <c r="M320" s="260"/>
      <c r="N320" s="261"/>
    </row>
    <row r="321" spans="3:14" x14ac:dyDescent="0.2">
      <c r="C321" s="260"/>
      <c r="D321" s="260"/>
      <c r="E321" s="260"/>
      <c r="F321" s="260"/>
      <c r="G321" s="260"/>
      <c r="H321" s="260"/>
      <c r="I321" s="260"/>
      <c r="J321" s="260"/>
      <c r="K321" s="260"/>
      <c r="L321" s="260"/>
      <c r="M321" s="260"/>
      <c r="N321" s="261"/>
    </row>
    <row r="322" spans="3:14" x14ac:dyDescent="0.2">
      <c r="C322" s="260"/>
      <c r="D322" s="260"/>
      <c r="E322" s="260"/>
      <c r="F322" s="260"/>
      <c r="G322" s="260"/>
      <c r="H322" s="260"/>
      <c r="I322" s="260"/>
      <c r="J322" s="260"/>
      <c r="K322" s="260"/>
      <c r="L322" s="260"/>
      <c r="M322" s="260"/>
      <c r="N322" s="261"/>
    </row>
    <row r="323" spans="3:14" x14ac:dyDescent="0.2">
      <c r="C323" s="260"/>
      <c r="D323" s="260"/>
      <c r="E323" s="260"/>
      <c r="F323" s="260"/>
      <c r="G323" s="260"/>
      <c r="H323" s="260"/>
      <c r="I323" s="260"/>
      <c r="J323" s="260"/>
      <c r="K323" s="260"/>
      <c r="L323" s="260"/>
      <c r="M323" s="260"/>
      <c r="N323" s="261"/>
    </row>
    <row r="324" spans="3:14" x14ac:dyDescent="0.2">
      <c r="C324" s="260"/>
      <c r="D324" s="260"/>
      <c r="E324" s="260"/>
      <c r="F324" s="260"/>
      <c r="G324" s="260"/>
      <c r="H324" s="260"/>
      <c r="I324" s="260"/>
      <c r="J324" s="260"/>
      <c r="K324" s="260"/>
      <c r="L324" s="260"/>
      <c r="M324" s="260"/>
      <c r="N324" s="261"/>
    </row>
    <row r="325" spans="3:14" x14ac:dyDescent="0.2">
      <c r="C325" s="260"/>
      <c r="D325" s="260"/>
      <c r="E325" s="260"/>
      <c r="F325" s="260"/>
      <c r="G325" s="260"/>
      <c r="H325" s="260"/>
      <c r="I325" s="260"/>
      <c r="J325" s="260"/>
      <c r="K325" s="260"/>
      <c r="L325" s="260"/>
      <c r="M325" s="260"/>
      <c r="N325" s="261"/>
    </row>
    <row r="326" spans="3:14" x14ac:dyDescent="0.2">
      <c r="C326" s="260"/>
      <c r="D326" s="260"/>
      <c r="E326" s="260"/>
      <c r="F326" s="260"/>
      <c r="G326" s="260"/>
      <c r="H326" s="260"/>
      <c r="I326" s="260"/>
      <c r="J326" s="260"/>
      <c r="K326" s="260"/>
      <c r="L326" s="260"/>
      <c r="M326" s="260"/>
      <c r="N326" s="261"/>
    </row>
    <row r="327" spans="3:14" x14ac:dyDescent="0.2">
      <c r="C327" s="260"/>
      <c r="D327" s="260"/>
      <c r="E327" s="260"/>
      <c r="F327" s="260"/>
      <c r="G327" s="260"/>
      <c r="H327" s="260"/>
      <c r="I327" s="260"/>
      <c r="J327" s="260"/>
      <c r="K327" s="260"/>
      <c r="L327" s="260"/>
      <c r="M327" s="260"/>
      <c r="N327" s="261"/>
    </row>
    <row r="328" spans="3:14" x14ac:dyDescent="0.2">
      <c r="C328" s="260"/>
      <c r="D328" s="260"/>
      <c r="E328" s="260"/>
      <c r="F328" s="260"/>
      <c r="G328" s="260"/>
      <c r="H328" s="260"/>
      <c r="I328" s="260"/>
      <c r="J328" s="260"/>
      <c r="K328" s="260"/>
      <c r="L328" s="260"/>
      <c r="M328" s="260"/>
      <c r="N328" s="261"/>
    </row>
    <row r="329" spans="3:14" x14ac:dyDescent="0.2">
      <c r="C329" s="260"/>
      <c r="D329" s="260"/>
      <c r="E329" s="260"/>
      <c r="F329" s="260"/>
      <c r="G329" s="260"/>
      <c r="H329" s="260"/>
      <c r="I329" s="260"/>
      <c r="J329" s="260"/>
      <c r="K329" s="260"/>
      <c r="L329" s="260"/>
      <c r="M329" s="260"/>
      <c r="N329" s="261"/>
    </row>
    <row r="330" spans="3:14" x14ac:dyDescent="0.2">
      <c r="C330" s="260"/>
      <c r="D330" s="260"/>
      <c r="E330" s="260"/>
      <c r="F330" s="260"/>
      <c r="G330" s="260"/>
      <c r="H330" s="260"/>
      <c r="I330" s="260"/>
      <c r="J330" s="260"/>
      <c r="K330" s="260"/>
      <c r="L330" s="260"/>
      <c r="M330" s="260"/>
      <c r="N330" s="261"/>
    </row>
    <row r="331" spans="3:14" x14ac:dyDescent="0.2">
      <c r="C331" s="260"/>
      <c r="D331" s="260"/>
      <c r="E331" s="260"/>
      <c r="F331" s="260"/>
      <c r="G331" s="260"/>
      <c r="H331" s="260"/>
      <c r="I331" s="260"/>
      <c r="J331" s="260"/>
      <c r="K331" s="260"/>
      <c r="L331" s="260"/>
      <c r="M331" s="260"/>
      <c r="N331" s="261"/>
    </row>
    <row r="332" spans="3:14" x14ac:dyDescent="0.2">
      <c r="C332" s="260"/>
      <c r="D332" s="260"/>
      <c r="E332" s="260"/>
      <c r="F332" s="260"/>
      <c r="G332" s="260"/>
      <c r="H332" s="260"/>
      <c r="I332" s="260"/>
      <c r="J332" s="260"/>
      <c r="K332" s="260"/>
      <c r="L332" s="260"/>
      <c r="M332" s="260"/>
      <c r="N332" s="261"/>
    </row>
    <row r="333" spans="3:14" x14ac:dyDescent="0.2">
      <c r="C333" s="260"/>
      <c r="D333" s="260"/>
      <c r="E333" s="260"/>
      <c r="F333" s="260"/>
      <c r="G333" s="260"/>
      <c r="H333" s="260"/>
      <c r="I333" s="260"/>
      <c r="J333" s="260"/>
      <c r="K333" s="260"/>
      <c r="L333" s="260"/>
      <c r="M333" s="260"/>
      <c r="N333" s="261"/>
    </row>
    <row r="334" spans="3:14" x14ac:dyDescent="0.2">
      <c r="C334" s="260"/>
      <c r="D334" s="260"/>
      <c r="E334" s="260"/>
      <c r="F334" s="260"/>
      <c r="G334" s="260"/>
      <c r="H334" s="260"/>
      <c r="I334" s="260"/>
      <c r="J334" s="260"/>
      <c r="K334" s="260"/>
      <c r="L334" s="260"/>
      <c r="M334" s="260"/>
      <c r="N334" s="261"/>
    </row>
    <row r="335" spans="3:14" x14ac:dyDescent="0.2">
      <c r="C335" s="260"/>
      <c r="D335" s="260"/>
      <c r="E335" s="260"/>
      <c r="F335" s="260"/>
      <c r="G335" s="260"/>
      <c r="H335" s="260"/>
      <c r="I335" s="260"/>
      <c r="J335" s="260"/>
      <c r="K335" s="260"/>
      <c r="L335" s="260"/>
      <c r="M335" s="260"/>
      <c r="N335" s="261"/>
    </row>
    <row r="336" spans="3:14" x14ac:dyDescent="0.2">
      <c r="C336" s="260"/>
      <c r="D336" s="260"/>
      <c r="E336" s="260"/>
      <c r="F336" s="260"/>
      <c r="G336" s="260"/>
      <c r="H336" s="260"/>
      <c r="I336" s="260"/>
      <c r="J336" s="260"/>
      <c r="K336" s="260"/>
      <c r="L336" s="260"/>
      <c r="M336" s="260"/>
      <c r="N336" s="261"/>
    </row>
    <row r="337" spans="3:14" x14ac:dyDescent="0.2">
      <c r="C337" s="260"/>
      <c r="D337" s="260"/>
      <c r="E337" s="260"/>
      <c r="F337" s="260"/>
      <c r="G337" s="260"/>
      <c r="H337" s="260"/>
      <c r="I337" s="260"/>
      <c r="J337" s="260"/>
      <c r="K337" s="260"/>
      <c r="L337" s="260"/>
      <c r="M337" s="260"/>
      <c r="N337" s="261"/>
    </row>
    <row r="338" spans="3:14" x14ac:dyDescent="0.2">
      <c r="C338" s="260"/>
      <c r="D338" s="260"/>
      <c r="E338" s="260"/>
      <c r="F338" s="260"/>
      <c r="G338" s="260"/>
      <c r="H338" s="260"/>
      <c r="I338" s="260"/>
      <c r="J338" s="260"/>
      <c r="K338" s="260"/>
      <c r="L338" s="260"/>
      <c r="M338" s="260"/>
      <c r="N338" s="261"/>
    </row>
    <row r="339" spans="3:14" x14ac:dyDescent="0.2">
      <c r="C339" s="260"/>
      <c r="D339" s="260"/>
      <c r="E339" s="260"/>
      <c r="F339" s="260"/>
      <c r="G339" s="260"/>
      <c r="H339" s="260"/>
      <c r="I339" s="260"/>
      <c r="J339" s="260"/>
      <c r="K339" s="260"/>
      <c r="L339" s="260"/>
      <c r="M339" s="260"/>
      <c r="N339" s="261"/>
    </row>
    <row r="340" spans="3:14" x14ac:dyDescent="0.2">
      <c r="C340" s="260"/>
      <c r="D340" s="260"/>
      <c r="E340" s="260"/>
      <c r="F340" s="260"/>
      <c r="G340" s="260"/>
      <c r="H340" s="260"/>
      <c r="I340" s="260"/>
      <c r="J340" s="260"/>
      <c r="K340" s="260"/>
      <c r="L340" s="260"/>
      <c r="M340" s="260"/>
      <c r="N340" s="261"/>
    </row>
    <row r="341" spans="3:14" x14ac:dyDescent="0.2">
      <c r="C341" s="260"/>
      <c r="D341" s="260"/>
      <c r="E341" s="260"/>
      <c r="F341" s="260"/>
      <c r="G341" s="260"/>
      <c r="H341" s="260"/>
      <c r="I341" s="260"/>
      <c r="J341" s="260"/>
      <c r="K341" s="260"/>
      <c r="L341" s="260"/>
      <c r="M341" s="260"/>
      <c r="N341" s="261"/>
    </row>
    <row r="342" spans="3:14" x14ac:dyDescent="0.2">
      <c r="C342" s="260"/>
      <c r="D342" s="260"/>
      <c r="E342" s="260"/>
      <c r="F342" s="260"/>
      <c r="G342" s="260"/>
      <c r="H342" s="260"/>
      <c r="I342" s="260"/>
      <c r="J342" s="260"/>
      <c r="K342" s="260"/>
      <c r="L342" s="260"/>
      <c r="M342" s="260"/>
      <c r="N342" s="261"/>
    </row>
    <row r="343" spans="3:14" x14ac:dyDescent="0.2">
      <c r="C343" s="260"/>
      <c r="D343" s="260"/>
      <c r="E343" s="260"/>
      <c r="F343" s="260"/>
      <c r="G343" s="260"/>
      <c r="H343" s="260"/>
      <c r="I343" s="260"/>
      <c r="J343" s="260"/>
      <c r="K343" s="260"/>
      <c r="L343" s="260"/>
      <c r="M343" s="260"/>
      <c r="N343" s="261"/>
    </row>
    <row r="344" spans="3:14" x14ac:dyDescent="0.2">
      <c r="C344" s="260"/>
      <c r="D344" s="260"/>
      <c r="E344" s="260"/>
      <c r="F344" s="260"/>
      <c r="G344" s="260"/>
      <c r="H344" s="260"/>
      <c r="I344" s="260"/>
      <c r="J344" s="260"/>
      <c r="K344" s="260"/>
      <c r="L344" s="260"/>
      <c r="M344" s="260"/>
      <c r="N344" s="261"/>
    </row>
    <row r="345" spans="3:14" x14ac:dyDescent="0.2">
      <c r="C345" s="260"/>
      <c r="D345" s="260"/>
      <c r="E345" s="260"/>
      <c r="F345" s="260"/>
      <c r="G345" s="260"/>
      <c r="H345" s="260"/>
      <c r="I345" s="260"/>
      <c r="J345" s="260"/>
      <c r="K345" s="260"/>
      <c r="L345" s="260"/>
      <c r="M345" s="260"/>
      <c r="N345" s="261"/>
    </row>
    <row r="346" spans="3:14" x14ac:dyDescent="0.2">
      <c r="C346" s="260"/>
      <c r="D346" s="260"/>
      <c r="E346" s="260"/>
      <c r="F346" s="260"/>
      <c r="G346" s="260"/>
      <c r="H346" s="260"/>
      <c r="I346" s="260"/>
      <c r="J346" s="260"/>
      <c r="K346" s="260"/>
      <c r="L346" s="260"/>
      <c r="M346" s="260"/>
      <c r="N346" s="261"/>
    </row>
    <row r="347" spans="3:14" x14ac:dyDescent="0.2">
      <c r="C347" s="260"/>
      <c r="D347" s="260"/>
      <c r="E347" s="260"/>
      <c r="F347" s="260"/>
      <c r="G347" s="260"/>
      <c r="H347" s="260"/>
      <c r="I347" s="260"/>
      <c r="J347" s="260"/>
      <c r="K347" s="260"/>
      <c r="L347" s="260"/>
      <c r="M347" s="260"/>
      <c r="N347" s="261"/>
    </row>
    <row r="348" spans="3:14" x14ac:dyDescent="0.2">
      <c r="C348" s="260"/>
      <c r="D348" s="260"/>
      <c r="E348" s="260"/>
      <c r="F348" s="260"/>
      <c r="G348" s="260"/>
      <c r="H348" s="260"/>
      <c r="I348" s="260"/>
      <c r="J348" s="260"/>
      <c r="K348" s="260"/>
      <c r="L348" s="260"/>
      <c r="M348" s="260"/>
      <c r="N348" s="261"/>
    </row>
    <row r="349" spans="3:14" x14ac:dyDescent="0.2">
      <c r="C349" s="260"/>
      <c r="D349" s="260"/>
      <c r="E349" s="260"/>
      <c r="F349" s="260"/>
      <c r="G349" s="260"/>
      <c r="H349" s="260"/>
      <c r="I349" s="260"/>
      <c r="J349" s="260"/>
      <c r="K349" s="260"/>
      <c r="L349" s="260"/>
      <c r="M349" s="260"/>
      <c r="N349" s="261"/>
    </row>
    <row r="350" spans="3:14" x14ac:dyDescent="0.2">
      <c r="C350" s="260"/>
      <c r="D350" s="260"/>
      <c r="E350" s="260"/>
      <c r="F350" s="260"/>
      <c r="G350" s="260"/>
      <c r="H350" s="260"/>
      <c r="I350" s="260"/>
      <c r="J350" s="260"/>
      <c r="K350" s="260"/>
      <c r="L350" s="260"/>
      <c r="M350" s="260"/>
      <c r="N350" s="261"/>
    </row>
    <row r="351" spans="3:14" x14ac:dyDescent="0.2">
      <c r="C351" s="260"/>
      <c r="D351" s="260"/>
      <c r="E351" s="260"/>
      <c r="F351" s="260"/>
      <c r="G351" s="260"/>
      <c r="H351" s="260"/>
      <c r="I351" s="260"/>
      <c r="J351" s="260"/>
      <c r="K351" s="260"/>
      <c r="L351" s="260"/>
      <c r="M351" s="260"/>
      <c r="N351" s="261"/>
    </row>
    <row r="352" spans="3:14" x14ac:dyDescent="0.2">
      <c r="C352" s="260"/>
      <c r="D352" s="260"/>
      <c r="E352" s="260"/>
      <c r="F352" s="260"/>
      <c r="G352" s="260"/>
      <c r="H352" s="260"/>
      <c r="I352" s="260"/>
      <c r="J352" s="260"/>
      <c r="K352" s="260"/>
      <c r="L352" s="260"/>
      <c r="M352" s="260"/>
      <c r="N352" s="261"/>
    </row>
    <row r="353" spans="3:14" x14ac:dyDescent="0.2">
      <c r="C353" s="260"/>
      <c r="D353" s="260"/>
      <c r="E353" s="260"/>
      <c r="F353" s="260"/>
      <c r="G353" s="260"/>
      <c r="H353" s="260"/>
      <c r="I353" s="260"/>
      <c r="J353" s="260"/>
      <c r="K353" s="260"/>
      <c r="L353" s="260"/>
      <c r="M353" s="260"/>
      <c r="N353" s="261"/>
    </row>
    <row r="354" spans="3:14" x14ac:dyDescent="0.2">
      <c r="C354" s="260"/>
      <c r="D354" s="260"/>
      <c r="E354" s="260"/>
      <c r="F354" s="260"/>
      <c r="G354" s="260"/>
      <c r="H354" s="260"/>
      <c r="I354" s="260"/>
      <c r="J354" s="260"/>
      <c r="K354" s="260"/>
      <c r="L354" s="260"/>
      <c r="M354" s="260"/>
      <c r="N354" s="261"/>
    </row>
    <row r="355" spans="3:14" x14ac:dyDescent="0.2">
      <c r="C355" s="260"/>
      <c r="D355" s="260"/>
      <c r="E355" s="260"/>
      <c r="F355" s="260"/>
      <c r="G355" s="260"/>
      <c r="H355" s="260"/>
      <c r="I355" s="260"/>
      <c r="J355" s="260"/>
      <c r="K355" s="260"/>
      <c r="L355" s="260"/>
      <c r="M355" s="260"/>
      <c r="N355" s="261"/>
    </row>
    <row r="356" spans="3:14" x14ac:dyDescent="0.2">
      <c r="C356" s="260"/>
      <c r="D356" s="260"/>
      <c r="E356" s="260"/>
      <c r="F356" s="260"/>
      <c r="G356" s="260"/>
      <c r="H356" s="260"/>
      <c r="I356" s="260"/>
      <c r="J356" s="260"/>
      <c r="K356" s="260"/>
      <c r="L356" s="260"/>
      <c r="M356" s="260"/>
      <c r="N356" s="261"/>
    </row>
    <row r="357" spans="3:14" x14ac:dyDescent="0.2">
      <c r="C357" s="260"/>
      <c r="D357" s="260"/>
      <c r="E357" s="260"/>
      <c r="F357" s="260"/>
      <c r="G357" s="260"/>
      <c r="H357" s="260"/>
      <c r="I357" s="260"/>
      <c r="J357" s="260"/>
      <c r="K357" s="260"/>
      <c r="L357" s="260"/>
      <c r="M357" s="260"/>
      <c r="N357" s="261"/>
    </row>
    <row r="358" spans="3:14" x14ac:dyDescent="0.2">
      <c r="C358" s="260"/>
      <c r="D358" s="260"/>
      <c r="E358" s="260"/>
      <c r="F358" s="260"/>
      <c r="G358" s="260"/>
      <c r="H358" s="260"/>
      <c r="I358" s="260"/>
      <c r="J358" s="260"/>
      <c r="K358" s="260"/>
      <c r="L358" s="260"/>
      <c r="M358" s="260"/>
      <c r="N358" s="261"/>
    </row>
    <row r="359" spans="3:14" x14ac:dyDescent="0.2">
      <c r="C359" s="260"/>
      <c r="D359" s="260"/>
      <c r="E359" s="260"/>
      <c r="F359" s="260"/>
      <c r="G359" s="260"/>
      <c r="H359" s="260"/>
      <c r="I359" s="260"/>
      <c r="J359" s="260"/>
      <c r="K359" s="260"/>
      <c r="L359" s="260"/>
      <c r="M359" s="260"/>
      <c r="N359" s="261"/>
    </row>
    <row r="360" spans="3:14" x14ac:dyDescent="0.2">
      <c r="C360" s="260"/>
      <c r="D360" s="260"/>
      <c r="E360" s="260"/>
      <c r="F360" s="260"/>
      <c r="G360" s="260"/>
      <c r="H360" s="260"/>
      <c r="I360" s="260"/>
      <c r="J360" s="260"/>
      <c r="K360" s="260"/>
      <c r="L360" s="260"/>
      <c r="M360" s="260"/>
      <c r="N360" s="261"/>
    </row>
    <row r="361" spans="3:14" x14ac:dyDescent="0.2">
      <c r="C361" s="260"/>
      <c r="D361" s="260"/>
      <c r="E361" s="260"/>
      <c r="F361" s="260"/>
      <c r="G361" s="260"/>
      <c r="H361" s="260"/>
      <c r="I361" s="260"/>
      <c r="J361" s="260"/>
      <c r="K361" s="260"/>
      <c r="L361" s="260"/>
      <c r="M361" s="260"/>
      <c r="N361" s="261"/>
    </row>
    <row r="362" spans="3:14" x14ac:dyDescent="0.2">
      <c r="C362" s="260"/>
      <c r="D362" s="260"/>
      <c r="E362" s="260"/>
      <c r="F362" s="260"/>
      <c r="G362" s="260"/>
      <c r="H362" s="260"/>
      <c r="I362" s="260"/>
      <c r="J362" s="260"/>
      <c r="K362" s="260"/>
      <c r="L362" s="260"/>
      <c r="M362" s="260"/>
      <c r="N362" s="261"/>
    </row>
    <row r="363" spans="3:14" x14ac:dyDescent="0.2">
      <c r="C363" s="260"/>
      <c r="D363" s="260"/>
      <c r="E363" s="260"/>
      <c r="F363" s="260"/>
      <c r="G363" s="260"/>
      <c r="H363" s="260"/>
      <c r="I363" s="260"/>
      <c r="J363" s="260"/>
      <c r="K363" s="260"/>
      <c r="L363" s="260"/>
      <c r="M363" s="260"/>
      <c r="N363" s="261"/>
    </row>
    <row r="364" spans="3:14" x14ac:dyDescent="0.2">
      <c r="C364" s="260"/>
      <c r="D364" s="260"/>
      <c r="E364" s="260"/>
      <c r="F364" s="260"/>
      <c r="G364" s="260"/>
      <c r="H364" s="260"/>
      <c r="I364" s="260"/>
      <c r="J364" s="260"/>
      <c r="K364" s="260"/>
      <c r="L364" s="260"/>
      <c r="M364" s="260"/>
      <c r="N364" s="261"/>
    </row>
    <row r="365" spans="3:14" x14ac:dyDescent="0.2">
      <c r="C365" s="260"/>
      <c r="D365" s="260"/>
      <c r="E365" s="260"/>
      <c r="F365" s="260"/>
      <c r="G365" s="260"/>
      <c r="H365" s="260"/>
      <c r="I365" s="260"/>
      <c r="J365" s="260"/>
      <c r="K365" s="260"/>
      <c r="L365" s="260"/>
      <c r="M365" s="260"/>
      <c r="N365" s="261"/>
    </row>
    <row r="366" spans="3:14" x14ac:dyDescent="0.2">
      <c r="C366" s="260"/>
      <c r="D366" s="260"/>
      <c r="E366" s="260"/>
      <c r="F366" s="260"/>
      <c r="G366" s="260"/>
      <c r="H366" s="260"/>
      <c r="I366" s="260"/>
      <c r="J366" s="260"/>
      <c r="K366" s="260"/>
      <c r="L366" s="260"/>
      <c r="M366" s="260"/>
      <c r="N366" s="261"/>
    </row>
    <row r="367" spans="3:14" x14ac:dyDescent="0.2">
      <c r="C367" s="260"/>
      <c r="D367" s="260"/>
      <c r="E367" s="260"/>
      <c r="F367" s="260"/>
      <c r="G367" s="260"/>
      <c r="H367" s="260"/>
      <c r="I367" s="260"/>
      <c r="J367" s="260"/>
      <c r="K367" s="260"/>
      <c r="L367" s="260"/>
      <c r="M367" s="260"/>
      <c r="N367" s="261"/>
    </row>
    <row r="368" spans="3:14" x14ac:dyDescent="0.2">
      <c r="C368" s="260"/>
      <c r="D368" s="260"/>
      <c r="E368" s="260"/>
      <c r="F368" s="260"/>
      <c r="G368" s="260"/>
      <c r="H368" s="260"/>
      <c r="I368" s="260"/>
      <c r="J368" s="260"/>
      <c r="K368" s="260"/>
      <c r="L368" s="260"/>
      <c r="M368" s="260"/>
      <c r="N368" s="261"/>
    </row>
    <row r="369" spans="3:14" x14ac:dyDescent="0.2">
      <c r="C369" s="260"/>
      <c r="D369" s="260"/>
      <c r="E369" s="260"/>
      <c r="F369" s="260"/>
      <c r="G369" s="260"/>
      <c r="H369" s="260"/>
      <c r="I369" s="260"/>
      <c r="J369" s="260"/>
      <c r="K369" s="260"/>
      <c r="L369" s="260"/>
      <c r="M369" s="260"/>
      <c r="N369" s="261"/>
    </row>
    <row r="370" spans="3:14" x14ac:dyDescent="0.2">
      <c r="C370" s="260"/>
      <c r="D370" s="260"/>
      <c r="E370" s="260"/>
      <c r="F370" s="260"/>
      <c r="G370" s="260"/>
      <c r="H370" s="260"/>
      <c r="I370" s="260"/>
      <c r="J370" s="260"/>
      <c r="K370" s="260"/>
      <c r="L370" s="260"/>
      <c r="M370" s="260"/>
      <c r="N370" s="261"/>
    </row>
    <row r="371" spans="3:14" x14ac:dyDescent="0.2">
      <c r="C371" s="260"/>
      <c r="D371" s="260"/>
      <c r="E371" s="260"/>
      <c r="F371" s="260"/>
      <c r="G371" s="260"/>
      <c r="H371" s="260"/>
      <c r="I371" s="260"/>
      <c r="J371" s="260"/>
      <c r="K371" s="260"/>
      <c r="L371" s="260"/>
      <c r="M371" s="260"/>
      <c r="N371" s="261"/>
    </row>
    <row r="372" spans="3:14" x14ac:dyDescent="0.2">
      <c r="C372" s="260"/>
      <c r="D372" s="260"/>
      <c r="E372" s="260"/>
      <c r="F372" s="260"/>
      <c r="G372" s="260"/>
      <c r="H372" s="260"/>
      <c r="I372" s="260"/>
      <c r="J372" s="260"/>
      <c r="K372" s="260"/>
      <c r="L372" s="260"/>
      <c r="M372" s="260"/>
      <c r="N372" s="261"/>
    </row>
    <row r="373" spans="3:14" x14ac:dyDescent="0.2">
      <c r="C373" s="260"/>
      <c r="D373" s="260"/>
      <c r="E373" s="260"/>
      <c r="F373" s="260"/>
      <c r="G373" s="260"/>
      <c r="H373" s="260"/>
      <c r="I373" s="260"/>
      <c r="J373" s="260"/>
      <c r="K373" s="260"/>
      <c r="L373" s="260"/>
      <c r="M373" s="260"/>
      <c r="N373" s="261"/>
    </row>
    <row r="374" spans="3:14" x14ac:dyDescent="0.2">
      <c r="C374" s="260"/>
      <c r="D374" s="260"/>
      <c r="E374" s="260"/>
      <c r="F374" s="260"/>
      <c r="G374" s="260"/>
      <c r="H374" s="260"/>
      <c r="I374" s="260"/>
      <c r="J374" s="260"/>
      <c r="K374" s="260"/>
      <c r="L374" s="260"/>
      <c r="M374" s="260"/>
      <c r="N374" s="261"/>
    </row>
    <row r="375" spans="3:14" x14ac:dyDescent="0.2">
      <c r="C375" s="260"/>
      <c r="D375" s="260"/>
      <c r="E375" s="260"/>
      <c r="F375" s="260"/>
      <c r="G375" s="260"/>
      <c r="H375" s="260"/>
      <c r="I375" s="260"/>
      <c r="J375" s="260"/>
      <c r="K375" s="260"/>
      <c r="L375" s="260"/>
      <c r="M375" s="260"/>
      <c r="N375" s="261"/>
    </row>
    <row r="376" spans="3:14" x14ac:dyDescent="0.2">
      <c r="C376" s="260"/>
      <c r="D376" s="260"/>
      <c r="E376" s="260"/>
      <c r="F376" s="260"/>
      <c r="G376" s="260"/>
      <c r="H376" s="260"/>
      <c r="I376" s="260"/>
      <c r="J376" s="260"/>
      <c r="K376" s="260"/>
      <c r="L376" s="260"/>
      <c r="M376" s="260"/>
      <c r="N376" s="261"/>
    </row>
    <row r="377" spans="3:14" x14ac:dyDescent="0.2">
      <c r="C377" s="260"/>
      <c r="D377" s="260"/>
      <c r="E377" s="260"/>
      <c r="F377" s="260"/>
      <c r="G377" s="260"/>
      <c r="H377" s="260"/>
      <c r="I377" s="260"/>
      <c r="J377" s="260"/>
      <c r="K377" s="260"/>
      <c r="L377" s="260"/>
      <c r="M377" s="260"/>
      <c r="N377" s="261"/>
    </row>
    <row r="378" spans="3:14" x14ac:dyDescent="0.2">
      <c r="C378" s="260"/>
      <c r="D378" s="260"/>
      <c r="E378" s="260"/>
      <c r="F378" s="260"/>
      <c r="G378" s="260"/>
      <c r="H378" s="260"/>
      <c r="I378" s="260"/>
      <c r="J378" s="260"/>
      <c r="K378" s="260"/>
      <c r="L378" s="260"/>
      <c r="M378" s="260"/>
      <c r="N378" s="261"/>
    </row>
    <row r="379" spans="3:14" x14ac:dyDescent="0.2">
      <c r="C379" s="260"/>
      <c r="D379" s="260"/>
      <c r="E379" s="260"/>
      <c r="F379" s="260"/>
      <c r="G379" s="260"/>
      <c r="H379" s="260"/>
      <c r="I379" s="260"/>
      <c r="J379" s="260"/>
      <c r="K379" s="260"/>
      <c r="L379" s="260"/>
      <c r="M379" s="260"/>
      <c r="N379" s="261"/>
    </row>
    <row r="380" spans="3:14" x14ac:dyDescent="0.2">
      <c r="C380" s="260"/>
      <c r="D380" s="260"/>
      <c r="E380" s="260"/>
      <c r="F380" s="260"/>
      <c r="G380" s="260"/>
      <c r="H380" s="260"/>
      <c r="I380" s="260"/>
      <c r="J380" s="260"/>
      <c r="K380" s="260"/>
      <c r="L380" s="260"/>
      <c r="M380" s="260"/>
      <c r="N380" s="261"/>
    </row>
    <row r="381" spans="3:14" x14ac:dyDescent="0.2">
      <c r="C381" s="260"/>
      <c r="D381" s="260"/>
      <c r="E381" s="260"/>
      <c r="F381" s="260"/>
      <c r="G381" s="260"/>
      <c r="H381" s="260"/>
      <c r="I381" s="260"/>
      <c r="J381" s="260"/>
      <c r="K381" s="260"/>
      <c r="L381" s="260"/>
      <c r="M381" s="260"/>
      <c r="N381" s="261"/>
    </row>
    <row r="382" spans="3:14" x14ac:dyDescent="0.2">
      <c r="C382" s="260"/>
      <c r="D382" s="260"/>
      <c r="E382" s="260"/>
      <c r="F382" s="260"/>
      <c r="G382" s="260"/>
      <c r="H382" s="260"/>
      <c r="I382" s="260"/>
      <c r="J382" s="260"/>
      <c r="K382" s="260"/>
      <c r="L382" s="260"/>
      <c r="M382" s="260"/>
      <c r="N382" s="261"/>
    </row>
    <row r="383" spans="3:14" x14ac:dyDescent="0.2">
      <c r="C383" s="260"/>
      <c r="D383" s="260"/>
      <c r="E383" s="260"/>
      <c r="F383" s="260"/>
      <c r="G383" s="260"/>
      <c r="H383" s="260"/>
      <c r="I383" s="260"/>
      <c r="J383" s="260"/>
      <c r="K383" s="260"/>
      <c r="L383" s="260"/>
      <c r="M383" s="260"/>
      <c r="N383" s="261"/>
    </row>
    <row r="384" spans="3:14" x14ac:dyDescent="0.2">
      <c r="C384" s="260"/>
      <c r="D384" s="260"/>
      <c r="E384" s="260"/>
      <c r="F384" s="260"/>
      <c r="G384" s="260"/>
      <c r="H384" s="260"/>
      <c r="I384" s="260"/>
      <c r="J384" s="260"/>
      <c r="K384" s="260"/>
      <c r="L384" s="260"/>
      <c r="M384" s="260"/>
      <c r="N384" s="261"/>
    </row>
    <row r="385" spans="3:14" x14ac:dyDescent="0.2">
      <c r="C385" s="260"/>
      <c r="D385" s="260"/>
      <c r="E385" s="260"/>
      <c r="F385" s="260"/>
      <c r="G385" s="260"/>
      <c r="H385" s="260"/>
      <c r="I385" s="260"/>
      <c r="J385" s="260"/>
      <c r="K385" s="260"/>
      <c r="L385" s="260"/>
      <c r="M385" s="260"/>
      <c r="N385" s="261"/>
    </row>
    <row r="386" spans="3:14" x14ac:dyDescent="0.2">
      <c r="C386" s="260"/>
      <c r="D386" s="260"/>
      <c r="E386" s="260"/>
      <c r="F386" s="260"/>
      <c r="G386" s="260"/>
      <c r="H386" s="260"/>
      <c r="I386" s="260"/>
      <c r="J386" s="260"/>
      <c r="K386" s="260"/>
      <c r="L386" s="260"/>
      <c r="M386" s="260"/>
      <c r="N386" s="261"/>
    </row>
    <row r="387" spans="3:14" x14ac:dyDescent="0.2">
      <c r="C387" s="260"/>
      <c r="D387" s="260"/>
      <c r="E387" s="260"/>
      <c r="F387" s="260"/>
      <c r="G387" s="260"/>
      <c r="H387" s="260"/>
      <c r="I387" s="260"/>
      <c r="J387" s="260"/>
      <c r="K387" s="260"/>
      <c r="L387" s="260"/>
      <c r="M387" s="260"/>
      <c r="N387" s="261"/>
    </row>
    <row r="388" spans="3:14" x14ac:dyDescent="0.2">
      <c r="C388" s="260"/>
      <c r="D388" s="260"/>
      <c r="E388" s="260"/>
      <c r="F388" s="260"/>
      <c r="G388" s="260"/>
      <c r="H388" s="260"/>
      <c r="I388" s="260"/>
      <c r="J388" s="260"/>
      <c r="K388" s="260"/>
      <c r="L388" s="260"/>
      <c r="M388" s="260"/>
      <c r="N388" s="261"/>
    </row>
    <row r="389" spans="3:14" x14ac:dyDescent="0.2">
      <c r="C389" s="260"/>
      <c r="D389" s="260"/>
      <c r="E389" s="260"/>
      <c r="F389" s="260"/>
      <c r="G389" s="260"/>
      <c r="H389" s="260"/>
      <c r="I389" s="260"/>
      <c r="J389" s="260"/>
      <c r="K389" s="260"/>
      <c r="L389" s="260"/>
      <c r="M389" s="260"/>
      <c r="N389" s="261"/>
    </row>
    <row r="390" spans="3:14" x14ac:dyDescent="0.2">
      <c r="C390" s="260"/>
      <c r="D390" s="260"/>
      <c r="E390" s="260"/>
      <c r="F390" s="260"/>
      <c r="G390" s="260"/>
      <c r="H390" s="260"/>
      <c r="I390" s="260"/>
      <c r="J390" s="260"/>
      <c r="K390" s="260"/>
      <c r="L390" s="260"/>
      <c r="M390" s="260"/>
      <c r="N390" s="261"/>
    </row>
    <row r="391" spans="3:14" x14ac:dyDescent="0.2">
      <c r="C391" s="260"/>
      <c r="D391" s="260"/>
      <c r="E391" s="260"/>
      <c r="F391" s="260"/>
      <c r="G391" s="260"/>
      <c r="H391" s="260"/>
      <c r="I391" s="260"/>
      <c r="J391" s="260"/>
      <c r="K391" s="260"/>
      <c r="L391" s="260"/>
      <c r="M391" s="260"/>
      <c r="N391" s="261"/>
    </row>
    <row r="392" spans="3:14" x14ac:dyDescent="0.2">
      <c r="C392" s="260"/>
      <c r="D392" s="260"/>
      <c r="E392" s="260"/>
      <c r="F392" s="260"/>
      <c r="G392" s="260"/>
      <c r="H392" s="260"/>
      <c r="I392" s="260"/>
      <c r="J392" s="260"/>
      <c r="K392" s="260"/>
      <c r="L392" s="260"/>
      <c r="M392" s="260"/>
      <c r="N392" s="261"/>
    </row>
    <row r="393" spans="3:14" x14ac:dyDescent="0.2">
      <c r="C393" s="260"/>
      <c r="D393" s="260"/>
      <c r="E393" s="260"/>
      <c r="F393" s="260"/>
      <c r="G393" s="260"/>
      <c r="H393" s="260"/>
      <c r="I393" s="260"/>
      <c r="J393" s="260"/>
      <c r="K393" s="260"/>
      <c r="L393" s="260"/>
      <c r="M393" s="260"/>
      <c r="N393" s="261"/>
    </row>
    <row r="394" spans="3:14" x14ac:dyDescent="0.2">
      <c r="C394" s="260"/>
      <c r="D394" s="260"/>
      <c r="E394" s="260"/>
      <c r="F394" s="260"/>
      <c r="G394" s="260"/>
      <c r="H394" s="260"/>
      <c r="I394" s="260"/>
      <c r="J394" s="260"/>
      <c r="K394" s="260"/>
      <c r="L394" s="260"/>
      <c r="M394" s="260"/>
      <c r="N394" s="261"/>
    </row>
    <row r="395" spans="3:14" x14ac:dyDescent="0.2">
      <c r="C395" s="260"/>
      <c r="D395" s="260"/>
      <c r="E395" s="260"/>
      <c r="F395" s="260"/>
      <c r="G395" s="260"/>
      <c r="H395" s="260"/>
      <c r="I395" s="260"/>
      <c r="J395" s="260"/>
      <c r="K395" s="260"/>
      <c r="L395" s="260"/>
      <c r="M395" s="260"/>
      <c r="N395" s="261"/>
    </row>
    <row r="396" spans="3:14" x14ac:dyDescent="0.2">
      <c r="C396" s="260"/>
      <c r="D396" s="260"/>
      <c r="E396" s="260"/>
      <c r="F396" s="260"/>
      <c r="G396" s="260"/>
      <c r="H396" s="260"/>
      <c r="I396" s="260"/>
      <c r="J396" s="260"/>
      <c r="K396" s="260"/>
      <c r="L396" s="260"/>
      <c r="M396" s="260"/>
      <c r="N396" s="261"/>
    </row>
    <row r="397" spans="3:14" x14ac:dyDescent="0.2">
      <c r="C397" s="260"/>
      <c r="D397" s="260"/>
      <c r="E397" s="260"/>
      <c r="F397" s="260"/>
      <c r="G397" s="260"/>
      <c r="H397" s="260"/>
      <c r="I397" s="260"/>
      <c r="J397" s="260"/>
      <c r="K397" s="260"/>
      <c r="L397" s="260"/>
      <c r="M397" s="260"/>
      <c r="N397" s="261"/>
    </row>
    <row r="398" spans="3:14" x14ac:dyDescent="0.2">
      <c r="C398" s="260"/>
      <c r="D398" s="260"/>
      <c r="E398" s="260"/>
      <c r="F398" s="260"/>
      <c r="G398" s="260"/>
      <c r="H398" s="260"/>
      <c r="I398" s="260"/>
      <c r="J398" s="260"/>
      <c r="K398" s="260"/>
      <c r="L398" s="260"/>
      <c r="M398" s="260"/>
      <c r="N398" s="261"/>
    </row>
    <row r="399" spans="3:14" x14ac:dyDescent="0.2">
      <c r="C399" s="260"/>
      <c r="D399" s="260"/>
      <c r="E399" s="260"/>
      <c r="F399" s="260"/>
      <c r="G399" s="260"/>
      <c r="H399" s="260"/>
      <c r="I399" s="260"/>
      <c r="J399" s="260"/>
      <c r="K399" s="260"/>
      <c r="L399" s="260"/>
      <c r="M399" s="260"/>
      <c r="N399" s="261"/>
    </row>
    <row r="400" spans="3:14" x14ac:dyDescent="0.2">
      <c r="C400" s="260"/>
      <c r="D400" s="260"/>
      <c r="E400" s="260"/>
      <c r="F400" s="260"/>
      <c r="G400" s="260"/>
      <c r="H400" s="260"/>
      <c r="I400" s="260"/>
      <c r="J400" s="260"/>
      <c r="K400" s="260"/>
      <c r="L400" s="260"/>
      <c r="M400" s="260"/>
      <c r="N400" s="261"/>
    </row>
    <row r="401" spans="3:14" x14ac:dyDescent="0.2">
      <c r="C401" s="260"/>
      <c r="D401" s="260"/>
      <c r="E401" s="260"/>
      <c r="F401" s="260"/>
      <c r="G401" s="260"/>
      <c r="H401" s="260"/>
      <c r="I401" s="260"/>
      <c r="J401" s="260"/>
      <c r="K401" s="260"/>
      <c r="L401" s="260"/>
      <c r="M401" s="260"/>
      <c r="N401" s="261"/>
    </row>
    <row r="402" spans="3:14" x14ac:dyDescent="0.2">
      <c r="C402" s="260"/>
      <c r="D402" s="260"/>
      <c r="E402" s="260"/>
      <c r="F402" s="260"/>
      <c r="G402" s="260"/>
      <c r="H402" s="260"/>
      <c r="I402" s="260"/>
      <c r="J402" s="260"/>
      <c r="K402" s="260"/>
      <c r="L402" s="260"/>
      <c r="M402" s="260"/>
      <c r="N402" s="261"/>
    </row>
    <row r="403" spans="3:14" x14ac:dyDescent="0.2">
      <c r="C403" s="260"/>
      <c r="D403" s="260"/>
      <c r="E403" s="260"/>
      <c r="F403" s="260"/>
      <c r="G403" s="260"/>
      <c r="H403" s="260"/>
      <c r="I403" s="260"/>
      <c r="J403" s="260"/>
      <c r="K403" s="260"/>
      <c r="L403" s="260"/>
      <c r="M403" s="260"/>
      <c r="N403" s="261"/>
    </row>
    <row r="404" spans="3:14" x14ac:dyDescent="0.2">
      <c r="C404" s="260"/>
      <c r="D404" s="260"/>
      <c r="E404" s="260"/>
      <c r="F404" s="260"/>
      <c r="G404" s="260"/>
      <c r="H404" s="260"/>
      <c r="I404" s="260"/>
      <c r="J404" s="260"/>
      <c r="K404" s="260"/>
      <c r="L404" s="260"/>
      <c r="M404" s="260"/>
      <c r="N404" s="261"/>
    </row>
    <row r="405" spans="3:14" x14ac:dyDescent="0.2">
      <c r="C405" s="260"/>
      <c r="D405" s="260"/>
      <c r="E405" s="260"/>
      <c r="F405" s="260"/>
      <c r="G405" s="260"/>
      <c r="H405" s="260"/>
      <c r="I405" s="260"/>
      <c r="J405" s="260"/>
      <c r="K405" s="260"/>
      <c r="L405" s="260"/>
      <c r="M405" s="260"/>
      <c r="N405" s="261"/>
    </row>
    <row r="406" spans="3:14" x14ac:dyDescent="0.2">
      <c r="C406" s="260"/>
      <c r="D406" s="260"/>
      <c r="E406" s="260"/>
      <c r="F406" s="260"/>
      <c r="G406" s="260"/>
      <c r="H406" s="260"/>
      <c r="I406" s="260"/>
      <c r="J406" s="260"/>
      <c r="K406" s="260"/>
      <c r="L406" s="260"/>
      <c r="M406" s="260"/>
      <c r="N406" s="261"/>
    </row>
    <row r="407" spans="3:14" x14ac:dyDescent="0.2">
      <c r="C407" s="260"/>
      <c r="D407" s="260"/>
      <c r="E407" s="260"/>
      <c r="F407" s="260"/>
      <c r="G407" s="260"/>
      <c r="H407" s="260"/>
      <c r="I407" s="260"/>
      <c r="J407" s="260"/>
      <c r="K407" s="260"/>
      <c r="L407" s="260"/>
      <c r="M407" s="260"/>
      <c r="N407" s="261"/>
    </row>
    <row r="408" spans="3:14" x14ac:dyDescent="0.2">
      <c r="C408" s="260"/>
      <c r="D408" s="260"/>
      <c r="E408" s="260"/>
      <c r="F408" s="260"/>
      <c r="G408" s="260"/>
      <c r="H408" s="260"/>
      <c r="I408" s="260"/>
      <c r="J408" s="260"/>
      <c r="K408" s="260"/>
      <c r="L408" s="260"/>
      <c r="M408" s="260"/>
      <c r="N408" s="261"/>
    </row>
    <row r="409" spans="3:14" x14ac:dyDescent="0.2">
      <c r="C409" s="260"/>
      <c r="D409" s="260"/>
      <c r="E409" s="260"/>
      <c r="F409" s="260"/>
      <c r="G409" s="260"/>
      <c r="H409" s="260"/>
      <c r="I409" s="260"/>
      <c r="J409" s="260"/>
      <c r="K409" s="260"/>
      <c r="L409" s="260"/>
      <c r="M409" s="260"/>
      <c r="N409" s="261"/>
    </row>
    <row r="410" spans="3:14" x14ac:dyDescent="0.2">
      <c r="C410" s="260"/>
      <c r="D410" s="260"/>
      <c r="E410" s="260"/>
      <c r="F410" s="260"/>
      <c r="G410" s="260"/>
      <c r="H410" s="260"/>
      <c r="I410" s="260"/>
      <c r="J410" s="260"/>
      <c r="K410" s="260"/>
      <c r="L410" s="260"/>
      <c r="M410" s="260"/>
      <c r="N410" s="261"/>
    </row>
    <row r="411" spans="3:14" x14ac:dyDescent="0.2">
      <c r="C411" s="260"/>
      <c r="D411" s="260"/>
      <c r="E411" s="260"/>
      <c r="F411" s="260"/>
      <c r="G411" s="260"/>
      <c r="H411" s="260"/>
      <c r="I411" s="260"/>
      <c r="J411" s="260"/>
      <c r="K411" s="260"/>
      <c r="L411" s="260"/>
      <c r="M411" s="260"/>
      <c r="N411" s="261"/>
    </row>
    <row r="412" spans="3:14" x14ac:dyDescent="0.2">
      <c r="C412" s="260"/>
      <c r="D412" s="260"/>
      <c r="E412" s="260"/>
      <c r="F412" s="260"/>
      <c r="G412" s="260"/>
      <c r="H412" s="260"/>
      <c r="I412" s="260"/>
      <c r="J412" s="260"/>
      <c r="K412" s="260"/>
      <c r="L412" s="260"/>
      <c r="M412" s="260"/>
      <c r="N412" s="261"/>
    </row>
    <row r="413" spans="3:14" x14ac:dyDescent="0.2">
      <c r="C413" s="260"/>
      <c r="D413" s="260"/>
      <c r="E413" s="260"/>
      <c r="F413" s="260"/>
      <c r="G413" s="260"/>
      <c r="H413" s="260"/>
      <c r="I413" s="260"/>
      <c r="J413" s="260"/>
      <c r="K413" s="260"/>
      <c r="L413" s="260"/>
      <c r="M413" s="260"/>
      <c r="N413" s="261"/>
    </row>
    <row r="414" spans="3:14" x14ac:dyDescent="0.2">
      <c r="C414" s="260"/>
      <c r="D414" s="260"/>
      <c r="E414" s="260"/>
      <c r="F414" s="260"/>
      <c r="G414" s="260"/>
      <c r="H414" s="260"/>
      <c r="I414" s="260"/>
      <c r="J414" s="260"/>
      <c r="K414" s="260"/>
      <c r="L414" s="260"/>
      <c r="M414" s="260"/>
      <c r="N414" s="261"/>
    </row>
    <row r="415" spans="3:14" x14ac:dyDescent="0.2">
      <c r="C415" s="260"/>
      <c r="D415" s="260"/>
      <c r="E415" s="260"/>
      <c r="F415" s="260"/>
      <c r="G415" s="260"/>
      <c r="H415" s="260"/>
      <c r="I415" s="260"/>
      <c r="J415" s="260"/>
      <c r="K415" s="260"/>
      <c r="L415" s="260"/>
      <c r="M415" s="260"/>
      <c r="N415" s="261"/>
    </row>
    <row r="416" spans="3:14" x14ac:dyDescent="0.2">
      <c r="C416" s="260"/>
      <c r="D416" s="260"/>
      <c r="E416" s="260"/>
      <c r="F416" s="260"/>
      <c r="G416" s="260"/>
      <c r="H416" s="260"/>
      <c r="I416" s="260"/>
      <c r="J416" s="260"/>
      <c r="K416" s="260"/>
      <c r="L416" s="260"/>
      <c r="M416" s="260"/>
      <c r="N416" s="261"/>
    </row>
    <row r="417" spans="3:14" x14ac:dyDescent="0.2">
      <c r="C417" s="260"/>
      <c r="D417" s="260"/>
      <c r="E417" s="260"/>
      <c r="F417" s="260"/>
      <c r="G417" s="260"/>
      <c r="H417" s="260"/>
      <c r="I417" s="260"/>
      <c r="J417" s="260"/>
      <c r="K417" s="260"/>
      <c r="L417" s="260"/>
      <c r="M417" s="260"/>
      <c r="N417" s="261"/>
    </row>
    <row r="418" spans="3:14" x14ac:dyDescent="0.2">
      <c r="C418" s="260"/>
      <c r="D418" s="260"/>
      <c r="E418" s="260"/>
      <c r="F418" s="260"/>
      <c r="G418" s="260"/>
      <c r="H418" s="260"/>
      <c r="I418" s="260"/>
      <c r="J418" s="260"/>
      <c r="K418" s="260"/>
      <c r="L418" s="260"/>
      <c r="M418" s="260"/>
      <c r="N418" s="261"/>
    </row>
    <row r="419" spans="3:14" x14ac:dyDescent="0.2">
      <c r="C419" s="260"/>
      <c r="D419" s="260"/>
      <c r="E419" s="260"/>
      <c r="F419" s="260"/>
      <c r="G419" s="260"/>
      <c r="H419" s="260"/>
      <c r="I419" s="260"/>
      <c r="J419" s="260"/>
      <c r="K419" s="260"/>
      <c r="L419" s="260"/>
      <c r="M419" s="260"/>
      <c r="N419" s="261"/>
    </row>
    <row r="420" spans="3:14" x14ac:dyDescent="0.2">
      <c r="C420" s="260"/>
      <c r="D420" s="260"/>
      <c r="E420" s="260"/>
      <c r="F420" s="260"/>
      <c r="G420" s="260"/>
      <c r="H420" s="260"/>
      <c r="I420" s="260"/>
      <c r="J420" s="260"/>
      <c r="K420" s="260"/>
      <c r="L420" s="260"/>
      <c r="M420" s="260"/>
      <c r="N420" s="261"/>
    </row>
    <row r="421" spans="3:14" x14ac:dyDescent="0.2">
      <c r="C421" s="260"/>
      <c r="D421" s="260"/>
      <c r="E421" s="260"/>
      <c r="F421" s="260"/>
      <c r="G421" s="260"/>
      <c r="H421" s="260"/>
      <c r="I421" s="260"/>
      <c r="J421" s="260"/>
      <c r="K421" s="260"/>
      <c r="L421" s="260"/>
      <c r="M421" s="260"/>
      <c r="N421" s="261"/>
    </row>
    <row r="422" spans="3:14" x14ac:dyDescent="0.2">
      <c r="C422" s="260"/>
      <c r="D422" s="260"/>
      <c r="E422" s="260"/>
      <c r="F422" s="260"/>
      <c r="G422" s="260"/>
      <c r="H422" s="260"/>
      <c r="I422" s="260"/>
      <c r="J422" s="260"/>
      <c r="K422" s="260"/>
      <c r="L422" s="260"/>
      <c r="M422" s="260"/>
      <c r="N422" s="261"/>
    </row>
    <row r="423" spans="3:14" x14ac:dyDescent="0.2">
      <c r="C423" s="260"/>
      <c r="D423" s="260"/>
      <c r="E423" s="260"/>
      <c r="F423" s="260"/>
      <c r="G423" s="260"/>
      <c r="H423" s="260"/>
      <c r="I423" s="260"/>
      <c r="J423" s="260"/>
      <c r="K423" s="260"/>
      <c r="L423" s="260"/>
      <c r="M423" s="260"/>
      <c r="N423" s="261"/>
    </row>
    <row r="424" spans="3:14" x14ac:dyDescent="0.2">
      <c r="C424" s="260"/>
      <c r="D424" s="260"/>
      <c r="E424" s="260"/>
      <c r="F424" s="260"/>
      <c r="G424" s="260"/>
      <c r="H424" s="260"/>
      <c r="I424" s="260"/>
      <c r="J424" s="260"/>
      <c r="K424" s="260"/>
      <c r="L424" s="260"/>
      <c r="M424" s="260"/>
      <c r="N424" s="261"/>
    </row>
    <row r="425" spans="3:14" x14ac:dyDescent="0.2">
      <c r="C425" s="260"/>
      <c r="D425" s="260"/>
      <c r="E425" s="260"/>
      <c r="F425" s="260"/>
      <c r="G425" s="260"/>
      <c r="H425" s="260"/>
      <c r="I425" s="260"/>
      <c r="J425" s="260"/>
      <c r="K425" s="260"/>
      <c r="L425" s="260"/>
      <c r="M425" s="260"/>
      <c r="N425" s="261"/>
    </row>
    <row r="426" spans="3:14" x14ac:dyDescent="0.2">
      <c r="C426" s="260"/>
      <c r="D426" s="260"/>
      <c r="E426" s="260"/>
      <c r="F426" s="260"/>
      <c r="G426" s="260"/>
      <c r="H426" s="260"/>
      <c r="I426" s="260"/>
      <c r="J426" s="260"/>
      <c r="K426" s="260"/>
      <c r="L426" s="260"/>
      <c r="M426" s="260"/>
      <c r="N426" s="261"/>
    </row>
    <row r="427" spans="3:14" x14ac:dyDescent="0.2">
      <c r="C427" s="260"/>
      <c r="D427" s="260"/>
      <c r="E427" s="260"/>
      <c r="F427" s="260"/>
      <c r="G427" s="260"/>
      <c r="H427" s="260"/>
      <c r="I427" s="260"/>
      <c r="J427" s="260"/>
      <c r="K427" s="260"/>
      <c r="L427" s="260"/>
      <c r="M427" s="260"/>
      <c r="N427" s="261"/>
    </row>
    <row r="428" spans="3:14" x14ac:dyDescent="0.2">
      <c r="C428" s="260"/>
      <c r="D428" s="260"/>
      <c r="E428" s="260"/>
      <c r="F428" s="260"/>
      <c r="G428" s="260"/>
      <c r="H428" s="260"/>
      <c r="I428" s="260"/>
      <c r="J428" s="260"/>
      <c r="K428" s="260"/>
      <c r="L428" s="260"/>
      <c r="M428" s="260"/>
      <c r="N428" s="261"/>
    </row>
    <row r="429" spans="3:14" x14ac:dyDescent="0.2">
      <c r="C429" s="260"/>
      <c r="D429" s="260"/>
      <c r="E429" s="260"/>
      <c r="F429" s="260"/>
      <c r="G429" s="260"/>
      <c r="H429" s="260"/>
      <c r="I429" s="260"/>
      <c r="J429" s="260"/>
      <c r="K429" s="260"/>
      <c r="L429" s="260"/>
      <c r="M429" s="260"/>
      <c r="N429" s="261"/>
    </row>
    <row r="430" spans="3:14" x14ac:dyDescent="0.2">
      <c r="C430" s="260"/>
      <c r="D430" s="260"/>
      <c r="E430" s="260"/>
      <c r="F430" s="260"/>
      <c r="G430" s="260"/>
      <c r="H430" s="260"/>
      <c r="I430" s="260"/>
      <c r="J430" s="260"/>
      <c r="K430" s="260"/>
      <c r="L430" s="260"/>
      <c r="M430" s="260"/>
      <c r="N430" s="261"/>
    </row>
    <row r="431" spans="3:14" x14ac:dyDescent="0.2">
      <c r="C431" s="260"/>
      <c r="D431" s="260"/>
      <c r="E431" s="260"/>
      <c r="F431" s="260"/>
      <c r="G431" s="260"/>
      <c r="H431" s="260"/>
      <c r="I431" s="260"/>
      <c r="J431" s="260"/>
      <c r="K431" s="260"/>
      <c r="L431" s="260"/>
      <c r="M431" s="260"/>
      <c r="N431" s="261"/>
    </row>
    <row r="432" spans="3:14" x14ac:dyDescent="0.2">
      <c r="C432" s="260"/>
      <c r="D432" s="260"/>
      <c r="E432" s="260"/>
      <c r="F432" s="260"/>
      <c r="G432" s="260"/>
      <c r="H432" s="260"/>
      <c r="I432" s="260"/>
      <c r="J432" s="260"/>
      <c r="K432" s="260"/>
      <c r="L432" s="260"/>
      <c r="M432" s="260"/>
      <c r="N432" s="261"/>
    </row>
    <row r="433" spans="3:14" x14ac:dyDescent="0.2">
      <c r="C433" s="261"/>
      <c r="D433" s="261"/>
      <c r="E433" s="261"/>
      <c r="F433" s="261"/>
      <c r="G433" s="261"/>
      <c r="H433" s="261"/>
      <c r="I433" s="261"/>
      <c r="J433" s="261"/>
      <c r="K433" s="261"/>
      <c r="L433" s="261"/>
      <c r="M433" s="261"/>
      <c r="N433" s="261"/>
    </row>
    <row r="434" spans="3:14" x14ac:dyDescent="0.2">
      <c r="C434" s="261"/>
      <c r="D434" s="261"/>
      <c r="E434" s="261"/>
      <c r="F434" s="261"/>
      <c r="G434" s="261"/>
      <c r="H434" s="261"/>
      <c r="I434" s="261"/>
      <c r="J434" s="261"/>
      <c r="K434" s="261"/>
      <c r="L434" s="261"/>
      <c r="M434" s="261"/>
      <c r="N434" s="261"/>
    </row>
    <row r="435" spans="3:14" x14ac:dyDescent="0.2">
      <c r="C435" s="261"/>
      <c r="D435" s="261"/>
      <c r="E435" s="261"/>
      <c r="F435" s="261"/>
      <c r="G435" s="261"/>
      <c r="H435" s="261"/>
      <c r="I435" s="261"/>
      <c r="J435" s="261"/>
      <c r="K435" s="261"/>
      <c r="L435" s="261"/>
      <c r="M435" s="261"/>
      <c r="N435" s="261"/>
    </row>
    <row r="436" spans="3:14" x14ac:dyDescent="0.2">
      <c r="C436" s="261"/>
      <c r="D436" s="261"/>
      <c r="E436" s="261"/>
      <c r="F436" s="261"/>
      <c r="G436" s="261"/>
      <c r="H436" s="261"/>
      <c r="I436" s="261"/>
      <c r="J436" s="261"/>
      <c r="K436" s="261"/>
      <c r="L436" s="261"/>
      <c r="M436" s="261"/>
      <c r="N436" s="261"/>
    </row>
    <row r="437" spans="3:14" x14ac:dyDescent="0.2">
      <c r="C437" s="261"/>
      <c r="D437" s="261"/>
      <c r="E437" s="261"/>
      <c r="F437" s="261"/>
      <c r="G437" s="261"/>
      <c r="H437" s="261"/>
      <c r="I437" s="261"/>
      <c r="J437" s="261"/>
      <c r="K437" s="261"/>
      <c r="L437" s="261"/>
      <c r="M437" s="261"/>
      <c r="N437" s="261"/>
    </row>
    <row r="438" spans="3:14" x14ac:dyDescent="0.2">
      <c r="C438" s="261"/>
      <c r="D438" s="261"/>
      <c r="E438" s="261"/>
      <c r="F438" s="261"/>
      <c r="G438" s="261"/>
      <c r="H438" s="261"/>
      <c r="I438" s="261"/>
      <c r="J438" s="261"/>
      <c r="K438" s="261"/>
      <c r="L438" s="261"/>
      <c r="M438" s="261"/>
      <c r="N438" s="261"/>
    </row>
    <row r="439" spans="3:14" x14ac:dyDescent="0.2">
      <c r="C439" s="261"/>
      <c r="D439" s="261"/>
      <c r="E439" s="261"/>
      <c r="F439" s="261"/>
      <c r="G439" s="261"/>
      <c r="H439" s="261"/>
      <c r="I439" s="261"/>
      <c r="J439" s="261"/>
      <c r="K439" s="261"/>
      <c r="L439" s="261"/>
      <c r="M439" s="261"/>
      <c r="N439" s="261"/>
    </row>
    <row r="440" spans="3:14" x14ac:dyDescent="0.2">
      <c r="C440" s="261"/>
      <c r="D440" s="261"/>
      <c r="E440" s="261"/>
      <c r="F440" s="261"/>
      <c r="G440" s="261"/>
      <c r="H440" s="261"/>
      <c r="I440" s="261"/>
      <c r="J440" s="261"/>
      <c r="K440" s="261"/>
      <c r="L440" s="261"/>
      <c r="M440" s="261"/>
      <c r="N440" s="261"/>
    </row>
    <row r="441" spans="3:14" x14ac:dyDescent="0.2">
      <c r="C441" s="261"/>
      <c r="D441" s="261"/>
      <c r="E441" s="261"/>
      <c r="F441" s="261"/>
      <c r="G441" s="261"/>
      <c r="H441" s="261"/>
      <c r="I441" s="261"/>
      <c r="J441" s="261"/>
      <c r="K441" s="261"/>
      <c r="L441" s="261"/>
      <c r="M441" s="261"/>
      <c r="N441" s="261"/>
    </row>
    <row r="442" spans="3:14" x14ac:dyDescent="0.2">
      <c r="C442" s="261"/>
      <c r="D442" s="261"/>
      <c r="E442" s="261"/>
      <c r="F442" s="261"/>
      <c r="G442" s="261"/>
      <c r="H442" s="261"/>
      <c r="I442" s="261"/>
      <c r="J442" s="261"/>
      <c r="K442" s="261"/>
      <c r="L442" s="261"/>
      <c r="M442" s="261"/>
      <c r="N442" s="261"/>
    </row>
    <row r="443" spans="3:14" x14ac:dyDescent="0.2">
      <c r="C443" s="261"/>
      <c r="D443" s="261"/>
      <c r="E443" s="261"/>
      <c r="F443" s="261"/>
      <c r="G443" s="261"/>
      <c r="H443" s="261"/>
      <c r="I443" s="261"/>
      <c r="J443" s="261"/>
      <c r="K443" s="261"/>
      <c r="L443" s="261"/>
      <c r="M443" s="261"/>
      <c r="N443" s="261"/>
    </row>
    <row r="444" spans="3:14" x14ac:dyDescent="0.2">
      <c r="C444" s="261"/>
      <c r="D444" s="261"/>
      <c r="E444" s="261"/>
      <c r="F444" s="261"/>
      <c r="G444" s="261"/>
      <c r="H444" s="261"/>
      <c r="I444" s="261"/>
      <c r="J444" s="261"/>
      <c r="K444" s="261"/>
      <c r="L444" s="261"/>
      <c r="M444" s="261"/>
      <c r="N444" s="261"/>
    </row>
    <row r="445" spans="3:14" x14ac:dyDescent="0.2">
      <c r="C445" s="261"/>
      <c r="D445" s="261"/>
      <c r="E445" s="261"/>
      <c r="F445" s="261"/>
      <c r="G445" s="261"/>
      <c r="H445" s="261"/>
      <c r="I445" s="261"/>
      <c r="J445" s="261"/>
      <c r="K445" s="261"/>
      <c r="L445" s="261"/>
      <c r="M445" s="261"/>
      <c r="N445" s="261"/>
    </row>
    <row r="446" spans="3:14" x14ac:dyDescent="0.2">
      <c r="C446" s="261"/>
      <c r="D446" s="261"/>
      <c r="E446" s="261"/>
      <c r="F446" s="261"/>
      <c r="G446" s="261"/>
      <c r="H446" s="261"/>
      <c r="I446" s="261"/>
      <c r="J446" s="261"/>
      <c r="K446" s="261"/>
      <c r="L446" s="261"/>
      <c r="M446" s="261"/>
      <c r="N446" s="261"/>
    </row>
    <row r="447" spans="3:14" x14ac:dyDescent="0.2">
      <c r="C447" s="261"/>
      <c r="D447" s="261"/>
      <c r="E447" s="261"/>
      <c r="F447" s="261"/>
      <c r="G447" s="261"/>
      <c r="H447" s="261"/>
      <c r="I447" s="261"/>
      <c r="J447" s="261"/>
      <c r="K447" s="261"/>
      <c r="L447" s="261"/>
      <c r="M447" s="261"/>
      <c r="N447" s="261"/>
    </row>
    <row r="448" spans="3:14" x14ac:dyDescent="0.2">
      <c r="C448" s="261"/>
      <c r="D448" s="261"/>
      <c r="E448" s="261"/>
      <c r="F448" s="261"/>
      <c r="G448" s="261"/>
      <c r="H448" s="261"/>
      <c r="I448" s="261"/>
      <c r="J448" s="261"/>
      <c r="K448" s="261"/>
      <c r="L448" s="261"/>
      <c r="M448" s="261"/>
      <c r="N448" s="261"/>
    </row>
    <row r="449" spans="3:14" x14ac:dyDescent="0.2">
      <c r="C449" s="261"/>
      <c r="D449" s="261"/>
      <c r="E449" s="261"/>
      <c r="F449" s="261"/>
      <c r="G449" s="261"/>
      <c r="H449" s="261"/>
      <c r="I449" s="261"/>
      <c r="J449" s="261"/>
      <c r="K449" s="261"/>
      <c r="L449" s="261"/>
      <c r="M449" s="261"/>
      <c r="N449" s="261"/>
    </row>
    <row r="450" spans="3:14" x14ac:dyDescent="0.2">
      <c r="C450" s="261"/>
      <c r="D450" s="261"/>
      <c r="E450" s="261"/>
      <c r="F450" s="261"/>
      <c r="G450" s="261"/>
      <c r="H450" s="261"/>
      <c r="I450" s="261"/>
      <c r="J450" s="261"/>
      <c r="K450" s="261"/>
      <c r="L450" s="261"/>
      <c r="M450" s="261"/>
      <c r="N450" s="261"/>
    </row>
    <row r="451" spans="3:14" x14ac:dyDescent="0.2">
      <c r="C451" s="261"/>
      <c r="D451" s="261"/>
      <c r="E451" s="261"/>
      <c r="F451" s="261"/>
      <c r="G451" s="261"/>
      <c r="H451" s="261"/>
      <c r="I451" s="261"/>
      <c r="J451" s="261"/>
      <c r="K451" s="261"/>
      <c r="L451" s="261"/>
      <c r="M451" s="261"/>
      <c r="N451" s="261"/>
    </row>
    <row r="452" spans="3:14" x14ac:dyDescent="0.2">
      <c r="C452" s="261"/>
      <c r="D452" s="261"/>
      <c r="E452" s="261"/>
      <c r="F452" s="261"/>
      <c r="G452" s="261"/>
      <c r="H452" s="261"/>
      <c r="I452" s="261"/>
      <c r="J452" s="261"/>
      <c r="K452" s="261"/>
      <c r="L452" s="261"/>
      <c r="M452" s="261"/>
      <c r="N452" s="261"/>
    </row>
    <row r="453" spans="3:14" x14ac:dyDescent="0.2">
      <c r="C453" s="261"/>
      <c r="D453" s="261"/>
      <c r="E453" s="261"/>
      <c r="F453" s="261"/>
      <c r="G453" s="261"/>
      <c r="H453" s="261"/>
      <c r="I453" s="261"/>
      <c r="J453" s="261"/>
      <c r="K453" s="261"/>
      <c r="L453" s="261"/>
      <c r="M453" s="261"/>
      <c r="N453" s="261"/>
    </row>
    <row r="454" spans="3:14" x14ac:dyDescent="0.2">
      <c r="C454" s="261"/>
      <c r="D454" s="261"/>
      <c r="E454" s="261"/>
      <c r="F454" s="261"/>
      <c r="G454" s="261"/>
      <c r="H454" s="261"/>
      <c r="I454" s="261"/>
      <c r="J454" s="261"/>
      <c r="K454" s="261"/>
      <c r="L454" s="261"/>
      <c r="M454" s="261"/>
      <c r="N454" s="261"/>
    </row>
    <row r="455" spans="3:14" x14ac:dyDescent="0.2">
      <c r="C455" s="261"/>
      <c r="D455" s="261"/>
      <c r="E455" s="261"/>
      <c r="F455" s="261"/>
      <c r="G455" s="261"/>
      <c r="H455" s="261"/>
      <c r="I455" s="261"/>
      <c r="J455" s="261"/>
      <c r="K455" s="261"/>
      <c r="L455" s="261"/>
      <c r="M455" s="261"/>
      <c r="N455" s="261"/>
    </row>
    <row r="456" spans="3:14" x14ac:dyDescent="0.2">
      <c r="C456" s="261"/>
      <c r="D456" s="261"/>
      <c r="E456" s="261"/>
      <c r="F456" s="261"/>
      <c r="G456" s="261"/>
      <c r="H456" s="261"/>
      <c r="I456" s="261"/>
      <c r="J456" s="261"/>
      <c r="K456" s="261"/>
      <c r="L456" s="261"/>
      <c r="M456" s="261"/>
      <c r="N456" s="261"/>
    </row>
    <row r="457" spans="3:14" x14ac:dyDescent="0.2">
      <c r="C457" s="261"/>
      <c r="D457" s="261"/>
      <c r="E457" s="261"/>
      <c r="F457" s="261"/>
      <c r="G457" s="261"/>
      <c r="H457" s="261"/>
      <c r="I457" s="261"/>
      <c r="J457" s="261"/>
      <c r="K457" s="261"/>
      <c r="L457" s="261"/>
      <c r="M457" s="261"/>
      <c r="N457" s="261"/>
    </row>
    <row r="458" spans="3:14" x14ac:dyDescent="0.2">
      <c r="C458" s="261"/>
      <c r="D458" s="261"/>
      <c r="E458" s="261"/>
      <c r="F458" s="261"/>
      <c r="G458" s="261"/>
      <c r="H458" s="261"/>
      <c r="I458" s="261"/>
      <c r="J458" s="261"/>
      <c r="K458" s="261"/>
      <c r="L458" s="261"/>
      <c r="M458" s="261"/>
      <c r="N458" s="261"/>
    </row>
    <row r="459" spans="3:14" x14ac:dyDescent="0.2">
      <c r="C459" s="261"/>
      <c r="D459" s="261"/>
      <c r="E459" s="261"/>
      <c r="F459" s="261"/>
      <c r="G459" s="261"/>
      <c r="H459" s="261"/>
      <c r="I459" s="261"/>
      <c r="J459" s="261"/>
      <c r="K459" s="261"/>
      <c r="L459" s="261"/>
      <c r="M459" s="261"/>
      <c r="N459" s="261"/>
    </row>
    <row r="460" spans="3:14" x14ac:dyDescent="0.2">
      <c r="C460" s="261"/>
      <c r="D460" s="261"/>
      <c r="E460" s="261"/>
      <c r="F460" s="261"/>
      <c r="G460" s="261"/>
      <c r="H460" s="261"/>
      <c r="I460" s="261"/>
      <c r="J460" s="261"/>
      <c r="K460" s="261"/>
      <c r="L460" s="261"/>
      <c r="M460" s="261"/>
      <c r="N460" s="261"/>
    </row>
    <row r="461" spans="3:14" x14ac:dyDescent="0.2">
      <c r="C461" s="261"/>
      <c r="D461" s="261"/>
      <c r="E461" s="261"/>
      <c r="F461" s="261"/>
      <c r="G461" s="261"/>
      <c r="H461" s="261"/>
      <c r="I461" s="261"/>
      <c r="J461" s="261"/>
      <c r="K461" s="261"/>
      <c r="L461" s="261"/>
      <c r="M461" s="261"/>
      <c r="N461" s="261"/>
    </row>
    <row r="462" spans="3:14" x14ac:dyDescent="0.2">
      <c r="C462" s="261"/>
      <c r="D462" s="261"/>
      <c r="E462" s="261"/>
      <c r="F462" s="261"/>
      <c r="G462" s="261"/>
      <c r="H462" s="261"/>
      <c r="I462" s="261"/>
      <c r="J462" s="261"/>
      <c r="K462" s="261"/>
      <c r="L462" s="261"/>
      <c r="M462" s="261"/>
      <c r="N462" s="261"/>
    </row>
    <row r="463" spans="3:14" x14ac:dyDescent="0.2">
      <c r="C463" s="261"/>
      <c r="D463" s="261"/>
      <c r="E463" s="261"/>
      <c r="F463" s="261"/>
      <c r="G463" s="261"/>
      <c r="H463" s="261"/>
      <c r="I463" s="261"/>
      <c r="J463" s="261"/>
      <c r="K463" s="261"/>
      <c r="L463" s="261"/>
      <c r="M463" s="261"/>
      <c r="N463" s="261"/>
    </row>
    <row r="464" spans="3:14" x14ac:dyDescent="0.2">
      <c r="C464" s="261"/>
      <c r="D464" s="261"/>
      <c r="E464" s="261"/>
      <c r="F464" s="261"/>
      <c r="G464" s="261"/>
      <c r="H464" s="261"/>
      <c r="I464" s="261"/>
      <c r="J464" s="261"/>
      <c r="K464" s="261"/>
      <c r="L464" s="261"/>
      <c r="M464" s="261"/>
      <c r="N464" s="261"/>
    </row>
    <row r="465" spans="3:14" x14ac:dyDescent="0.2">
      <c r="C465" s="261"/>
      <c r="D465" s="261"/>
      <c r="E465" s="261"/>
      <c r="F465" s="261"/>
      <c r="G465" s="261"/>
      <c r="H465" s="261"/>
      <c r="I465" s="261"/>
      <c r="J465" s="261"/>
      <c r="K465" s="261"/>
      <c r="L465" s="261"/>
      <c r="M465" s="261"/>
      <c r="N465" s="261"/>
    </row>
    <row r="466" spans="3:14" x14ac:dyDescent="0.2">
      <c r="C466" s="261"/>
      <c r="D466" s="261"/>
      <c r="E466" s="261"/>
      <c r="F466" s="261"/>
      <c r="G466" s="261"/>
      <c r="H466" s="261"/>
      <c r="I466" s="261"/>
      <c r="J466" s="261"/>
      <c r="K466" s="261"/>
      <c r="L466" s="261"/>
      <c r="M466" s="261"/>
      <c r="N466" s="261"/>
    </row>
    <row r="467" spans="3:14" x14ac:dyDescent="0.2">
      <c r="C467" s="261"/>
      <c r="D467" s="261"/>
      <c r="E467" s="261"/>
      <c r="F467" s="261"/>
      <c r="G467" s="261"/>
      <c r="H467" s="261"/>
      <c r="I467" s="261"/>
      <c r="J467" s="261"/>
      <c r="K467" s="261"/>
      <c r="L467" s="261"/>
      <c r="M467" s="261"/>
      <c r="N467" s="261"/>
    </row>
    <row r="468" spans="3:14" x14ac:dyDescent="0.2">
      <c r="C468" s="261"/>
      <c r="D468" s="261"/>
      <c r="E468" s="261"/>
      <c r="F468" s="261"/>
      <c r="G468" s="261"/>
      <c r="H468" s="261"/>
      <c r="I468" s="261"/>
      <c r="J468" s="261"/>
      <c r="K468" s="261"/>
      <c r="L468" s="261"/>
      <c r="M468" s="261"/>
      <c r="N468" s="261"/>
    </row>
    <row r="469" spans="3:14" x14ac:dyDescent="0.2">
      <c r="C469" s="261"/>
      <c r="D469" s="261"/>
      <c r="E469" s="261"/>
      <c r="F469" s="261"/>
      <c r="G469" s="261"/>
      <c r="H469" s="261"/>
      <c r="I469" s="261"/>
      <c r="J469" s="261"/>
      <c r="K469" s="261"/>
      <c r="L469" s="261"/>
      <c r="M469" s="261"/>
      <c r="N469" s="261"/>
    </row>
    <row r="470" spans="3:14" x14ac:dyDescent="0.2">
      <c r="C470" s="261"/>
      <c r="D470" s="261"/>
      <c r="E470" s="261"/>
      <c r="F470" s="261"/>
      <c r="G470" s="261"/>
      <c r="H470" s="261"/>
      <c r="I470" s="261"/>
      <c r="J470" s="261"/>
      <c r="K470" s="261"/>
      <c r="L470" s="261"/>
      <c r="M470" s="261"/>
      <c r="N470" s="261"/>
    </row>
    <row r="471" spans="3:14" x14ac:dyDescent="0.2">
      <c r="C471" s="261"/>
      <c r="D471" s="261"/>
      <c r="E471" s="261"/>
      <c r="F471" s="261"/>
      <c r="G471" s="261"/>
      <c r="H471" s="261"/>
      <c r="I471" s="261"/>
      <c r="J471" s="261"/>
      <c r="K471" s="261"/>
      <c r="L471" s="261"/>
      <c r="M471" s="261"/>
      <c r="N471" s="261"/>
    </row>
    <row r="472" spans="3:14" x14ac:dyDescent="0.2">
      <c r="C472" s="261"/>
      <c r="D472" s="261"/>
      <c r="E472" s="261"/>
      <c r="F472" s="261"/>
      <c r="G472" s="261"/>
      <c r="H472" s="261"/>
      <c r="I472" s="261"/>
      <c r="J472" s="261"/>
      <c r="K472" s="261"/>
      <c r="L472" s="261"/>
      <c r="M472" s="261"/>
      <c r="N472" s="261"/>
    </row>
    <row r="473" spans="3:14" x14ac:dyDescent="0.2">
      <c r="C473" s="261"/>
      <c r="D473" s="261"/>
      <c r="E473" s="261"/>
      <c r="F473" s="261"/>
      <c r="G473" s="261"/>
      <c r="H473" s="261"/>
      <c r="I473" s="261"/>
      <c r="J473" s="261"/>
      <c r="K473" s="261"/>
      <c r="L473" s="261"/>
      <c r="M473" s="261"/>
      <c r="N473" s="261"/>
    </row>
    <row r="474" spans="3:14" x14ac:dyDescent="0.2">
      <c r="C474" s="261"/>
      <c r="D474" s="261"/>
      <c r="E474" s="261"/>
      <c r="F474" s="261"/>
      <c r="G474" s="261"/>
      <c r="H474" s="261"/>
      <c r="I474" s="261"/>
      <c r="J474" s="261"/>
      <c r="K474" s="261"/>
      <c r="L474" s="261"/>
      <c r="M474" s="261"/>
      <c r="N474" s="261"/>
    </row>
    <row r="475" spans="3:14" x14ac:dyDescent="0.2">
      <c r="C475" s="261"/>
      <c r="D475" s="261"/>
      <c r="E475" s="261"/>
      <c r="F475" s="261"/>
      <c r="G475" s="261"/>
      <c r="H475" s="261"/>
      <c r="I475" s="261"/>
      <c r="J475" s="261"/>
      <c r="K475" s="261"/>
      <c r="L475" s="261"/>
      <c r="M475" s="261"/>
      <c r="N475" s="261"/>
    </row>
    <row r="476" spans="3:14" x14ac:dyDescent="0.2">
      <c r="C476" s="261"/>
      <c r="D476" s="261"/>
      <c r="E476" s="261"/>
      <c r="F476" s="261"/>
      <c r="G476" s="261"/>
      <c r="H476" s="261"/>
      <c r="I476" s="261"/>
      <c r="J476" s="261"/>
      <c r="K476" s="261"/>
      <c r="L476" s="261"/>
      <c r="M476" s="261"/>
      <c r="N476" s="261"/>
    </row>
    <row r="477" spans="3:14" x14ac:dyDescent="0.2">
      <c r="C477" s="261"/>
      <c r="D477" s="261"/>
      <c r="E477" s="261"/>
      <c r="F477" s="261"/>
      <c r="G477" s="261"/>
      <c r="H477" s="261"/>
      <c r="I477" s="261"/>
      <c r="J477" s="261"/>
      <c r="K477" s="261"/>
      <c r="L477" s="261"/>
      <c r="M477" s="261"/>
      <c r="N477" s="261"/>
    </row>
    <row r="478" spans="3:14" x14ac:dyDescent="0.2">
      <c r="C478" s="261"/>
      <c r="D478" s="261"/>
      <c r="E478" s="261"/>
      <c r="F478" s="261"/>
      <c r="G478" s="261"/>
      <c r="H478" s="261"/>
      <c r="I478" s="261"/>
      <c r="J478" s="261"/>
      <c r="K478" s="261"/>
      <c r="L478" s="261"/>
      <c r="M478" s="261"/>
      <c r="N478" s="261"/>
    </row>
    <row r="479" spans="3:14" x14ac:dyDescent="0.2">
      <c r="C479" s="261"/>
      <c r="D479" s="261"/>
      <c r="E479" s="261"/>
      <c r="F479" s="261"/>
      <c r="G479" s="261"/>
      <c r="H479" s="261"/>
      <c r="I479" s="261"/>
      <c r="J479" s="261"/>
      <c r="K479" s="261"/>
      <c r="L479" s="261"/>
      <c r="M479" s="261"/>
      <c r="N479" s="261"/>
    </row>
    <row r="480" spans="3:14" x14ac:dyDescent="0.2">
      <c r="C480" s="261"/>
      <c r="D480" s="261"/>
      <c r="E480" s="261"/>
      <c r="F480" s="261"/>
      <c r="G480" s="261"/>
      <c r="H480" s="261"/>
      <c r="I480" s="261"/>
      <c r="J480" s="261"/>
      <c r="K480" s="261"/>
      <c r="L480" s="261"/>
      <c r="M480" s="261"/>
      <c r="N480" s="261"/>
    </row>
    <row r="481" spans="3:14" x14ac:dyDescent="0.2">
      <c r="C481" s="261"/>
      <c r="D481" s="261"/>
      <c r="E481" s="261"/>
      <c r="F481" s="261"/>
      <c r="G481" s="261"/>
      <c r="H481" s="261"/>
      <c r="I481" s="261"/>
      <c r="J481" s="261"/>
      <c r="K481" s="261"/>
      <c r="L481" s="261"/>
      <c r="M481" s="261"/>
      <c r="N481" s="261"/>
    </row>
    <row r="482" spans="3:14" x14ac:dyDescent="0.2">
      <c r="C482" s="261"/>
      <c r="D482" s="261"/>
      <c r="E482" s="261"/>
      <c r="F482" s="261"/>
      <c r="G482" s="261"/>
      <c r="H482" s="261"/>
      <c r="I482" s="261"/>
      <c r="J482" s="261"/>
      <c r="K482" s="261"/>
      <c r="L482" s="261"/>
      <c r="M482" s="261"/>
      <c r="N482" s="261"/>
    </row>
    <row r="483" spans="3:14" x14ac:dyDescent="0.2">
      <c r="C483" s="261"/>
      <c r="D483" s="261"/>
      <c r="E483" s="261"/>
      <c r="F483" s="261"/>
      <c r="G483" s="261"/>
      <c r="H483" s="261"/>
      <c r="I483" s="261"/>
      <c r="J483" s="261"/>
      <c r="K483" s="261"/>
      <c r="L483" s="261"/>
      <c r="M483" s="261"/>
      <c r="N483" s="261"/>
    </row>
    <row r="484" spans="3:14" x14ac:dyDescent="0.2">
      <c r="C484" s="261"/>
      <c r="D484" s="261"/>
      <c r="E484" s="261"/>
      <c r="F484" s="261"/>
      <c r="G484" s="261"/>
      <c r="H484" s="261"/>
      <c r="I484" s="261"/>
      <c r="J484" s="261"/>
      <c r="K484" s="261"/>
      <c r="L484" s="261"/>
      <c r="M484" s="261"/>
      <c r="N484" s="261"/>
    </row>
    <row r="485" spans="3:14" x14ac:dyDescent="0.2">
      <c r="C485" s="261"/>
      <c r="D485" s="261"/>
      <c r="E485" s="261"/>
      <c r="F485" s="261"/>
      <c r="G485" s="261"/>
      <c r="H485" s="261"/>
      <c r="I485" s="261"/>
      <c r="J485" s="261"/>
      <c r="K485" s="261"/>
      <c r="L485" s="261"/>
      <c r="M485" s="261"/>
      <c r="N485" s="261"/>
    </row>
    <row r="486" spans="3:14" x14ac:dyDescent="0.2">
      <c r="C486" s="261"/>
      <c r="D486" s="261"/>
      <c r="E486" s="261"/>
      <c r="F486" s="261"/>
      <c r="G486" s="261"/>
      <c r="H486" s="261"/>
      <c r="I486" s="261"/>
      <c r="J486" s="261"/>
      <c r="K486" s="261"/>
      <c r="L486" s="261"/>
      <c r="M486" s="261"/>
      <c r="N486" s="261"/>
    </row>
    <row r="487" spans="3:14" x14ac:dyDescent="0.2">
      <c r="C487" s="261"/>
      <c r="D487" s="261"/>
      <c r="E487" s="261"/>
      <c r="F487" s="261"/>
      <c r="G487" s="261"/>
      <c r="H487" s="261"/>
      <c r="I487" s="261"/>
      <c r="J487" s="261"/>
      <c r="K487" s="261"/>
      <c r="L487" s="261"/>
      <c r="M487" s="261"/>
      <c r="N487" s="261"/>
    </row>
    <row r="488" spans="3:14" x14ac:dyDescent="0.2">
      <c r="C488" s="261"/>
      <c r="D488" s="261"/>
      <c r="E488" s="261"/>
      <c r="F488" s="261"/>
      <c r="G488" s="261"/>
      <c r="H488" s="261"/>
      <c r="I488" s="261"/>
      <c r="J488" s="261"/>
      <c r="K488" s="261"/>
      <c r="L488" s="261"/>
      <c r="M488" s="261"/>
      <c r="N488" s="261"/>
    </row>
    <row r="489" spans="3:14" x14ac:dyDescent="0.2">
      <c r="C489" s="261"/>
      <c r="D489" s="261"/>
      <c r="E489" s="261"/>
      <c r="F489" s="261"/>
      <c r="G489" s="261"/>
      <c r="H489" s="261"/>
      <c r="I489" s="261"/>
      <c r="J489" s="261"/>
      <c r="K489" s="261"/>
      <c r="L489" s="261"/>
      <c r="M489" s="261"/>
      <c r="N489" s="261"/>
    </row>
    <row r="490" spans="3:14" x14ac:dyDescent="0.2">
      <c r="C490" s="261"/>
      <c r="D490" s="261"/>
      <c r="E490" s="261"/>
      <c r="F490" s="261"/>
      <c r="G490" s="261"/>
      <c r="H490" s="261"/>
      <c r="I490" s="261"/>
      <c r="J490" s="261"/>
      <c r="K490" s="261"/>
      <c r="L490" s="261"/>
      <c r="M490" s="261"/>
      <c r="N490" s="261"/>
    </row>
    <row r="491" spans="3:14" x14ac:dyDescent="0.2">
      <c r="C491" s="261"/>
      <c r="D491" s="261"/>
      <c r="E491" s="261"/>
      <c r="F491" s="261"/>
      <c r="G491" s="261"/>
      <c r="H491" s="261"/>
      <c r="I491" s="261"/>
      <c r="J491" s="261"/>
      <c r="K491" s="261"/>
      <c r="L491" s="261"/>
      <c r="M491" s="261"/>
      <c r="N491" s="261"/>
    </row>
    <row r="492" spans="3:14" x14ac:dyDescent="0.2">
      <c r="C492" s="261"/>
      <c r="D492" s="261"/>
      <c r="E492" s="261"/>
      <c r="F492" s="261"/>
      <c r="G492" s="261"/>
      <c r="H492" s="261"/>
      <c r="I492" s="261"/>
      <c r="J492" s="261"/>
      <c r="K492" s="261"/>
      <c r="L492" s="261"/>
      <c r="M492" s="261"/>
      <c r="N492" s="261"/>
    </row>
    <row r="493" spans="3:14" x14ac:dyDescent="0.2">
      <c r="C493" s="261"/>
      <c r="D493" s="261"/>
      <c r="E493" s="261"/>
      <c r="F493" s="261"/>
      <c r="G493" s="261"/>
      <c r="H493" s="261"/>
      <c r="I493" s="261"/>
      <c r="J493" s="261"/>
      <c r="K493" s="261"/>
      <c r="L493" s="261"/>
      <c r="M493" s="261"/>
      <c r="N493" s="261"/>
    </row>
    <row r="494" spans="3:14" x14ac:dyDescent="0.2">
      <c r="C494" s="261"/>
      <c r="D494" s="261"/>
      <c r="E494" s="261"/>
      <c r="F494" s="261"/>
      <c r="G494" s="261"/>
      <c r="H494" s="261"/>
      <c r="I494" s="261"/>
      <c r="J494" s="261"/>
      <c r="K494" s="261"/>
      <c r="L494" s="261"/>
      <c r="M494" s="261"/>
      <c r="N494" s="261"/>
    </row>
    <row r="495" spans="3:14" x14ac:dyDescent="0.2">
      <c r="C495" s="261"/>
      <c r="D495" s="261"/>
      <c r="E495" s="261"/>
      <c r="F495" s="261"/>
      <c r="G495" s="261"/>
      <c r="H495" s="261"/>
      <c r="I495" s="261"/>
      <c r="J495" s="261"/>
      <c r="K495" s="261"/>
      <c r="L495" s="261"/>
      <c r="M495" s="261"/>
      <c r="N495" s="261"/>
    </row>
    <row r="496" spans="3:14" x14ac:dyDescent="0.2">
      <c r="C496" s="261"/>
      <c r="D496" s="261"/>
      <c r="E496" s="261"/>
      <c r="F496" s="261"/>
      <c r="G496" s="261"/>
      <c r="H496" s="261"/>
      <c r="I496" s="261"/>
      <c r="J496" s="261"/>
      <c r="K496" s="261"/>
      <c r="L496" s="261"/>
      <c r="M496" s="261"/>
      <c r="N496" s="261"/>
    </row>
    <row r="497" spans="3:14" x14ac:dyDescent="0.2">
      <c r="C497" s="261"/>
      <c r="D497" s="261"/>
      <c r="E497" s="261"/>
      <c r="F497" s="261"/>
      <c r="G497" s="261"/>
      <c r="H497" s="261"/>
      <c r="I497" s="261"/>
      <c r="J497" s="261"/>
      <c r="K497" s="261"/>
      <c r="L497" s="261"/>
      <c r="M497" s="261"/>
      <c r="N497" s="261"/>
    </row>
    <row r="498" spans="3:14" x14ac:dyDescent="0.2">
      <c r="C498" s="261"/>
      <c r="D498" s="261"/>
      <c r="E498" s="261"/>
      <c r="F498" s="261"/>
      <c r="G498" s="261"/>
      <c r="H498" s="261"/>
      <c r="I498" s="261"/>
      <c r="J498" s="261"/>
      <c r="K498" s="261"/>
      <c r="L498" s="261"/>
      <c r="M498" s="261"/>
      <c r="N498" s="261"/>
    </row>
    <row r="499" spans="3:14" x14ac:dyDescent="0.2">
      <c r="C499" s="261"/>
      <c r="D499" s="261"/>
      <c r="E499" s="261"/>
      <c r="F499" s="261"/>
      <c r="G499" s="261"/>
      <c r="H499" s="261"/>
      <c r="I499" s="261"/>
      <c r="J499" s="261"/>
      <c r="K499" s="261"/>
      <c r="L499" s="261"/>
      <c r="M499" s="261"/>
      <c r="N499" s="261"/>
    </row>
    <row r="500" spans="3:14" x14ac:dyDescent="0.2">
      <c r="C500" s="261"/>
      <c r="D500" s="261"/>
      <c r="E500" s="261"/>
      <c r="F500" s="261"/>
      <c r="G500" s="261"/>
      <c r="H500" s="261"/>
      <c r="I500" s="261"/>
      <c r="J500" s="261"/>
      <c r="K500" s="261"/>
      <c r="L500" s="261"/>
      <c r="M500" s="261"/>
      <c r="N500" s="261"/>
    </row>
    <row r="501" spans="3:14" x14ac:dyDescent="0.2">
      <c r="C501" s="261"/>
      <c r="D501" s="261"/>
      <c r="E501" s="261"/>
      <c r="F501" s="261"/>
      <c r="G501" s="261"/>
      <c r="H501" s="261"/>
      <c r="I501" s="261"/>
      <c r="J501" s="261"/>
      <c r="K501" s="261"/>
      <c r="L501" s="261"/>
      <c r="M501" s="261"/>
      <c r="N501" s="261"/>
    </row>
    <row r="502" spans="3:14" x14ac:dyDescent="0.2">
      <c r="C502" s="261"/>
      <c r="D502" s="261"/>
      <c r="E502" s="261"/>
      <c r="F502" s="261"/>
      <c r="G502" s="261"/>
      <c r="H502" s="261"/>
      <c r="I502" s="261"/>
      <c r="J502" s="261"/>
      <c r="K502" s="261"/>
      <c r="L502" s="261"/>
      <c r="M502" s="261"/>
      <c r="N502" s="261"/>
    </row>
    <row r="503" spans="3:14" x14ac:dyDescent="0.2">
      <c r="C503" s="261"/>
      <c r="D503" s="261"/>
      <c r="E503" s="261"/>
      <c r="F503" s="261"/>
      <c r="G503" s="261"/>
      <c r="H503" s="261"/>
      <c r="I503" s="261"/>
      <c r="J503" s="261"/>
      <c r="K503" s="261"/>
      <c r="L503" s="261"/>
      <c r="M503" s="261"/>
      <c r="N503" s="261"/>
    </row>
    <row r="504" spans="3:14" x14ac:dyDescent="0.2">
      <c r="C504" s="261"/>
      <c r="D504" s="261"/>
      <c r="E504" s="261"/>
      <c r="F504" s="261"/>
      <c r="G504" s="261"/>
      <c r="H504" s="261"/>
      <c r="I504" s="261"/>
      <c r="J504" s="261"/>
      <c r="K504" s="261"/>
      <c r="L504" s="261"/>
      <c r="M504" s="261"/>
      <c r="N504" s="261"/>
    </row>
    <row r="505" spans="3:14" x14ac:dyDescent="0.2">
      <c r="C505" s="261"/>
      <c r="D505" s="261"/>
      <c r="E505" s="261"/>
      <c r="F505" s="261"/>
      <c r="G505" s="261"/>
      <c r="H505" s="261"/>
      <c r="I505" s="261"/>
      <c r="J505" s="261"/>
      <c r="K505" s="261"/>
      <c r="L505" s="261"/>
      <c r="M505" s="261"/>
      <c r="N505" s="261"/>
    </row>
    <row r="506" spans="3:14" x14ac:dyDescent="0.2">
      <c r="C506" s="261"/>
      <c r="D506" s="261"/>
      <c r="E506" s="261"/>
      <c r="F506" s="261"/>
      <c r="G506" s="261"/>
      <c r="H506" s="261"/>
      <c r="I506" s="261"/>
      <c r="J506" s="261"/>
      <c r="K506" s="261"/>
      <c r="L506" s="261"/>
      <c r="M506" s="261"/>
      <c r="N506" s="261"/>
    </row>
    <row r="507" spans="3:14" x14ac:dyDescent="0.2">
      <c r="C507" s="261"/>
      <c r="D507" s="261"/>
      <c r="E507" s="261"/>
      <c r="F507" s="261"/>
      <c r="G507" s="261"/>
      <c r="H507" s="261"/>
      <c r="I507" s="261"/>
      <c r="J507" s="261"/>
      <c r="K507" s="261"/>
      <c r="L507" s="261"/>
      <c r="M507" s="261"/>
      <c r="N507" s="261"/>
    </row>
    <row r="508" spans="3:14" x14ac:dyDescent="0.2">
      <c r="C508" s="261"/>
      <c r="D508" s="261"/>
      <c r="E508" s="261"/>
      <c r="F508" s="261"/>
      <c r="G508" s="261"/>
      <c r="H508" s="261"/>
      <c r="I508" s="261"/>
      <c r="J508" s="261"/>
      <c r="K508" s="261"/>
      <c r="L508" s="261"/>
      <c r="M508" s="261"/>
      <c r="N508" s="261"/>
    </row>
    <row r="509" spans="3:14" x14ac:dyDescent="0.2">
      <c r="C509" s="261"/>
      <c r="D509" s="261"/>
      <c r="E509" s="261"/>
      <c r="F509" s="261"/>
      <c r="G509" s="261"/>
      <c r="H509" s="261"/>
      <c r="I509" s="261"/>
      <c r="J509" s="261"/>
      <c r="K509" s="261"/>
      <c r="L509" s="261"/>
      <c r="M509" s="261"/>
      <c r="N509" s="261"/>
    </row>
    <row r="510" spans="3:14" x14ac:dyDescent="0.2">
      <c r="C510" s="261"/>
      <c r="D510" s="261"/>
      <c r="E510" s="261"/>
      <c r="F510" s="261"/>
      <c r="G510" s="261"/>
      <c r="H510" s="261"/>
      <c r="I510" s="261"/>
      <c r="J510" s="261"/>
      <c r="K510" s="261"/>
      <c r="L510" s="261"/>
      <c r="M510" s="261"/>
      <c r="N510" s="261"/>
    </row>
    <row r="511" spans="3:14" x14ac:dyDescent="0.2">
      <c r="C511" s="261"/>
      <c r="D511" s="261"/>
      <c r="E511" s="261"/>
      <c r="F511" s="261"/>
      <c r="G511" s="261"/>
      <c r="H511" s="261"/>
      <c r="I511" s="261"/>
      <c r="J511" s="261"/>
      <c r="K511" s="261"/>
      <c r="L511" s="261"/>
      <c r="M511" s="261"/>
      <c r="N511" s="261"/>
    </row>
    <row r="512" spans="3:14" x14ac:dyDescent="0.2">
      <c r="C512" s="261"/>
      <c r="D512" s="261"/>
      <c r="E512" s="261"/>
      <c r="F512" s="261"/>
      <c r="G512" s="261"/>
      <c r="H512" s="261"/>
      <c r="I512" s="261"/>
      <c r="J512" s="261"/>
      <c r="K512" s="261"/>
      <c r="L512" s="261"/>
      <c r="M512" s="261"/>
      <c r="N512" s="261"/>
    </row>
    <row r="513" spans="3:14" x14ac:dyDescent="0.2">
      <c r="C513" s="261"/>
      <c r="D513" s="261"/>
      <c r="E513" s="261"/>
      <c r="F513" s="261"/>
      <c r="G513" s="261"/>
      <c r="H513" s="261"/>
      <c r="I513" s="261"/>
      <c r="J513" s="261"/>
      <c r="K513" s="261"/>
      <c r="L513" s="261"/>
      <c r="M513" s="261"/>
      <c r="N513" s="261"/>
    </row>
    <row r="514" spans="3:14" x14ac:dyDescent="0.2">
      <c r="C514" s="261"/>
      <c r="D514" s="261"/>
      <c r="E514" s="261"/>
      <c r="F514" s="261"/>
      <c r="G514" s="261"/>
      <c r="H514" s="261"/>
      <c r="I514" s="261"/>
      <c r="J514" s="261"/>
      <c r="K514" s="261"/>
      <c r="L514" s="261"/>
      <c r="M514" s="261"/>
      <c r="N514" s="261"/>
    </row>
    <row r="515" spans="3:14" x14ac:dyDescent="0.2">
      <c r="C515" s="261"/>
      <c r="D515" s="261"/>
      <c r="E515" s="261"/>
      <c r="F515" s="261"/>
      <c r="G515" s="261"/>
      <c r="H515" s="261"/>
      <c r="I515" s="261"/>
      <c r="J515" s="261"/>
      <c r="K515" s="261"/>
      <c r="L515" s="261"/>
      <c r="M515" s="261"/>
      <c r="N515" s="261"/>
    </row>
    <row r="516" spans="3:14" x14ac:dyDescent="0.2">
      <c r="C516" s="261"/>
      <c r="D516" s="261"/>
      <c r="E516" s="261"/>
      <c r="F516" s="261"/>
      <c r="G516" s="261"/>
      <c r="H516" s="261"/>
      <c r="I516" s="261"/>
      <c r="J516" s="261"/>
      <c r="K516" s="261"/>
      <c r="L516" s="261"/>
      <c r="M516" s="261"/>
      <c r="N516" s="261"/>
    </row>
    <row r="517" spans="3:14" x14ac:dyDescent="0.2">
      <c r="C517" s="261"/>
      <c r="D517" s="261"/>
      <c r="E517" s="261"/>
      <c r="F517" s="261"/>
      <c r="G517" s="261"/>
      <c r="H517" s="261"/>
      <c r="I517" s="261"/>
      <c r="J517" s="261"/>
      <c r="K517" s="261"/>
      <c r="L517" s="261"/>
      <c r="M517" s="261"/>
      <c r="N517" s="261"/>
    </row>
    <row r="518" spans="3:14" x14ac:dyDescent="0.2">
      <c r="C518" s="261"/>
      <c r="D518" s="261"/>
      <c r="E518" s="261"/>
      <c r="F518" s="261"/>
      <c r="G518" s="261"/>
      <c r="H518" s="261"/>
      <c r="I518" s="261"/>
      <c r="J518" s="261"/>
      <c r="K518" s="261"/>
      <c r="L518" s="261"/>
      <c r="M518" s="261"/>
      <c r="N518" s="261"/>
    </row>
    <row r="519" spans="3:14" x14ac:dyDescent="0.2">
      <c r="C519" s="261"/>
      <c r="D519" s="261"/>
      <c r="E519" s="261"/>
      <c r="F519" s="261"/>
      <c r="G519" s="261"/>
      <c r="H519" s="261"/>
      <c r="I519" s="261"/>
      <c r="J519" s="261"/>
      <c r="K519" s="261"/>
      <c r="L519" s="261"/>
      <c r="M519" s="261"/>
      <c r="N519" s="261"/>
    </row>
    <row r="520" spans="3:14" x14ac:dyDescent="0.2">
      <c r="C520" s="261"/>
      <c r="D520" s="261"/>
      <c r="E520" s="261"/>
      <c r="F520" s="261"/>
      <c r="G520" s="261"/>
      <c r="H520" s="261"/>
      <c r="I520" s="261"/>
      <c r="J520" s="261"/>
      <c r="K520" s="261"/>
      <c r="L520" s="261"/>
      <c r="M520" s="261"/>
      <c r="N520" s="261"/>
    </row>
    <row r="521" spans="3:14" x14ac:dyDescent="0.2">
      <c r="C521" s="261"/>
      <c r="D521" s="261"/>
      <c r="E521" s="261"/>
      <c r="F521" s="261"/>
      <c r="G521" s="261"/>
      <c r="H521" s="261"/>
      <c r="I521" s="261"/>
      <c r="J521" s="261"/>
      <c r="K521" s="261"/>
      <c r="L521" s="261"/>
      <c r="M521" s="261"/>
      <c r="N521" s="261"/>
    </row>
    <row r="522" spans="3:14" x14ac:dyDescent="0.2">
      <c r="C522" s="261"/>
      <c r="D522" s="261"/>
      <c r="E522" s="261"/>
      <c r="F522" s="261"/>
      <c r="G522" s="261"/>
      <c r="H522" s="261"/>
      <c r="I522" s="261"/>
      <c r="J522" s="261"/>
      <c r="K522" s="261"/>
      <c r="L522" s="261"/>
      <c r="M522" s="261"/>
      <c r="N522" s="261"/>
    </row>
    <row r="523" spans="3:14" x14ac:dyDescent="0.2">
      <c r="C523" s="261"/>
      <c r="D523" s="261"/>
      <c r="E523" s="261"/>
      <c r="F523" s="261"/>
      <c r="G523" s="261"/>
      <c r="H523" s="261"/>
      <c r="I523" s="261"/>
      <c r="J523" s="261"/>
      <c r="K523" s="261"/>
      <c r="L523" s="261"/>
      <c r="M523" s="261"/>
      <c r="N523" s="261"/>
    </row>
    <row r="524" spans="3:14" x14ac:dyDescent="0.2">
      <c r="C524" s="261"/>
      <c r="D524" s="261"/>
      <c r="E524" s="261"/>
      <c r="F524" s="261"/>
      <c r="G524" s="261"/>
      <c r="H524" s="261"/>
      <c r="I524" s="261"/>
      <c r="J524" s="261"/>
      <c r="K524" s="261"/>
      <c r="L524" s="261"/>
      <c r="M524" s="261"/>
      <c r="N524" s="261"/>
    </row>
    <row r="525" spans="3:14" x14ac:dyDescent="0.2">
      <c r="C525" s="261"/>
      <c r="D525" s="261"/>
      <c r="E525" s="261"/>
      <c r="F525" s="261"/>
      <c r="G525" s="261"/>
      <c r="H525" s="261"/>
      <c r="I525" s="261"/>
      <c r="J525" s="261"/>
      <c r="K525" s="261"/>
      <c r="L525" s="261"/>
      <c r="M525" s="261"/>
      <c r="N525" s="261"/>
    </row>
    <row r="526" spans="3:14" x14ac:dyDescent="0.2">
      <c r="C526" s="261"/>
      <c r="D526" s="261"/>
      <c r="E526" s="261"/>
      <c r="F526" s="261"/>
      <c r="G526" s="261"/>
      <c r="H526" s="261"/>
      <c r="I526" s="261"/>
      <c r="J526" s="261"/>
      <c r="K526" s="261"/>
      <c r="L526" s="261"/>
      <c r="M526" s="261"/>
      <c r="N526" s="261"/>
    </row>
    <row r="527" spans="3:14" x14ac:dyDescent="0.2">
      <c r="C527" s="261"/>
      <c r="D527" s="261"/>
      <c r="E527" s="261"/>
      <c r="F527" s="261"/>
      <c r="G527" s="261"/>
      <c r="H527" s="261"/>
      <c r="I527" s="261"/>
      <c r="J527" s="261"/>
      <c r="K527" s="261"/>
      <c r="L527" s="261"/>
      <c r="M527" s="261"/>
      <c r="N527" s="261"/>
    </row>
    <row r="528" spans="3:14" x14ac:dyDescent="0.2">
      <c r="C528" s="261"/>
      <c r="D528" s="261"/>
      <c r="E528" s="261"/>
      <c r="F528" s="261"/>
      <c r="G528" s="261"/>
      <c r="H528" s="261"/>
      <c r="I528" s="261"/>
      <c r="J528" s="261"/>
      <c r="K528" s="261"/>
      <c r="L528" s="261"/>
      <c r="M528" s="261"/>
      <c r="N528" s="261"/>
    </row>
    <row r="529" spans="3:14" x14ac:dyDescent="0.2">
      <c r="C529" s="261"/>
      <c r="D529" s="261"/>
      <c r="E529" s="261"/>
      <c r="F529" s="261"/>
      <c r="G529" s="261"/>
      <c r="H529" s="261"/>
      <c r="I529" s="261"/>
      <c r="J529" s="261"/>
      <c r="K529" s="261"/>
      <c r="L529" s="261"/>
      <c r="M529" s="261"/>
      <c r="N529" s="261"/>
    </row>
    <row r="530" spans="3:14" x14ac:dyDescent="0.2">
      <c r="C530" s="261"/>
      <c r="D530" s="261"/>
      <c r="E530" s="261"/>
      <c r="F530" s="261"/>
      <c r="G530" s="261"/>
      <c r="H530" s="261"/>
      <c r="I530" s="261"/>
      <c r="J530" s="261"/>
      <c r="K530" s="261"/>
      <c r="L530" s="261"/>
      <c r="M530" s="261"/>
      <c r="N530" s="261"/>
    </row>
    <row r="531" spans="3:14" x14ac:dyDescent="0.2">
      <c r="C531" s="261"/>
      <c r="D531" s="261"/>
      <c r="E531" s="261"/>
      <c r="F531" s="261"/>
      <c r="G531" s="261"/>
      <c r="H531" s="261"/>
      <c r="I531" s="261"/>
      <c r="J531" s="261"/>
      <c r="K531" s="261"/>
      <c r="L531" s="261"/>
      <c r="M531" s="261"/>
      <c r="N531" s="261"/>
    </row>
    <row r="532" spans="3:14" x14ac:dyDescent="0.2">
      <c r="C532" s="261"/>
      <c r="D532" s="261"/>
      <c r="E532" s="261"/>
      <c r="F532" s="261"/>
      <c r="G532" s="261"/>
      <c r="H532" s="261"/>
      <c r="I532" s="261"/>
      <c r="J532" s="261"/>
      <c r="K532" s="261"/>
      <c r="L532" s="261"/>
      <c r="M532" s="261"/>
      <c r="N532" s="261"/>
    </row>
    <row r="533" spans="3:14" x14ac:dyDescent="0.2">
      <c r="C533" s="261"/>
      <c r="D533" s="261"/>
      <c r="E533" s="261"/>
      <c r="F533" s="261"/>
      <c r="G533" s="261"/>
      <c r="H533" s="261"/>
      <c r="I533" s="261"/>
      <c r="J533" s="261"/>
      <c r="K533" s="261"/>
      <c r="L533" s="261"/>
      <c r="M533" s="261"/>
      <c r="N533" s="261"/>
    </row>
    <row r="534" spans="3:14" x14ac:dyDescent="0.2">
      <c r="C534" s="261"/>
      <c r="D534" s="261"/>
      <c r="E534" s="261"/>
      <c r="F534" s="261"/>
      <c r="G534" s="261"/>
      <c r="H534" s="261"/>
      <c r="I534" s="261"/>
      <c r="J534" s="261"/>
      <c r="K534" s="261"/>
      <c r="L534" s="261"/>
      <c r="M534" s="261"/>
      <c r="N534" s="261"/>
    </row>
    <row r="535" spans="3:14" x14ac:dyDescent="0.2">
      <c r="C535" s="261"/>
      <c r="D535" s="261"/>
      <c r="E535" s="261"/>
      <c r="F535" s="261"/>
      <c r="G535" s="261"/>
      <c r="H535" s="261"/>
      <c r="I535" s="261"/>
      <c r="J535" s="261"/>
      <c r="K535" s="261"/>
      <c r="L535" s="261"/>
      <c r="M535" s="261"/>
      <c r="N535" s="261"/>
    </row>
    <row r="536" spans="3:14" x14ac:dyDescent="0.2">
      <c r="C536" s="261"/>
      <c r="D536" s="261"/>
      <c r="E536" s="261"/>
      <c r="F536" s="261"/>
      <c r="G536" s="261"/>
      <c r="H536" s="261"/>
      <c r="I536" s="261"/>
      <c r="J536" s="261"/>
      <c r="K536" s="261"/>
      <c r="L536" s="261"/>
      <c r="M536" s="261"/>
      <c r="N536" s="261"/>
    </row>
    <row r="537" spans="3:14" x14ac:dyDescent="0.2">
      <c r="C537" s="261"/>
      <c r="D537" s="261"/>
      <c r="E537" s="261"/>
      <c r="F537" s="261"/>
      <c r="G537" s="261"/>
      <c r="H537" s="261"/>
      <c r="I537" s="261"/>
      <c r="J537" s="261"/>
      <c r="K537" s="261"/>
      <c r="L537" s="261"/>
      <c r="M537" s="261"/>
      <c r="N537" s="261"/>
    </row>
    <row r="538" spans="3:14" x14ac:dyDescent="0.2">
      <c r="C538" s="261"/>
      <c r="D538" s="261"/>
      <c r="E538" s="261"/>
      <c r="F538" s="261"/>
      <c r="G538" s="261"/>
      <c r="H538" s="261"/>
      <c r="I538" s="261"/>
      <c r="J538" s="261"/>
      <c r="K538" s="261"/>
      <c r="L538" s="261"/>
      <c r="M538" s="261"/>
      <c r="N538" s="261"/>
    </row>
    <row r="539" spans="3:14" x14ac:dyDescent="0.2">
      <c r="C539" s="261"/>
      <c r="D539" s="261"/>
      <c r="E539" s="261"/>
      <c r="F539" s="261"/>
      <c r="G539" s="261"/>
      <c r="H539" s="261"/>
      <c r="I539" s="261"/>
      <c r="J539" s="261"/>
      <c r="K539" s="261"/>
      <c r="L539" s="261"/>
      <c r="M539" s="261"/>
      <c r="N539" s="261"/>
    </row>
    <row r="540" spans="3:14" x14ac:dyDescent="0.2">
      <c r="C540" s="261"/>
      <c r="D540" s="261"/>
      <c r="E540" s="261"/>
      <c r="F540" s="261"/>
      <c r="G540" s="261"/>
      <c r="H540" s="261"/>
      <c r="I540" s="261"/>
      <c r="J540" s="261"/>
      <c r="K540" s="261"/>
      <c r="L540" s="261"/>
      <c r="M540" s="261"/>
      <c r="N540" s="261"/>
    </row>
    <row r="541" spans="3:14" x14ac:dyDescent="0.2">
      <c r="C541" s="261"/>
      <c r="D541" s="261"/>
      <c r="E541" s="261"/>
      <c r="F541" s="261"/>
      <c r="G541" s="261"/>
      <c r="H541" s="261"/>
      <c r="I541" s="261"/>
      <c r="J541" s="261"/>
      <c r="K541" s="261"/>
      <c r="L541" s="261"/>
      <c r="M541" s="261"/>
      <c r="N541" s="261"/>
    </row>
    <row r="542" spans="3:14" x14ac:dyDescent="0.2">
      <c r="C542" s="261"/>
      <c r="D542" s="261"/>
      <c r="E542" s="261"/>
      <c r="F542" s="261"/>
      <c r="G542" s="261"/>
      <c r="H542" s="261"/>
      <c r="I542" s="261"/>
      <c r="J542" s="261"/>
      <c r="K542" s="261"/>
      <c r="L542" s="261"/>
      <c r="M542" s="261"/>
      <c r="N542" s="261"/>
    </row>
    <row r="543" spans="3:14" x14ac:dyDescent="0.2">
      <c r="C543" s="261"/>
      <c r="D543" s="261"/>
      <c r="E543" s="261"/>
      <c r="F543" s="261"/>
      <c r="G543" s="261"/>
      <c r="H543" s="261"/>
      <c r="I543" s="261"/>
      <c r="J543" s="261"/>
      <c r="K543" s="261"/>
      <c r="L543" s="261"/>
      <c r="M543" s="261"/>
      <c r="N543" s="261"/>
    </row>
    <row r="544" spans="3:14" x14ac:dyDescent="0.2">
      <c r="C544" s="261"/>
      <c r="D544" s="261"/>
      <c r="E544" s="261"/>
      <c r="F544" s="261"/>
      <c r="G544" s="261"/>
      <c r="H544" s="261"/>
      <c r="I544" s="261"/>
      <c r="J544" s="261"/>
      <c r="K544" s="261"/>
      <c r="L544" s="261"/>
      <c r="M544" s="261"/>
      <c r="N544" s="261"/>
    </row>
    <row r="545" spans="3:14" x14ac:dyDescent="0.2">
      <c r="C545" s="261"/>
      <c r="D545" s="261"/>
      <c r="E545" s="261"/>
      <c r="F545" s="261"/>
      <c r="G545" s="261"/>
      <c r="H545" s="261"/>
      <c r="I545" s="261"/>
      <c r="J545" s="261"/>
      <c r="K545" s="261"/>
      <c r="L545" s="261"/>
      <c r="M545" s="261"/>
      <c r="N545" s="261"/>
    </row>
    <row r="546" spans="3:14" x14ac:dyDescent="0.2">
      <c r="C546" s="261"/>
      <c r="D546" s="261"/>
      <c r="E546" s="261"/>
      <c r="F546" s="261"/>
      <c r="G546" s="261"/>
      <c r="H546" s="261"/>
      <c r="I546" s="261"/>
      <c r="J546" s="261"/>
      <c r="K546" s="261"/>
      <c r="L546" s="261"/>
      <c r="M546" s="261"/>
      <c r="N546" s="261"/>
    </row>
    <row r="547" spans="3:14" x14ac:dyDescent="0.2">
      <c r="C547" s="261"/>
      <c r="D547" s="261"/>
      <c r="E547" s="261"/>
      <c r="F547" s="261"/>
      <c r="G547" s="261"/>
      <c r="H547" s="261"/>
      <c r="I547" s="261"/>
      <c r="J547" s="261"/>
      <c r="K547" s="261"/>
      <c r="L547" s="261"/>
      <c r="M547" s="261"/>
      <c r="N547" s="261"/>
    </row>
    <row r="548" spans="3:14" x14ac:dyDescent="0.2">
      <c r="C548" s="261"/>
      <c r="D548" s="261"/>
      <c r="E548" s="261"/>
      <c r="F548" s="261"/>
      <c r="G548" s="261"/>
      <c r="H548" s="261"/>
      <c r="I548" s="261"/>
      <c r="J548" s="261"/>
      <c r="K548" s="261"/>
      <c r="L548" s="261"/>
      <c r="M548" s="261"/>
      <c r="N548" s="261"/>
    </row>
    <row r="549" spans="3:14" x14ac:dyDescent="0.2">
      <c r="C549" s="261"/>
      <c r="D549" s="261"/>
      <c r="E549" s="261"/>
      <c r="F549" s="261"/>
      <c r="G549" s="261"/>
      <c r="H549" s="261"/>
      <c r="I549" s="261"/>
      <c r="J549" s="261"/>
      <c r="K549" s="261"/>
      <c r="L549" s="261"/>
      <c r="M549" s="261"/>
      <c r="N549" s="261"/>
    </row>
    <row r="550" spans="3:14" x14ac:dyDescent="0.2">
      <c r="C550" s="261"/>
      <c r="D550" s="261"/>
      <c r="E550" s="261"/>
      <c r="F550" s="261"/>
      <c r="G550" s="261"/>
      <c r="H550" s="261"/>
      <c r="I550" s="261"/>
      <c r="J550" s="261"/>
      <c r="K550" s="261"/>
      <c r="L550" s="261"/>
      <c r="M550" s="261"/>
      <c r="N550" s="261"/>
    </row>
    <row r="551" spans="3:14" x14ac:dyDescent="0.2">
      <c r="C551" s="261"/>
      <c r="D551" s="261"/>
      <c r="E551" s="261"/>
      <c r="F551" s="261"/>
      <c r="G551" s="261"/>
      <c r="H551" s="261"/>
      <c r="I551" s="261"/>
      <c r="J551" s="261"/>
      <c r="K551" s="261"/>
      <c r="L551" s="261"/>
      <c r="M551" s="261"/>
      <c r="N551" s="261"/>
    </row>
    <row r="552" spans="3:14" x14ac:dyDescent="0.2">
      <c r="C552" s="261"/>
      <c r="D552" s="261"/>
      <c r="E552" s="261"/>
      <c r="F552" s="261"/>
      <c r="G552" s="261"/>
      <c r="H552" s="261"/>
      <c r="I552" s="261"/>
      <c r="J552" s="261"/>
      <c r="K552" s="261"/>
      <c r="L552" s="261"/>
      <c r="M552" s="261"/>
      <c r="N552" s="261"/>
    </row>
    <row r="553" spans="3:14" x14ac:dyDescent="0.2">
      <c r="C553" s="261"/>
      <c r="D553" s="261"/>
      <c r="E553" s="261"/>
      <c r="F553" s="261"/>
      <c r="G553" s="261"/>
      <c r="H553" s="261"/>
      <c r="I553" s="261"/>
      <c r="J553" s="261"/>
      <c r="K553" s="261"/>
      <c r="L553" s="261"/>
      <c r="M553" s="261"/>
      <c r="N553" s="261"/>
    </row>
    <row r="554" spans="3:14" x14ac:dyDescent="0.2">
      <c r="C554" s="261"/>
      <c r="D554" s="261"/>
      <c r="E554" s="261"/>
      <c r="F554" s="261"/>
      <c r="G554" s="261"/>
      <c r="H554" s="261"/>
      <c r="I554" s="261"/>
      <c r="J554" s="261"/>
      <c r="K554" s="261"/>
      <c r="L554" s="261"/>
      <c r="M554" s="261"/>
      <c r="N554" s="261"/>
    </row>
    <row r="555" spans="3:14" x14ac:dyDescent="0.2">
      <c r="C555" s="261"/>
      <c r="D555" s="261"/>
      <c r="E555" s="261"/>
      <c r="F555" s="261"/>
      <c r="G555" s="261"/>
      <c r="H555" s="261"/>
      <c r="I555" s="261"/>
      <c r="J555" s="261"/>
      <c r="K555" s="261"/>
      <c r="L555" s="261"/>
      <c r="M555" s="261"/>
      <c r="N555" s="261"/>
    </row>
    <row r="556" spans="3:14" x14ac:dyDescent="0.2">
      <c r="C556" s="261"/>
      <c r="D556" s="261"/>
      <c r="E556" s="261"/>
      <c r="F556" s="261"/>
      <c r="G556" s="261"/>
      <c r="H556" s="261"/>
      <c r="I556" s="261"/>
      <c r="J556" s="261"/>
      <c r="K556" s="261"/>
      <c r="L556" s="261"/>
      <c r="M556" s="261"/>
      <c r="N556" s="261"/>
    </row>
    <row r="557" spans="3:14" x14ac:dyDescent="0.2">
      <c r="C557" s="261"/>
      <c r="D557" s="261"/>
      <c r="E557" s="261"/>
      <c r="F557" s="261"/>
      <c r="G557" s="261"/>
      <c r="H557" s="261"/>
      <c r="I557" s="261"/>
      <c r="J557" s="261"/>
      <c r="K557" s="261"/>
      <c r="L557" s="261"/>
      <c r="M557" s="261"/>
      <c r="N557" s="261"/>
    </row>
    <row r="558" spans="3:14" x14ac:dyDescent="0.2">
      <c r="C558" s="261"/>
      <c r="D558" s="261"/>
      <c r="E558" s="261"/>
      <c r="F558" s="261"/>
      <c r="G558" s="261"/>
      <c r="H558" s="261"/>
      <c r="I558" s="261"/>
      <c r="J558" s="261"/>
      <c r="K558" s="261"/>
      <c r="L558" s="261"/>
      <c r="M558" s="261"/>
      <c r="N558" s="261"/>
    </row>
    <row r="559" spans="3:14" x14ac:dyDescent="0.2">
      <c r="C559" s="261"/>
      <c r="D559" s="261"/>
      <c r="E559" s="261"/>
      <c r="F559" s="261"/>
      <c r="G559" s="261"/>
      <c r="H559" s="261"/>
      <c r="I559" s="261"/>
      <c r="J559" s="261"/>
      <c r="K559" s="261"/>
      <c r="L559" s="261"/>
      <c r="M559" s="261"/>
      <c r="N559" s="261"/>
    </row>
    <row r="560" spans="3:14" x14ac:dyDescent="0.2">
      <c r="C560" s="261"/>
      <c r="D560" s="261"/>
      <c r="E560" s="261"/>
      <c r="F560" s="261"/>
      <c r="G560" s="261"/>
      <c r="H560" s="261"/>
      <c r="I560" s="261"/>
      <c r="J560" s="261"/>
      <c r="K560" s="261"/>
      <c r="L560" s="261"/>
      <c r="M560" s="261"/>
      <c r="N560" s="261"/>
    </row>
    <row r="561" spans="3:14" x14ac:dyDescent="0.2">
      <c r="C561" s="261"/>
      <c r="D561" s="261"/>
      <c r="E561" s="261"/>
      <c r="F561" s="261"/>
      <c r="G561" s="261"/>
      <c r="H561" s="261"/>
      <c r="I561" s="261"/>
      <c r="J561" s="261"/>
      <c r="K561" s="261"/>
      <c r="L561" s="261"/>
      <c r="M561" s="261"/>
      <c r="N561" s="261"/>
    </row>
    <row r="562" spans="3:14" x14ac:dyDescent="0.2">
      <c r="C562" s="261"/>
      <c r="D562" s="261"/>
      <c r="E562" s="261"/>
      <c r="F562" s="261"/>
      <c r="G562" s="261"/>
      <c r="H562" s="261"/>
      <c r="I562" s="261"/>
      <c r="J562" s="261"/>
      <c r="K562" s="261"/>
      <c r="L562" s="261"/>
      <c r="M562" s="261"/>
      <c r="N562" s="261"/>
    </row>
    <row r="563" spans="3:14" x14ac:dyDescent="0.2">
      <c r="C563" s="261"/>
      <c r="D563" s="261"/>
      <c r="E563" s="261"/>
      <c r="F563" s="261"/>
      <c r="G563" s="261"/>
      <c r="H563" s="261"/>
      <c r="I563" s="261"/>
      <c r="J563" s="261"/>
      <c r="K563" s="261"/>
      <c r="L563" s="261"/>
      <c r="M563" s="261"/>
      <c r="N563" s="261"/>
    </row>
    <row r="564" spans="3:14" x14ac:dyDescent="0.2">
      <c r="C564" s="261"/>
      <c r="D564" s="261"/>
      <c r="E564" s="261"/>
      <c r="F564" s="261"/>
      <c r="G564" s="261"/>
      <c r="H564" s="261"/>
      <c r="I564" s="261"/>
      <c r="J564" s="261"/>
      <c r="K564" s="261"/>
      <c r="L564" s="261"/>
      <c r="M564" s="261"/>
      <c r="N564" s="261"/>
    </row>
    <row r="565" spans="3:14" x14ac:dyDescent="0.2">
      <c r="C565" s="261"/>
      <c r="D565" s="261"/>
      <c r="E565" s="261"/>
      <c r="F565" s="261"/>
      <c r="G565" s="261"/>
      <c r="H565" s="261"/>
      <c r="I565" s="261"/>
      <c r="J565" s="261"/>
      <c r="K565" s="261"/>
      <c r="L565" s="261"/>
      <c r="M565" s="261"/>
      <c r="N565" s="261"/>
    </row>
    <row r="566" spans="3:14" x14ac:dyDescent="0.2">
      <c r="C566" s="261"/>
      <c r="D566" s="261"/>
      <c r="E566" s="261"/>
      <c r="F566" s="261"/>
      <c r="G566" s="261"/>
      <c r="H566" s="261"/>
      <c r="I566" s="261"/>
      <c r="J566" s="261"/>
      <c r="K566" s="261"/>
      <c r="L566" s="261"/>
      <c r="M566" s="261"/>
      <c r="N566" s="261"/>
    </row>
    <row r="567" spans="3:14" x14ac:dyDescent="0.2">
      <c r="C567" s="261"/>
      <c r="D567" s="261"/>
      <c r="E567" s="261"/>
      <c r="F567" s="261"/>
      <c r="G567" s="261"/>
      <c r="H567" s="261"/>
      <c r="I567" s="261"/>
      <c r="J567" s="261"/>
      <c r="K567" s="261"/>
      <c r="L567" s="261"/>
      <c r="M567" s="261"/>
      <c r="N567" s="261"/>
    </row>
    <row r="568" spans="3:14" x14ac:dyDescent="0.2">
      <c r="C568" s="261"/>
      <c r="D568" s="261"/>
      <c r="E568" s="261"/>
      <c r="F568" s="261"/>
      <c r="G568" s="261"/>
      <c r="H568" s="261"/>
      <c r="I568" s="261"/>
      <c r="J568" s="261"/>
      <c r="K568" s="261"/>
      <c r="L568" s="261"/>
      <c r="M568" s="261"/>
      <c r="N568" s="261"/>
    </row>
    <row r="569" spans="3:14" x14ac:dyDescent="0.2">
      <c r="C569" s="261"/>
      <c r="D569" s="261"/>
      <c r="E569" s="261"/>
      <c r="F569" s="261"/>
      <c r="G569" s="261"/>
      <c r="H569" s="261"/>
      <c r="I569" s="261"/>
      <c r="J569" s="261"/>
      <c r="K569" s="261"/>
      <c r="L569" s="261"/>
      <c r="M569" s="261"/>
      <c r="N569" s="261"/>
    </row>
    <row r="570" spans="3:14" x14ac:dyDescent="0.2">
      <c r="C570" s="261"/>
      <c r="D570" s="261"/>
      <c r="E570" s="261"/>
      <c r="F570" s="261"/>
      <c r="G570" s="261"/>
      <c r="H570" s="261"/>
      <c r="I570" s="261"/>
      <c r="J570" s="261"/>
      <c r="K570" s="261"/>
      <c r="L570" s="261"/>
      <c r="M570" s="261"/>
      <c r="N570" s="261"/>
    </row>
    <row r="571" spans="3:14" x14ac:dyDescent="0.2">
      <c r="C571" s="261"/>
      <c r="D571" s="261"/>
      <c r="E571" s="261"/>
      <c r="F571" s="261"/>
      <c r="G571" s="261"/>
      <c r="H571" s="261"/>
      <c r="I571" s="261"/>
      <c r="J571" s="261"/>
      <c r="K571" s="261"/>
      <c r="L571" s="261"/>
      <c r="M571" s="261"/>
      <c r="N571" s="261"/>
    </row>
    <row r="572" spans="3:14" x14ac:dyDescent="0.2">
      <c r="C572" s="261"/>
      <c r="D572" s="261"/>
      <c r="E572" s="261"/>
      <c r="F572" s="261"/>
      <c r="G572" s="261"/>
      <c r="H572" s="261"/>
      <c r="I572" s="261"/>
      <c r="J572" s="261"/>
      <c r="K572" s="261"/>
      <c r="L572" s="261"/>
      <c r="M572" s="261"/>
      <c r="N572" s="261"/>
    </row>
    <row r="573" spans="3:14" x14ac:dyDescent="0.2">
      <c r="C573" s="261"/>
      <c r="D573" s="261"/>
      <c r="E573" s="261"/>
      <c r="F573" s="261"/>
      <c r="G573" s="261"/>
      <c r="H573" s="261"/>
      <c r="I573" s="261"/>
      <c r="J573" s="261"/>
      <c r="K573" s="261"/>
      <c r="L573" s="261"/>
      <c r="M573" s="261"/>
      <c r="N573" s="261"/>
    </row>
    <row r="574" spans="3:14" x14ac:dyDescent="0.2">
      <c r="C574" s="261"/>
      <c r="D574" s="261"/>
      <c r="E574" s="261"/>
      <c r="F574" s="261"/>
      <c r="G574" s="261"/>
      <c r="H574" s="261"/>
      <c r="I574" s="261"/>
      <c r="J574" s="261"/>
      <c r="K574" s="261"/>
      <c r="L574" s="261"/>
      <c r="M574" s="261"/>
      <c r="N574" s="261"/>
    </row>
    <row r="575" spans="3:14" x14ac:dyDescent="0.2">
      <c r="C575" s="261"/>
      <c r="D575" s="261"/>
      <c r="E575" s="261"/>
      <c r="F575" s="261"/>
      <c r="G575" s="261"/>
      <c r="H575" s="261"/>
      <c r="I575" s="261"/>
      <c r="J575" s="261"/>
      <c r="K575" s="261"/>
      <c r="L575" s="261"/>
      <c r="M575" s="261"/>
      <c r="N575" s="261"/>
    </row>
    <row r="576" spans="3:14" x14ac:dyDescent="0.2">
      <c r="C576" s="261"/>
      <c r="D576" s="261"/>
      <c r="E576" s="261"/>
      <c r="F576" s="261"/>
      <c r="G576" s="261"/>
      <c r="H576" s="261"/>
      <c r="I576" s="261"/>
      <c r="J576" s="261"/>
      <c r="K576" s="261"/>
      <c r="L576" s="261"/>
      <c r="M576" s="261"/>
      <c r="N576" s="261"/>
    </row>
    <row r="577" spans="3:14" x14ac:dyDescent="0.2">
      <c r="C577" s="261"/>
      <c r="D577" s="261"/>
      <c r="E577" s="261"/>
      <c r="F577" s="261"/>
      <c r="G577" s="261"/>
      <c r="H577" s="261"/>
      <c r="I577" s="261"/>
      <c r="J577" s="261"/>
      <c r="K577" s="261"/>
      <c r="L577" s="261"/>
      <c r="M577" s="261"/>
      <c r="N577" s="261"/>
    </row>
    <row r="578" spans="3:14" x14ac:dyDescent="0.2">
      <c r="C578" s="261"/>
      <c r="D578" s="261"/>
      <c r="E578" s="261"/>
      <c r="F578" s="261"/>
      <c r="G578" s="261"/>
      <c r="H578" s="261"/>
      <c r="I578" s="261"/>
      <c r="J578" s="261"/>
      <c r="K578" s="261"/>
      <c r="L578" s="261"/>
      <c r="M578" s="261"/>
      <c r="N578" s="261"/>
    </row>
    <row r="579" spans="3:14" x14ac:dyDescent="0.2">
      <c r="C579" s="261"/>
      <c r="D579" s="261"/>
      <c r="E579" s="261"/>
      <c r="F579" s="261"/>
      <c r="G579" s="261"/>
      <c r="H579" s="261"/>
      <c r="I579" s="261"/>
      <c r="J579" s="261"/>
      <c r="K579" s="261"/>
      <c r="L579" s="261"/>
      <c r="M579" s="261"/>
      <c r="N579" s="261"/>
    </row>
    <row r="580" spans="3:14" x14ac:dyDescent="0.2">
      <c r="C580" s="261"/>
      <c r="D580" s="261"/>
      <c r="E580" s="261"/>
      <c r="F580" s="261"/>
      <c r="G580" s="261"/>
      <c r="H580" s="261"/>
      <c r="I580" s="261"/>
      <c r="J580" s="261"/>
      <c r="K580" s="261"/>
      <c r="L580" s="261"/>
      <c r="M580" s="261"/>
      <c r="N580" s="261"/>
    </row>
    <row r="581" spans="3:14" x14ac:dyDescent="0.2">
      <c r="C581" s="261"/>
      <c r="D581" s="261"/>
      <c r="E581" s="261"/>
      <c r="F581" s="261"/>
      <c r="G581" s="261"/>
      <c r="H581" s="261"/>
      <c r="I581" s="261"/>
      <c r="J581" s="261"/>
      <c r="K581" s="261"/>
      <c r="L581" s="261"/>
      <c r="M581" s="261"/>
      <c r="N581" s="261"/>
    </row>
    <row r="582" spans="3:14" x14ac:dyDescent="0.2">
      <c r="C582" s="261"/>
      <c r="D582" s="261"/>
      <c r="E582" s="261"/>
      <c r="F582" s="261"/>
      <c r="G582" s="261"/>
      <c r="H582" s="261"/>
      <c r="I582" s="261"/>
      <c r="J582" s="261"/>
      <c r="K582" s="261"/>
      <c r="L582" s="261"/>
      <c r="M582" s="261"/>
      <c r="N582" s="261"/>
    </row>
    <row r="583" spans="3:14" x14ac:dyDescent="0.2">
      <c r="C583" s="261"/>
      <c r="D583" s="261"/>
      <c r="E583" s="261"/>
      <c r="F583" s="261"/>
      <c r="G583" s="261"/>
      <c r="H583" s="261"/>
      <c r="I583" s="261"/>
      <c r="J583" s="261"/>
      <c r="K583" s="261"/>
      <c r="L583" s="261"/>
      <c r="M583" s="261"/>
      <c r="N583" s="261"/>
    </row>
    <row r="584" spans="3:14" x14ac:dyDescent="0.2">
      <c r="C584" s="261"/>
      <c r="D584" s="261"/>
      <c r="E584" s="261"/>
      <c r="F584" s="261"/>
      <c r="G584" s="261"/>
      <c r="H584" s="261"/>
      <c r="I584" s="261"/>
      <c r="J584" s="261"/>
      <c r="K584" s="261"/>
      <c r="L584" s="261"/>
      <c r="M584" s="261"/>
      <c r="N584" s="261"/>
    </row>
    <row r="585" spans="3:14" x14ac:dyDescent="0.2">
      <c r="C585" s="261"/>
      <c r="D585" s="261"/>
      <c r="E585" s="261"/>
      <c r="F585" s="261"/>
      <c r="G585" s="261"/>
      <c r="H585" s="261"/>
      <c r="I585" s="261"/>
      <c r="J585" s="261"/>
      <c r="K585" s="261"/>
      <c r="L585" s="261"/>
      <c r="M585" s="261"/>
      <c r="N585" s="261"/>
    </row>
    <row r="586" spans="3:14" x14ac:dyDescent="0.2">
      <c r="C586" s="261"/>
      <c r="D586" s="261"/>
      <c r="E586" s="261"/>
      <c r="F586" s="261"/>
      <c r="G586" s="261"/>
      <c r="H586" s="261"/>
      <c r="I586" s="261"/>
      <c r="J586" s="261"/>
      <c r="K586" s="261"/>
      <c r="L586" s="261"/>
      <c r="M586" s="261"/>
      <c r="N586" s="261"/>
    </row>
    <row r="587" spans="3:14" x14ac:dyDescent="0.2">
      <c r="C587" s="261"/>
      <c r="D587" s="261"/>
      <c r="E587" s="261"/>
      <c r="F587" s="261"/>
      <c r="G587" s="261"/>
      <c r="H587" s="261"/>
      <c r="I587" s="261"/>
      <c r="J587" s="261"/>
      <c r="K587" s="261"/>
      <c r="L587" s="261"/>
      <c r="M587" s="261"/>
      <c r="N587" s="261"/>
    </row>
    <row r="588" spans="3:14" x14ac:dyDescent="0.2">
      <c r="C588" s="261"/>
      <c r="D588" s="261"/>
      <c r="E588" s="261"/>
      <c r="F588" s="261"/>
      <c r="G588" s="261"/>
      <c r="H588" s="261"/>
      <c r="I588" s="261"/>
      <c r="J588" s="261"/>
      <c r="K588" s="261"/>
      <c r="L588" s="261"/>
      <c r="M588" s="261"/>
      <c r="N588" s="261"/>
    </row>
    <row r="589" spans="3:14" x14ac:dyDescent="0.2">
      <c r="C589" s="261"/>
      <c r="D589" s="261"/>
      <c r="E589" s="261"/>
      <c r="F589" s="261"/>
      <c r="G589" s="261"/>
      <c r="H589" s="261"/>
      <c r="I589" s="261"/>
      <c r="J589" s="261"/>
      <c r="K589" s="261"/>
      <c r="L589" s="261"/>
      <c r="M589" s="261"/>
      <c r="N589" s="261"/>
    </row>
    <row r="590" spans="3:14" x14ac:dyDescent="0.2">
      <c r="C590" s="261"/>
      <c r="D590" s="261"/>
      <c r="E590" s="261"/>
      <c r="F590" s="261"/>
      <c r="G590" s="261"/>
      <c r="H590" s="261"/>
      <c r="I590" s="261"/>
      <c r="J590" s="261"/>
      <c r="K590" s="261"/>
      <c r="L590" s="261"/>
      <c r="M590" s="261"/>
      <c r="N590" s="261"/>
    </row>
    <row r="591" spans="3:14" x14ac:dyDescent="0.2">
      <c r="C591" s="261"/>
      <c r="D591" s="261"/>
      <c r="E591" s="261"/>
      <c r="F591" s="261"/>
      <c r="G591" s="261"/>
      <c r="H591" s="261"/>
      <c r="I591" s="261"/>
      <c r="J591" s="261"/>
      <c r="K591" s="261"/>
      <c r="L591" s="261"/>
      <c r="M591" s="261"/>
      <c r="N591" s="261"/>
    </row>
    <row r="592" spans="3:14" x14ac:dyDescent="0.2">
      <c r="C592" s="261"/>
      <c r="D592" s="261"/>
      <c r="E592" s="261"/>
      <c r="F592" s="261"/>
      <c r="G592" s="261"/>
      <c r="H592" s="261"/>
      <c r="I592" s="261"/>
      <c r="J592" s="261"/>
      <c r="K592" s="261"/>
      <c r="L592" s="261"/>
      <c r="M592" s="261"/>
      <c r="N592" s="261"/>
    </row>
    <row r="593" spans="3:14" x14ac:dyDescent="0.2">
      <c r="C593" s="261"/>
      <c r="D593" s="261"/>
      <c r="E593" s="261"/>
      <c r="F593" s="261"/>
      <c r="G593" s="261"/>
      <c r="H593" s="261"/>
      <c r="I593" s="261"/>
      <c r="J593" s="261"/>
      <c r="K593" s="261"/>
      <c r="L593" s="261"/>
      <c r="M593" s="261"/>
      <c r="N593" s="261"/>
    </row>
    <row r="594" spans="3:14" x14ac:dyDescent="0.2">
      <c r="C594" s="261"/>
      <c r="D594" s="261"/>
      <c r="E594" s="261"/>
      <c r="F594" s="261"/>
      <c r="G594" s="261"/>
      <c r="H594" s="261"/>
      <c r="I594" s="261"/>
      <c r="J594" s="261"/>
      <c r="K594" s="261"/>
      <c r="L594" s="261"/>
      <c r="M594" s="261"/>
      <c r="N594" s="261"/>
    </row>
    <row r="595" spans="3:14" x14ac:dyDescent="0.2">
      <c r="C595" s="261"/>
      <c r="D595" s="261"/>
      <c r="E595" s="261"/>
      <c r="F595" s="261"/>
      <c r="G595" s="261"/>
      <c r="H595" s="261"/>
      <c r="I595" s="261"/>
      <c r="J595" s="261"/>
      <c r="K595" s="261"/>
      <c r="L595" s="261"/>
      <c r="M595" s="261"/>
      <c r="N595" s="261"/>
    </row>
    <row r="596" spans="3:14" x14ac:dyDescent="0.2">
      <c r="C596" s="261"/>
      <c r="D596" s="261"/>
      <c r="E596" s="261"/>
      <c r="F596" s="261"/>
      <c r="G596" s="261"/>
      <c r="H596" s="261"/>
      <c r="I596" s="261"/>
      <c r="J596" s="261"/>
      <c r="K596" s="261"/>
      <c r="L596" s="261"/>
      <c r="M596" s="261"/>
      <c r="N596" s="261"/>
    </row>
    <row r="597" spans="3:14" x14ac:dyDescent="0.2">
      <c r="C597" s="261"/>
      <c r="D597" s="261"/>
      <c r="E597" s="261"/>
      <c r="F597" s="261"/>
      <c r="G597" s="261"/>
      <c r="H597" s="261"/>
      <c r="I597" s="261"/>
      <c r="J597" s="261"/>
      <c r="K597" s="261"/>
      <c r="L597" s="261"/>
      <c r="M597" s="261"/>
      <c r="N597" s="261"/>
    </row>
    <row r="598" spans="3:14" x14ac:dyDescent="0.2">
      <c r="C598" s="261"/>
      <c r="D598" s="261"/>
      <c r="E598" s="261"/>
      <c r="F598" s="261"/>
      <c r="G598" s="261"/>
      <c r="H598" s="261"/>
      <c r="I598" s="261"/>
      <c r="J598" s="261"/>
      <c r="K598" s="261"/>
      <c r="L598" s="261"/>
      <c r="M598" s="261"/>
      <c r="N598" s="261"/>
    </row>
    <row r="599" spans="3:14" x14ac:dyDescent="0.2">
      <c r="C599" s="261"/>
      <c r="D599" s="261"/>
      <c r="E599" s="261"/>
      <c r="F599" s="261"/>
      <c r="G599" s="261"/>
      <c r="H599" s="261"/>
      <c r="I599" s="261"/>
      <c r="J599" s="261"/>
      <c r="K599" s="261"/>
      <c r="L599" s="261"/>
      <c r="M599" s="261"/>
      <c r="N599" s="261"/>
    </row>
    <row r="600" spans="3:14" x14ac:dyDescent="0.2">
      <c r="C600" s="261"/>
      <c r="D600" s="261"/>
      <c r="E600" s="261"/>
      <c r="F600" s="261"/>
      <c r="G600" s="261"/>
      <c r="H600" s="261"/>
      <c r="I600" s="261"/>
      <c r="J600" s="261"/>
      <c r="K600" s="261"/>
      <c r="L600" s="261"/>
      <c r="M600" s="261"/>
      <c r="N600" s="261"/>
    </row>
    <row r="601" spans="3:14" x14ac:dyDescent="0.2">
      <c r="C601" s="261"/>
      <c r="D601" s="261"/>
      <c r="E601" s="261"/>
      <c r="F601" s="261"/>
      <c r="G601" s="261"/>
      <c r="H601" s="261"/>
      <c r="I601" s="261"/>
      <c r="J601" s="261"/>
      <c r="K601" s="261"/>
      <c r="L601" s="261"/>
      <c r="M601" s="261"/>
      <c r="N601" s="261"/>
    </row>
    <row r="602" spans="3:14" x14ac:dyDescent="0.2">
      <c r="C602" s="261"/>
      <c r="D602" s="261"/>
      <c r="E602" s="261"/>
      <c r="F602" s="261"/>
      <c r="G602" s="261"/>
      <c r="H602" s="261"/>
      <c r="I602" s="261"/>
      <c r="J602" s="261"/>
      <c r="K602" s="261"/>
      <c r="L602" s="261"/>
      <c r="M602" s="261"/>
      <c r="N602" s="261"/>
    </row>
    <row r="603" spans="3:14" x14ac:dyDescent="0.2">
      <c r="C603" s="261"/>
      <c r="D603" s="261"/>
      <c r="E603" s="261"/>
      <c r="F603" s="261"/>
      <c r="G603" s="261"/>
      <c r="H603" s="261"/>
      <c r="I603" s="261"/>
      <c r="J603" s="261"/>
      <c r="K603" s="261"/>
      <c r="L603" s="261"/>
      <c r="M603" s="261"/>
      <c r="N603" s="261"/>
    </row>
    <row r="604" spans="3:14" x14ac:dyDescent="0.2">
      <c r="C604" s="261"/>
      <c r="D604" s="261"/>
      <c r="E604" s="261"/>
      <c r="F604" s="261"/>
      <c r="G604" s="261"/>
      <c r="H604" s="261"/>
      <c r="I604" s="261"/>
      <c r="J604" s="261"/>
      <c r="K604" s="261"/>
      <c r="L604" s="261"/>
      <c r="M604" s="261"/>
      <c r="N604" s="261"/>
    </row>
    <row r="605" spans="3:14" x14ac:dyDescent="0.2">
      <c r="C605" s="261"/>
      <c r="D605" s="261"/>
      <c r="E605" s="261"/>
      <c r="F605" s="261"/>
      <c r="G605" s="261"/>
      <c r="H605" s="261"/>
      <c r="I605" s="261"/>
      <c r="J605" s="261"/>
      <c r="K605" s="261"/>
      <c r="L605" s="261"/>
      <c r="M605" s="261"/>
      <c r="N605" s="261"/>
    </row>
    <row r="606" spans="3:14" x14ac:dyDescent="0.2">
      <c r="C606" s="261"/>
      <c r="D606" s="261"/>
      <c r="E606" s="261"/>
      <c r="F606" s="261"/>
      <c r="G606" s="261"/>
      <c r="H606" s="261"/>
      <c r="I606" s="261"/>
      <c r="J606" s="261"/>
      <c r="K606" s="261"/>
      <c r="L606" s="261"/>
      <c r="M606" s="261"/>
      <c r="N606" s="261"/>
    </row>
    <row r="607" spans="3:14" x14ac:dyDescent="0.2">
      <c r="C607" s="261"/>
      <c r="D607" s="261"/>
      <c r="E607" s="261"/>
      <c r="F607" s="261"/>
      <c r="G607" s="261"/>
      <c r="H607" s="261"/>
      <c r="I607" s="261"/>
      <c r="J607" s="261"/>
      <c r="K607" s="261"/>
      <c r="L607" s="261"/>
      <c r="M607" s="261"/>
      <c r="N607" s="261"/>
    </row>
    <row r="608" spans="3:14" x14ac:dyDescent="0.2">
      <c r="C608" s="261"/>
      <c r="D608" s="261"/>
      <c r="E608" s="261"/>
      <c r="F608" s="261"/>
      <c r="G608" s="261"/>
      <c r="H608" s="261"/>
      <c r="I608" s="261"/>
      <c r="J608" s="261"/>
      <c r="K608" s="261"/>
      <c r="L608" s="261"/>
      <c r="M608" s="261"/>
      <c r="N608" s="261"/>
    </row>
    <row r="609" spans="3:14" x14ac:dyDescent="0.2">
      <c r="C609" s="261"/>
      <c r="D609" s="261"/>
      <c r="E609" s="261"/>
      <c r="F609" s="261"/>
      <c r="G609" s="261"/>
      <c r="H609" s="261"/>
      <c r="I609" s="261"/>
      <c r="J609" s="261"/>
      <c r="K609" s="261"/>
      <c r="L609" s="261"/>
      <c r="M609" s="261"/>
      <c r="N609" s="261"/>
    </row>
    <row r="610" spans="3:14" x14ac:dyDescent="0.2">
      <c r="C610" s="261"/>
      <c r="D610" s="261"/>
      <c r="E610" s="261"/>
      <c r="F610" s="261"/>
      <c r="G610" s="261"/>
      <c r="H610" s="261"/>
      <c r="I610" s="261"/>
      <c r="J610" s="261"/>
      <c r="K610" s="261"/>
      <c r="L610" s="261"/>
      <c r="M610" s="261"/>
      <c r="N610" s="261"/>
    </row>
    <row r="611" spans="3:14" x14ac:dyDescent="0.2">
      <c r="C611" s="261"/>
      <c r="D611" s="261"/>
      <c r="E611" s="261"/>
      <c r="F611" s="261"/>
      <c r="G611" s="261"/>
      <c r="H611" s="261"/>
      <c r="I611" s="261"/>
      <c r="J611" s="261"/>
      <c r="K611" s="261"/>
      <c r="L611" s="261"/>
      <c r="M611" s="261"/>
      <c r="N611" s="261"/>
    </row>
    <row r="612" spans="3:14" x14ac:dyDescent="0.2">
      <c r="C612" s="261"/>
      <c r="D612" s="261"/>
      <c r="E612" s="261"/>
      <c r="F612" s="261"/>
      <c r="G612" s="261"/>
      <c r="H612" s="261"/>
      <c r="I612" s="261"/>
      <c r="J612" s="261"/>
      <c r="K612" s="261"/>
      <c r="L612" s="261"/>
      <c r="M612" s="261"/>
      <c r="N612" s="261"/>
    </row>
    <row r="613" spans="3:14" x14ac:dyDescent="0.2">
      <c r="C613" s="261"/>
      <c r="D613" s="261"/>
      <c r="E613" s="261"/>
      <c r="F613" s="261"/>
      <c r="G613" s="261"/>
      <c r="H613" s="261"/>
      <c r="I613" s="261"/>
      <c r="J613" s="261"/>
      <c r="K613" s="261"/>
      <c r="L613" s="261"/>
      <c r="M613" s="261"/>
      <c r="N613" s="261"/>
    </row>
    <row r="614" spans="3:14" x14ac:dyDescent="0.2">
      <c r="C614" s="261"/>
      <c r="D614" s="261"/>
      <c r="E614" s="261"/>
      <c r="F614" s="261"/>
      <c r="G614" s="261"/>
      <c r="H614" s="261"/>
      <c r="I614" s="261"/>
      <c r="J614" s="261"/>
      <c r="K614" s="261"/>
      <c r="L614" s="261"/>
      <c r="M614" s="261"/>
      <c r="N614" s="261"/>
    </row>
    <row r="615" spans="3:14" x14ac:dyDescent="0.2">
      <c r="C615" s="261"/>
      <c r="D615" s="261"/>
      <c r="E615" s="261"/>
      <c r="F615" s="261"/>
      <c r="G615" s="261"/>
      <c r="H615" s="261"/>
      <c r="I615" s="261"/>
      <c r="J615" s="261"/>
      <c r="K615" s="261"/>
      <c r="L615" s="261"/>
      <c r="M615" s="261"/>
      <c r="N615" s="261"/>
    </row>
    <row r="616" spans="3:14" x14ac:dyDescent="0.2">
      <c r="C616" s="261"/>
      <c r="D616" s="261"/>
      <c r="E616" s="261"/>
      <c r="F616" s="261"/>
      <c r="G616" s="261"/>
      <c r="H616" s="261"/>
      <c r="I616" s="261"/>
      <c r="J616" s="261"/>
      <c r="K616" s="261"/>
      <c r="L616" s="261"/>
      <c r="M616" s="261"/>
      <c r="N616" s="261"/>
    </row>
    <row r="617" spans="3:14" x14ac:dyDescent="0.2">
      <c r="C617" s="261"/>
      <c r="D617" s="261"/>
      <c r="E617" s="261"/>
      <c r="F617" s="261"/>
      <c r="G617" s="261"/>
      <c r="H617" s="261"/>
      <c r="I617" s="261"/>
      <c r="J617" s="261"/>
      <c r="K617" s="261"/>
      <c r="L617" s="261"/>
      <c r="M617" s="261"/>
      <c r="N617" s="261"/>
    </row>
    <row r="618" spans="3:14" x14ac:dyDescent="0.2">
      <c r="C618" s="261"/>
      <c r="D618" s="261"/>
      <c r="E618" s="261"/>
      <c r="F618" s="261"/>
      <c r="G618" s="261"/>
      <c r="H618" s="261"/>
      <c r="I618" s="261"/>
      <c r="J618" s="261"/>
      <c r="K618" s="261"/>
      <c r="L618" s="261"/>
      <c r="M618" s="261"/>
      <c r="N618" s="261"/>
    </row>
    <row r="619" spans="3:14" x14ac:dyDescent="0.2">
      <c r="C619" s="261"/>
      <c r="D619" s="261"/>
      <c r="E619" s="261"/>
      <c r="F619" s="261"/>
      <c r="G619" s="261"/>
      <c r="H619" s="261"/>
      <c r="I619" s="261"/>
      <c r="J619" s="261"/>
      <c r="K619" s="261"/>
      <c r="L619" s="261"/>
      <c r="M619" s="261"/>
      <c r="N619" s="261"/>
    </row>
    <row r="620" spans="3:14" x14ac:dyDescent="0.2">
      <c r="C620" s="261"/>
      <c r="D620" s="261"/>
      <c r="E620" s="261"/>
      <c r="F620" s="261"/>
      <c r="G620" s="261"/>
      <c r="H620" s="261"/>
      <c r="I620" s="261"/>
      <c r="J620" s="261"/>
      <c r="K620" s="261"/>
      <c r="L620" s="261"/>
      <c r="M620" s="261"/>
      <c r="N620" s="261"/>
    </row>
    <row r="621" spans="3:14" x14ac:dyDescent="0.2">
      <c r="C621" s="261"/>
      <c r="D621" s="261"/>
      <c r="E621" s="261"/>
      <c r="F621" s="261"/>
      <c r="G621" s="261"/>
      <c r="H621" s="261"/>
      <c r="I621" s="261"/>
      <c r="J621" s="261"/>
      <c r="K621" s="261"/>
      <c r="L621" s="261"/>
      <c r="M621" s="261"/>
      <c r="N621" s="261"/>
    </row>
    <row r="622" spans="3:14" x14ac:dyDescent="0.2">
      <c r="C622" s="261"/>
      <c r="D622" s="261"/>
      <c r="E622" s="261"/>
      <c r="F622" s="261"/>
      <c r="G622" s="261"/>
      <c r="H622" s="261"/>
      <c r="I622" s="261"/>
      <c r="J622" s="261"/>
      <c r="K622" s="261"/>
      <c r="L622" s="261"/>
      <c r="M622" s="261"/>
      <c r="N622" s="261"/>
    </row>
    <row r="623" spans="3:14" x14ac:dyDescent="0.2">
      <c r="C623" s="261"/>
      <c r="D623" s="261"/>
      <c r="E623" s="261"/>
      <c r="F623" s="261"/>
      <c r="G623" s="261"/>
      <c r="H623" s="261"/>
      <c r="I623" s="261"/>
      <c r="J623" s="261"/>
      <c r="K623" s="261"/>
      <c r="L623" s="261"/>
      <c r="M623" s="261"/>
      <c r="N623" s="261"/>
    </row>
    <row r="624" spans="3:14" x14ac:dyDescent="0.2">
      <c r="C624" s="261"/>
      <c r="D624" s="261"/>
      <c r="E624" s="261"/>
      <c r="F624" s="261"/>
      <c r="G624" s="261"/>
      <c r="H624" s="261"/>
      <c r="I624" s="261"/>
      <c r="J624" s="261"/>
      <c r="K624" s="261"/>
      <c r="L624" s="261"/>
      <c r="M624" s="261"/>
      <c r="N624" s="261"/>
    </row>
    <row r="625" spans="3:14" x14ac:dyDescent="0.2">
      <c r="C625" s="261"/>
      <c r="D625" s="261"/>
      <c r="E625" s="261"/>
      <c r="F625" s="261"/>
      <c r="G625" s="261"/>
      <c r="H625" s="261"/>
      <c r="I625" s="261"/>
      <c r="J625" s="261"/>
      <c r="K625" s="261"/>
      <c r="L625" s="261"/>
      <c r="M625" s="261"/>
      <c r="N625" s="261"/>
    </row>
    <row r="626" spans="3:14" x14ac:dyDescent="0.2">
      <c r="C626" s="261"/>
      <c r="D626" s="261"/>
      <c r="E626" s="261"/>
      <c r="F626" s="261"/>
      <c r="G626" s="261"/>
      <c r="H626" s="261"/>
      <c r="I626" s="261"/>
      <c r="J626" s="261"/>
      <c r="K626" s="261"/>
      <c r="L626" s="261"/>
      <c r="M626" s="261"/>
      <c r="N626" s="261"/>
    </row>
    <row r="627" spans="3:14" x14ac:dyDescent="0.2">
      <c r="C627" s="261"/>
      <c r="D627" s="261"/>
      <c r="E627" s="261"/>
      <c r="F627" s="261"/>
      <c r="G627" s="261"/>
      <c r="H627" s="261"/>
      <c r="I627" s="261"/>
      <c r="J627" s="261"/>
      <c r="K627" s="261"/>
      <c r="L627" s="261"/>
      <c r="M627" s="261"/>
      <c r="N627" s="261"/>
    </row>
    <row r="628" spans="3:14" x14ac:dyDescent="0.2">
      <c r="C628" s="261"/>
      <c r="D628" s="261"/>
      <c r="E628" s="261"/>
      <c r="F628" s="261"/>
      <c r="G628" s="261"/>
      <c r="H628" s="261"/>
      <c r="I628" s="261"/>
      <c r="J628" s="261"/>
      <c r="K628" s="261"/>
      <c r="L628" s="261"/>
      <c r="M628" s="261"/>
      <c r="N628" s="261"/>
    </row>
    <row r="629" spans="3:14" x14ac:dyDescent="0.2">
      <c r="C629" s="261"/>
      <c r="D629" s="261"/>
      <c r="E629" s="261"/>
      <c r="F629" s="261"/>
      <c r="G629" s="261"/>
      <c r="H629" s="261"/>
      <c r="I629" s="261"/>
      <c r="J629" s="261"/>
      <c r="K629" s="261"/>
      <c r="L629" s="261"/>
      <c r="M629" s="261"/>
      <c r="N629" s="261"/>
    </row>
    <row r="630" spans="3:14" x14ac:dyDescent="0.2">
      <c r="C630" s="261"/>
      <c r="D630" s="261"/>
      <c r="E630" s="261"/>
      <c r="F630" s="261"/>
      <c r="G630" s="261"/>
      <c r="H630" s="261"/>
      <c r="I630" s="261"/>
      <c r="J630" s="261"/>
      <c r="K630" s="261"/>
      <c r="L630" s="261"/>
      <c r="M630" s="261"/>
      <c r="N630" s="261"/>
    </row>
    <row r="631" spans="3:14" x14ac:dyDescent="0.2">
      <c r="C631" s="261"/>
      <c r="D631" s="261"/>
      <c r="E631" s="261"/>
      <c r="F631" s="261"/>
      <c r="G631" s="261"/>
      <c r="H631" s="261"/>
      <c r="I631" s="261"/>
      <c r="J631" s="261"/>
      <c r="K631" s="261"/>
      <c r="L631" s="261"/>
      <c r="M631" s="261"/>
      <c r="N631" s="261"/>
    </row>
    <row r="632" spans="3:14" x14ac:dyDescent="0.2">
      <c r="C632" s="261"/>
      <c r="D632" s="261"/>
      <c r="E632" s="261"/>
      <c r="F632" s="261"/>
      <c r="G632" s="261"/>
      <c r="H632" s="261"/>
      <c r="I632" s="261"/>
      <c r="J632" s="261"/>
      <c r="K632" s="261"/>
      <c r="L632" s="261"/>
      <c r="M632" s="261"/>
      <c r="N632" s="261"/>
    </row>
    <row r="633" spans="3:14" x14ac:dyDescent="0.2">
      <c r="C633" s="261"/>
      <c r="D633" s="261"/>
      <c r="E633" s="261"/>
      <c r="F633" s="261"/>
      <c r="G633" s="261"/>
      <c r="H633" s="261"/>
      <c r="I633" s="261"/>
      <c r="J633" s="261"/>
      <c r="K633" s="261"/>
      <c r="L633" s="261"/>
      <c r="M633" s="261"/>
      <c r="N633" s="261"/>
    </row>
    <row r="634" spans="3:14" x14ac:dyDescent="0.2">
      <c r="C634" s="261"/>
      <c r="D634" s="261"/>
      <c r="E634" s="261"/>
      <c r="F634" s="261"/>
      <c r="G634" s="261"/>
      <c r="H634" s="261"/>
      <c r="I634" s="261"/>
      <c r="J634" s="261"/>
      <c r="K634" s="261"/>
      <c r="L634" s="261"/>
      <c r="M634" s="261"/>
      <c r="N634" s="261"/>
    </row>
    <row r="635" spans="3:14" x14ac:dyDescent="0.2">
      <c r="C635" s="261"/>
      <c r="D635" s="261"/>
      <c r="E635" s="261"/>
      <c r="F635" s="261"/>
      <c r="G635" s="261"/>
      <c r="H635" s="261"/>
      <c r="I635" s="261"/>
      <c r="J635" s="261"/>
      <c r="K635" s="261"/>
      <c r="L635" s="261"/>
      <c r="M635" s="261"/>
      <c r="N635" s="261"/>
    </row>
    <row r="636" spans="3:14" x14ac:dyDescent="0.2">
      <c r="C636" s="261"/>
      <c r="D636" s="261"/>
      <c r="E636" s="261"/>
      <c r="F636" s="261"/>
      <c r="G636" s="261"/>
      <c r="H636" s="261"/>
      <c r="I636" s="261"/>
      <c r="J636" s="261"/>
      <c r="K636" s="261"/>
      <c r="L636" s="261"/>
      <c r="M636" s="261"/>
      <c r="N636" s="261"/>
    </row>
    <row r="637" spans="3:14" x14ac:dyDescent="0.2">
      <c r="C637" s="261"/>
      <c r="D637" s="261"/>
      <c r="E637" s="261"/>
      <c r="F637" s="261"/>
      <c r="G637" s="261"/>
      <c r="H637" s="261"/>
      <c r="I637" s="261"/>
      <c r="J637" s="261"/>
      <c r="K637" s="261"/>
      <c r="L637" s="261"/>
      <c r="M637" s="261"/>
      <c r="N637" s="261"/>
    </row>
    <row r="638" spans="3:14" x14ac:dyDescent="0.2">
      <c r="C638" s="261"/>
      <c r="D638" s="261"/>
      <c r="E638" s="261"/>
      <c r="F638" s="261"/>
      <c r="G638" s="261"/>
      <c r="H638" s="261"/>
      <c r="I638" s="261"/>
      <c r="J638" s="261"/>
      <c r="K638" s="261"/>
      <c r="L638" s="261"/>
      <c r="M638" s="261"/>
      <c r="N638" s="261"/>
    </row>
    <row r="639" spans="3:14" x14ac:dyDescent="0.2">
      <c r="C639" s="261"/>
      <c r="D639" s="261"/>
      <c r="E639" s="261"/>
      <c r="F639" s="261"/>
      <c r="G639" s="261"/>
      <c r="H639" s="261"/>
      <c r="I639" s="261"/>
      <c r="J639" s="261"/>
      <c r="K639" s="261"/>
      <c r="L639" s="261"/>
      <c r="M639" s="261"/>
      <c r="N639" s="261"/>
    </row>
    <row r="640" spans="3:14" x14ac:dyDescent="0.2">
      <c r="C640" s="261"/>
      <c r="D640" s="261"/>
      <c r="E640" s="261"/>
      <c r="F640" s="261"/>
      <c r="G640" s="261"/>
      <c r="H640" s="261"/>
      <c r="I640" s="261"/>
      <c r="J640" s="261"/>
      <c r="K640" s="261"/>
      <c r="L640" s="261"/>
      <c r="M640" s="261"/>
      <c r="N640" s="261"/>
    </row>
    <row r="641" spans="3:14" x14ac:dyDescent="0.2">
      <c r="C641" s="261"/>
      <c r="D641" s="261"/>
      <c r="E641" s="261"/>
      <c r="F641" s="261"/>
      <c r="G641" s="261"/>
      <c r="H641" s="261"/>
      <c r="I641" s="261"/>
      <c r="J641" s="261"/>
      <c r="K641" s="261"/>
      <c r="L641" s="261"/>
      <c r="M641" s="261"/>
      <c r="N641" s="261"/>
    </row>
    <row r="642" spans="3:14" x14ac:dyDescent="0.2">
      <c r="C642" s="261"/>
      <c r="D642" s="261"/>
      <c r="E642" s="261"/>
      <c r="F642" s="261"/>
      <c r="G642" s="261"/>
      <c r="H642" s="261"/>
      <c r="I642" s="261"/>
      <c r="J642" s="261"/>
      <c r="K642" s="261"/>
      <c r="L642" s="261"/>
      <c r="M642" s="261"/>
      <c r="N642" s="261"/>
    </row>
    <row r="643" spans="3:14" x14ac:dyDescent="0.2">
      <c r="C643" s="261"/>
      <c r="D643" s="261"/>
      <c r="E643" s="261"/>
      <c r="F643" s="261"/>
      <c r="G643" s="261"/>
      <c r="H643" s="261"/>
      <c r="I643" s="261"/>
      <c r="J643" s="261"/>
      <c r="K643" s="261"/>
      <c r="L643" s="261"/>
      <c r="M643" s="261"/>
      <c r="N643" s="261"/>
    </row>
    <row r="644" spans="3:14" x14ac:dyDescent="0.2">
      <c r="C644" s="261"/>
      <c r="D644" s="261"/>
      <c r="E644" s="261"/>
      <c r="F644" s="261"/>
      <c r="G644" s="261"/>
      <c r="H644" s="261"/>
      <c r="I644" s="261"/>
      <c r="J644" s="261"/>
      <c r="K644" s="261"/>
      <c r="L644" s="261"/>
      <c r="M644" s="261"/>
      <c r="N644" s="261"/>
    </row>
    <row r="645" spans="3:14" x14ac:dyDescent="0.2">
      <c r="C645" s="261"/>
      <c r="D645" s="261"/>
      <c r="E645" s="261"/>
      <c r="F645" s="261"/>
      <c r="G645" s="261"/>
      <c r="H645" s="261"/>
      <c r="I645" s="261"/>
      <c r="J645" s="261"/>
      <c r="K645" s="261"/>
      <c r="L645" s="261"/>
      <c r="M645" s="261"/>
      <c r="N645" s="261"/>
    </row>
    <row r="646" spans="3:14" x14ac:dyDescent="0.2">
      <c r="C646" s="261"/>
      <c r="D646" s="261"/>
      <c r="E646" s="261"/>
      <c r="F646" s="261"/>
      <c r="G646" s="261"/>
      <c r="H646" s="261"/>
      <c r="I646" s="261"/>
      <c r="J646" s="261"/>
      <c r="K646" s="261"/>
      <c r="L646" s="261"/>
      <c r="M646" s="261"/>
      <c r="N646" s="261"/>
    </row>
    <row r="647" spans="3:14" x14ac:dyDescent="0.2">
      <c r="C647" s="261"/>
      <c r="D647" s="261"/>
      <c r="E647" s="261"/>
      <c r="F647" s="261"/>
      <c r="G647" s="261"/>
      <c r="H647" s="261"/>
      <c r="I647" s="261"/>
      <c r="J647" s="261"/>
      <c r="K647" s="261"/>
      <c r="L647" s="261"/>
      <c r="M647" s="261"/>
      <c r="N647" s="261"/>
    </row>
    <row r="648" spans="3:14" x14ac:dyDescent="0.2">
      <c r="C648" s="261"/>
      <c r="D648" s="261"/>
      <c r="E648" s="261"/>
      <c r="F648" s="261"/>
      <c r="G648" s="261"/>
      <c r="H648" s="261"/>
      <c r="I648" s="261"/>
      <c r="J648" s="261"/>
      <c r="K648" s="261"/>
      <c r="L648" s="261"/>
      <c r="M648" s="261"/>
      <c r="N648" s="261"/>
    </row>
    <row r="649" spans="3:14" x14ac:dyDescent="0.2">
      <c r="C649" s="261"/>
      <c r="D649" s="261"/>
      <c r="E649" s="261"/>
      <c r="F649" s="261"/>
      <c r="G649" s="261"/>
      <c r="H649" s="261"/>
      <c r="I649" s="261"/>
      <c r="J649" s="261"/>
      <c r="K649" s="261"/>
      <c r="L649" s="261"/>
      <c r="M649" s="261"/>
      <c r="N649" s="261"/>
    </row>
    <row r="650" spans="3:14" x14ac:dyDescent="0.2">
      <c r="C650" s="261"/>
      <c r="D650" s="261"/>
      <c r="E650" s="261"/>
      <c r="F650" s="261"/>
      <c r="G650" s="261"/>
      <c r="H650" s="261"/>
      <c r="I650" s="261"/>
      <c r="J650" s="261"/>
      <c r="K650" s="261"/>
      <c r="L650" s="261"/>
      <c r="M650" s="261"/>
      <c r="N650" s="261"/>
    </row>
    <row r="651" spans="3:14" x14ac:dyDescent="0.2">
      <c r="C651" s="261"/>
      <c r="D651" s="261"/>
      <c r="E651" s="261"/>
      <c r="F651" s="261"/>
      <c r="G651" s="261"/>
      <c r="H651" s="261"/>
      <c r="I651" s="261"/>
      <c r="J651" s="261"/>
      <c r="K651" s="261"/>
      <c r="L651" s="261"/>
      <c r="M651" s="261"/>
      <c r="N651" s="261"/>
    </row>
    <row r="652" spans="3:14" x14ac:dyDescent="0.2">
      <c r="C652" s="261"/>
      <c r="D652" s="261"/>
      <c r="E652" s="261"/>
      <c r="F652" s="261"/>
      <c r="G652" s="261"/>
      <c r="H652" s="261"/>
      <c r="I652" s="261"/>
      <c r="J652" s="261"/>
      <c r="K652" s="261"/>
      <c r="L652" s="261"/>
      <c r="M652" s="261"/>
      <c r="N652" s="261"/>
    </row>
    <row r="653" spans="3:14" x14ac:dyDescent="0.2">
      <c r="C653" s="261"/>
      <c r="D653" s="261"/>
      <c r="E653" s="261"/>
      <c r="F653" s="261"/>
      <c r="G653" s="261"/>
      <c r="H653" s="261"/>
      <c r="I653" s="261"/>
      <c r="J653" s="261"/>
      <c r="K653" s="261"/>
      <c r="L653" s="261"/>
      <c r="M653" s="261"/>
      <c r="N653" s="261"/>
    </row>
    <row r="654" spans="3:14" x14ac:dyDescent="0.2">
      <c r="C654" s="261"/>
      <c r="D654" s="261"/>
      <c r="E654" s="261"/>
      <c r="F654" s="261"/>
      <c r="G654" s="261"/>
      <c r="H654" s="261"/>
      <c r="I654" s="261"/>
      <c r="J654" s="261"/>
      <c r="K654" s="261"/>
      <c r="L654" s="261"/>
      <c r="M654" s="261"/>
      <c r="N654" s="261"/>
    </row>
    <row r="655" spans="3:14" x14ac:dyDescent="0.2">
      <c r="C655" s="261"/>
      <c r="D655" s="261"/>
      <c r="E655" s="261"/>
      <c r="F655" s="261"/>
      <c r="G655" s="261"/>
      <c r="H655" s="261"/>
      <c r="I655" s="261"/>
      <c r="J655" s="261"/>
      <c r="K655" s="261"/>
      <c r="L655" s="261"/>
      <c r="M655" s="261"/>
      <c r="N655" s="261"/>
    </row>
    <row r="656" spans="3:14" x14ac:dyDescent="0.2">
      <c r="C656" s="261"/>
      <c r="D656" s="261"/>
      <c r="E656" s="261"/>
      <c r="F656" s="261"/>
      <c r="G656" s="261"/>
      <c r="H656" s="261"/>
      <c r="I656" s="261"/>
      <c r="J656" s="261"/>
      <c r="K656" s="261"/>
      <c r="L656" s="261"/>
      <c r="M656" s="261"/>
      <c r="N656" s="261"/>
    </row>
    <row r="657" spans="3:14" x14ac:dyDescent="0.2">
      <c r="C657" s="261"/>
      <c r="D657" s="261"/>
      <c r="E657" s="261"/>
      <c r="F657" s="261"/>
      <c r="G657" s="261"/>
      <c r="H657" s="261"/>
      <c r="I657" s="261"/>
      <c r="J657" s="261"/>
      <c r="K657" s="261"/>
      <c r="L657" s="261"/>
      <c r="M657" s="261"/>
      <c r="N657" s="261"/>
    </row>
    <row r="658" spans="3:14" x14ac:dyDescent="0.2">
      <c r="C658" s="261"/>
      <c r="D658" s="261"/>
      <c r="E658" s="261"/>
      <c r="F658" s="261"/>
      <c r="G658" s="261"/>
      <c r="H658" s="261"/>
      <c r="I658" s="261"/>
      <c r="J658" s="261"/>
      <c r="K658" s="261"/>
      <c r="L658" s="261"/>
      <c r="M658" s="261"/>
      <c r="N658" s="261"/>
    </row>
    <row r="659" spans="3:14" x14ac:dyDescent="0.2">
      <c r="C659" s="261"/>
      <c r="D659" s="261"/>
      <c r="E659" s="261"/>
      <c r="F659" s="261"/>
      <c r="G659" s="261"/>
      <c r="H659" s="261"/>
      <c r="I659" s="261"/>
      <c r="J659" s="261"/>
      <c r="K659" s="261"/>
      <c r="L659" s="261"/>
      <c r="M659" s="261"/>
      <c r="N659" s="261"/>
    </row>
    <row r="660" spans="3:14" x14ac:dyDescent="0.2">
      <c r="C660" s="261"/>
      <c r="D660" s="261"/>
      <c r="E660" s="261"/>
      <c r="F660" s="261"/>
      <c r="G660" s="261"/>
      <c r="H660" s="261"/>
      <c r="I660" s="261"/>
      <c r="J660" s="261"/>
      <c r="K660" s="261"/>
      <c r="L660" s="261"/>
      <c r="M660" s="261"/>
      <c r="N660" s="261"/>
    </row>
    <row r="661" spans="3:14" x14ac:dyDescent="0.2">
      <c r="C661" s="261"/>
      <c r="D661" s="261"/>
      <c r="E661" s="261"/>
      <c r="F661" s="261"/>
      <c r="G661" s="261"/>
      <c r="H661" s="261"/>
      <c r="I661" s="261"/>
      <c r="J661" s="261"/>
      <c r="K661" s="261"/>
      <c r="L661" s="261"/>
      <c r="M661" s="261"/>
      <c r="N661" s="261"/>
    </row>
    <row r="662" spans="3:14" x14ac:dyDescent="0.2">
      <c r="C662" s="261"/>
      <c r="D662" s="261"/>
      <c r="E662" s="261"/>
      <c r="F662" s="261"/>
      <c r="G662" s="261"/>
      <c r="H662" s="261"/>
      <c r="I662" s="261"/>
      <c r="J662" s="261"/>
      <c r="K662" s="261"/>
      <c r="L662" s="261"/>
      <c r="M662" s="261"/>
      <c r="N662" s="261"/>
    </row>
    <row r="663" spans="3:14" x14ac:dyDescent="0.2">
      <c r="C663" s="261"/>
      <c r="D663" s="261"/>
      <c r="E663" s="261"/>
      <c r="F663" s="261"/>
      <c r="G663" s="261"/>
      <c r="H663" s="261"/>
      <c r="I663" s="261"/>
      <c r="J663" s="261"/>
      <c r="K663" s="261"/>
      <c r="L663" s="261"/>
      <c r="M663" s="261"/>
      <c r="N663" s="261"/>
    </row>
    <row r="664" spans="3:14" x14ac:dyDescent="0.2">
      <c r="C664" s="261"/>
      <c r="D664" s="261"/>
      <c r="E664" s="261"/>
      <c r="F664" s="261"/>
      <c r="G664" s="261"/>
      <c r="H664" s="261"/>
      <c r="I664" s="261"/>
      <c r="J664" s="261"/>
      <c r="K664" s="261"/>
      <c r="L664" s="261"/>
      <c r="M664" s="261"/>
      <c r="N664" s="261"/>
    </row>
    <row r="665" spans="3:14" x14ac:dyDescent="0.2">
      <c r="C665" s="261"/>
      <c r="D665" s="261"/>
      <c r="E665" s="261"/>
      <c r="F665" s="261"/>
      <c r="G665" s="261"/>
      <c r="H665" s="261"/>
      <c r="I665" s="261"/>
      <c r="J665" s="261"/>
      <c r="K665" s="261"/>
      <c r="L665" s="261"/>
      <c r="M665" s="261"/>
      <c r="N665" s="261"/>
    </row>
    <row r="666" spans="3:14" x14ac:dyDescent="0.2">
      <c r="C666" s="261"/>
      <c r="D666" s="261"/>
      <c r="E666" s="261"/>
      <c r="F666" s="261"/>
      <c r="G666" s="261"/>
      <c r="H666" s="261"/>
      <c r="I666" s="261"/>
      <c r="J666" s="261"/>
      <c r="K666" s="261"/>
      <c r="L666" s="261"/>
      <c r="M666" s="261"/>
      <c r="N666" s="261"/>
    </row>
    <row r="667" spans="3:14" x14ac:dyDescent="0.2">
      <c r="C667" s="261"/>
      <c r="D667" s="261"/>
      <c r="E667" s="261"/>
      <c r="F667" s="261"/>
      <c r="G667" s="261"/>
      <c r="H667" s="261"/>
      <c r="I667" s="261"/>
      <c r="J667" s="261"/>
      <c r="K667" s="261"/>
      <c r="L667" s="261"/>
      <c r="M667" s="261"/>
      <c r="N667" s="261"/>
    </row>
    <row r="668" spans="3:14" x14ac:dyDescent="0.2">
      <c r="C668" s="261"/>
      <c r="D668" s="261"/>
      <c r="E668" s="261"/>
      <c r="F668" s="261"/>
      <c r="G668" s="261"/>
      <c r="H668" s="261"/>
      <c r="I668" s="261"/>
      <c r="J668" s="261"/>
      <c r="K668" s="261"/>
      <c r="L668" s="261"/>
      <c r="M668" s="261"/>
      <c r="N668" s="261"/>
    </row>
    <row r="669" spans="3:14" x14ac:dyDescent="0.2">
      <c r="C669" s="261"/>
      <c r="D669" s="261"/>
      <c r="E669" s="261"/>
      <c r="F669" s="261"/>
      <c r="G669" s="261"/>
      <c r="H669" s="261"/>
      <c r="I669" s="261"/>
      <c r="J669" s="261"/>
      <c r="K669" s="261"/>
      <c r="L669" s="261"/>
      <c r="M669" s="261"/>
      <c r="N669" s="261"/>
    </row>
    <row r="670" spans="3:14" x14ac:dyDescent="0.2">
      <c r="C670" s="261"/>
      <c r="D670" s="261"/>
      <c r="E670" s="261"/>
      <c r="F670" s="261"/>
      <c r="G670" s="261"/>
      <c r="H670" s="261"/>
      <c r="I670" s="261"/>
      <c r="J670" s="261"/>
      <c r="K670" s="261"/>
      <c r="L670" s="261"/>
      <c r="M670" s="261"/>
      <c r="N670" s="261"/>
    </row>
    <row r="671" spans="3:14" x14ac:dyDescent="0.2">
      <c r="C671" s="261"/>
      <c r="D671" s="261"/>
      <c r="E671" s="261"/>
      <c r="F671" s="261"/>
      <c r="G671" s="261"/>
      <c r="H671" s="261"/>
      <c r="I671" s="261"/>
      <c r="J671" s="261"/>
      <c r="K671" s="261"/>
      <c r="L671" s="261"/>
      <c r="M671" s="261"/>
      <c r="N671" s="261"/>
    </row>
    <row r="672" spans="3:14" x14ac:dyDescent="0.2">
      <c r="C672" s="261"/>
      <c r="D672" s="261"/>
      <c r="E672" s="261"/>
      <c r="F672" s="261"/>
      <c r="G672" s="261"/>
      <c r="H672" s="261"/>
      <c r="I672" s="261"/>
      <c r="J672" s="261"/>
      <c r="K672" s="261"/>
      <c r="L672" s="261"/>
      <c r="M672" s="261"/>
      <c r="N672" s="261"/>
    </row>
    <row r="673" spans="3:14" x14ac:dyDescent="0.2">
      <c r="C673" s="261"/>
      <c r="D673" s="261"/>
      <c r="E673" s="261"/>
      <c r="F673" s="261"/>
      <c r="G673" s="261"/>
      <c r="H673" s="261"/>
      <c r="I673" s="261"/>
      <c r="J673" s="261"/>
      <c r="K673" s="261"/>
      <c r="L673" s="261"/>
      <c r="M673" s="261"/>
      <c r="N673" s="261"/>
    </row>
    <row r="674" spans="3:14" x14ac:dyDescent="0.2">
      <c r="C674" s="261"/>
      <c r="D674" s="261"/>
      <c r="E674" s="261"/>
      <c r="F674" s="261"/>
      <c r="G674" s="261"/>
      <c r="H674" s="261"/>
      <c r="I674" s="261"/>
      <c r="J674" s="261"/>
      <c r="K674" s="261"/>
      <c r="L674" s="261"/>
      <c r="M674" s="261"/>
      <c r="N674" s="261"/>
    </row>
    <row r="675" spans="3:14" x14ac:dyDescent="0.2">
      <c r="C675" s="261"/>
      <c r="D675" s="261"/>
      <c r="E675" s="261"/>
      <c r="F675" s="261"/>
      <c r="G675" s="261"/>
      <c r="H675" s="261"/>
      <c r="I675" s="261"/>
      <c r="J675" s="261"/>
      <c r="K675" s="261"/>
      <c r="L675" s="261"/>
      <c r="M675" s="261"/>
      <c r="N675" s="261"/>
    </row>
    <row r="676" spans="3:14" x14ac:dyDescent="0.2">
      <c r="C676" s="261"/>
      <c r="D676" s="261"/>
      <c r="E676" s="261"/>
      <c r="F676" s="261"/>
      <c r="G676" s="261"/>
      <c r="H676" s="261"/>
      <c r="I676" s="261"/>
      <c r="J676" s="261"/>
      <c r="K676" s="261"/>
      <c r="L676" s="261"/>
      <c r="M676" s="261"/>
      <c r="N676" s="261"/>
    </row>
    <row r="677" spans="3:14" x14ac:dyDescent="0.2">
      <c r="C677" s="261"/>
      <c r="D677" s="261"/>
      <c r="E677" s="261"/>
      <c r="F677" s="261"/>
      <c r="G677" s="261"/>
      <c r="H677" s="261"/>
      <c r="I677" s="261"/>
      <c r="J677" s="261"/>
      <c r="K677" s="261"/>
      <c r="L677" s="261"/>
      <c r="M677" s="261"/>
      <c r="N677" s="261"/>
    </row>
    <row r="678" spans="3:14" x14ac:dyDescent="0.2">
      <c r="C678" s="261"/>
      <c r="D678" s="261"/>
      <c r="E678" s="261"/>
      <c r="F678" s="261"/>
      <c r="G678" s="261"/>
      <c r="H678" s="261"/>
      <c r="I678" s="261"/>
      <c r="J678" s="261"/>
      <c r="K678" s="261"/>
      <c r="L678" s="261"/>
      <c r="M678" s="261"/>
      <c r="N678" s="261"/>
    </row>
    <row r="679" spans="3:14" x14ac:dyDescent="0.2">
      <c r="C679" s="261"/>
      <c r="D679" s="261"/>
      <c r="E679" s="261"/>
      <c r="F679" s="261"/>
      <c r="G679" s="261"/>
      <c r="H679" s="261"/>
      <c r="I679" s="261"/>
      <c r="J679" s="261"/>
      <c r="K679" s="261"/>
      <c r="L679" s="261"/>
      <c r="M679" s="261"/>
      <c r="N679" s="261"/>
    </row>
    <row r="680" spans="3:14" x14ac:dyDescent="0.2">
      <c r="C680" s="261"/>
      <c r="D680" s="261"/>
      <c r="E680" s="261"/>
      <c r="F680" s="261"/>
      <c r="G680" s="261"/>
      <c r="H680" s="261"/>
      <c r="I680" s="261"/>
      <c r="J680" s="261"/>
      <c r="K680" s="261"/>
      <c r="L680" s="261"/>
      <c r="M680" s="261"/>
      <c r="N680" s="261"/>
    </row>
    <row r="681" spans="3:14" x14ac:dyDescent="0.2">
      <c r="C681" s="261"/>
      <c r="D681" s="261"/>
      <c r="E681" s="261"/>
      <c r="F681" s="261"/>
      <c r="G681" s="261"/>
      <c r="H681" s="261"/>
      <c r="I681" s="261"/>
      <c r="J681" s="261"/>
      <c r="K681" s="261"/>
      <c r="L681" s="261"/>
      <c r="M681" s="261"/>
      <c r="N681" s="261"/>
    </row>
    <row r="682" spans="3:14" x14ac:dyDescent="0.2">
      <c r="C682" s="261"/>
      <c r="D682" s="261"/>
      <c r="E682" s="261"/>
      <c r="F682" s="261"/>
      <c r="G682" s="261"/>
      <c r="H682" s="261"/>
      <c r="I682" s="261"/>
      <c r="J682" s="261"/>
      <c r="K682" s="261"/>
      <c r="L682" s="261"/>
      <c r="M682" s="261"/>
      <c r="N682" s="261"/>
    </row>
    <row r="683" spans="3:14" x14ac:dyDescent="0.2">
      <c r="C683" s="261"/>
      <c r="D683" s="261"/>
      <c r="E683" s="261"/>
      <c r="F683" s="261"/>
      <c r="G683" s="261"/>
      <c r="H683" s="261"/>
      <c r="I683" s="261"/>
      <c r="J683" s="261"/>
      <c r="K683" s="261"/>
      <c r="L683" s="261"/>
      <c r="M683" s="261"/>
      <c r="N683" s="261"/>
    </row>
    <row r="684" spans="3:14" x14ac:dyDescent="0.2">
      <c r="C684" s="261"/>
      <c r="D684" s="261"/>
      <c r="E684" s="261"/>
      <c r="F684" s="261"/>
      <c r="G684" s="261"/>
      <c r="H684" s="261"/>
      <c r="I684" s="261"/>
      <c r="J684" s="261"/>
      <c r="K684" s="261"/>
      <c r="L684" s="261"/>
      <c r="M684" s="261"/>
      <c r="N684" s="261"/>
    </row>
    <row r="685" spans="3:14" x14ac:dyDescent="0.2">
      <c r="C685" s="261"/>
      <c r="D685" s="261"/>
      <c r="E685" s="261"/>
      <c r="F685" s="261"/>
      <c r="G685" s="261"/>
      <c r="H685" s="261"/>
      <c r="I685" s="261"/>
      <c r="J685" s="261"/>
      <c r="K685" s="261"/>
      <c r="L685" s="261"/>
      <c r="M685" s="261"/>
      <c r="N685" s="261"/>
    </row>
    <row r="686" spans="3:14" x14ac:dyDescent="0.2">
      <c r="C686" s="261"/>
      <c r="D686" s="261"/>
      <c r="E686" s="261"/>
      <c r="F686" s="261"/>
      <c r="G686" s="261"/>
      <c r="H686" s="261"/>
      <c r="I686" s="261"/>
      <c r="J686" s="261"/>
      <c r="K686" s="261"/>
      <c r="L686" s="261"/>
      <c r="M686" s="261"/>
      <c r="N686" s="261"/>
    </row>
    <row r="687" spans="3:14" x14ac:dyDescent="0.2">
      <c r="C687" s="261"/>
      <c r="D687" s="261"/>
      <c r="E687" s="261"/>
      <c r="F687" s="261"/>
      <c r="G687" s="261"/>
      <c r="H687" s="261"/>
      <c r="I687" s="261"/>
      <c r="J687" s="261"/>
      <c r="K687" s="261"/>
      <c r="L687" s="261"/>
      <c r="M687" s="261"/>
      <c r="N687" s="261"/>
    </row>
    <row r="688" spans="3:14" x14ac:dyDescent="0.2">
      <c r="C688" s="261"/>
      <c r="D688" s="261"/>
      <c r="E688" s="261"/>
      <c r="F688" s="261"/>
      <c r="G688" s="261"/>
      <c r="H688" s="261"/>
      <c r="I688" s="261"/>
      <c r="J688" s="261"/>
      <c r="K688" s="261"/>
      <c r="L688" s="261"/>
      <c r="M688" s="261"/>
      <c r="N688" s="261"/>
    </row>
    <row r="689" spans="3:14" x14ac:dyDescent="0.2">
      <c r="C689" s="261"/>
      <c r="D689" s="261"/>
      <c r="E689" s="261"/>
      <c r="F689" s="261"/>
      <c r="G689" s="261"/>
      <c r="H689" s="261"/>
      <c r="I689" s="261"/>
      <c r="J689" s="261"/>
      <c r="K689" s="261"/>
      <c r="L689" s="261"/>
      <c r="M689" s="261"/>
      <c r="N689" s="261"/>
    </row>
    <row r="690" spans="3:14" x14ac:dyDescent="0.2">
      <c r="C690" s="261"/>
      <c r="D690" s="261"/>
      <c r="E690" s="261"/>
      <c r="F690" s="261"/>
      <c r="G690" s="261"/>
      <c r="H690" s="261"/>
      <c r="I690" s="261"/>
      <c r="J690" s="261"/>
      <c r="K690" s="261"/>
      <c r="L690" s="261"/>
      <c r="M690" s="261"/>
      <c r="N690" s="261"/>
    </row>
    <row r="691" spans="3:14" x14ac:dyDescent="0.2">
      <c r="C691" s="261"/>
      <c r="D691" s="261"/>
      <c r="E691" s="261"/>
      <c r="F691" s="261"/>
      <c r="G691" s="261"/>
      <c r="H691" s="261"/>
      <c r="I691" s="261"/>
      <c r="J691" s="261"/>
      <c r="K691" s="261"/>
      <c r="L691" s="261"/>
      <c r="M691" s="261"/>
      <c r="N691" s="261"/>
    </row>
    <row r="692" spans="3:14" x14ac:dyDescent="0.2">
      <c r="C692" s="261"/>
      <c r="D692" s="261"/>
      <c r="E692" s="261"/>
      <c r="F692" s="261"/>
      <c r="G692" s="261"/>
      <c r="H692" s="261"/>
      <c r="I692" s="261"/>
      <c r="J692" s="261"/>
      <c r="K692" s="261"/>
      <c r="L692" s="261"/>
      <c r="M692" s="261"/>
      <c r="N692" s="261"/>
    </row>
    <row r="693" spans="3:14" x14ac:dyDescent="0.2">
      <c r="C693" s="261"/>
      <c r="D693" s="261"/>
      <c r="E693" s="261"/>
      <c r="F693" s="261"/>
      <c r="G693" s="261"/>
      <c r="H693" s="261"/>
      <c r="I693" s="261"/>
      <c r="J693" s="261"/>
      <c r="K693" s="261"/>
      <c r="L693" s="261"/>
      <c r="M693" s="261"/>
      <c r="N693" s="261"/>
    </row>
    <row r="694" spans="3:14" x14ac:dyDescent="0.2">
      <c r="C694" s="261"/>
      <c r="D694" s="261"/>
      <c r="E694" s="261"/>
      <c r="F694" s="261"/>
      <c r="G694" s="261"/>
      <c r="H694" s="261"/>
      <c r="I694" s="261"/>
      <c r="J694" s="261"/>
      <c r="K694" s="261"/>
      <c r="L694" s="261"/>
      <c r="M694" s="261"/>
      <c r="N694" s="261"/>
    </row>
    <row r="695" spans="3:14" x14ac:dyDescent="0.2">
      <c r="C695" s="261"/>
      <c r="D695" s="261"/>
      <c r="E695" s="261"/>
      <c r="F695" s="261"/>
      <c r="G695" s="261"/>
      <c r="H695" s="261"/>
      <c r="I695" s="261"/>
      <c r="J695" s="261"/>
      <c r="K695" s="261"/>
      <c r="L695" s="261"/>
      <c r="M695" s="261"/>
      <c r="N695" s="261"/>
    </row>
    <row r="696" spans="3:14" x14ac:dyDescent="0.2">
      <c r="C696" s="261"/>
      <c r="D696" s="261"/>
      <c r="E696" s="261"/>
      <c r="F696" s="261"/>
      <c r="G696" s="261"/>
      <c r="H696" s="261"/>
      <c r="I696" s="261"/>
      <c r="J696" s="261"/>
      <c r="K696" s="261"/>
      <c r="L696" s="261"/>
      <c r="M696" s="261"/>
      <c r="N696" s="261"/>
    </row>
    <row r="697" spans="3:14" x14ac:dyDescent="0.2">
      <c r="C697" s="261"/>
      <c r="D697" s="261"/>
      <c r="E697" s="261"/>
      <c r="F697" s="261"/>
      <c r="G697" s="261"/>
      <c r="H697" s="261"/>
      <c r="I697" s="261"/>
      <c r="J697" s="261"/>
      <c r="K697" s="261"/>
      <c r="L697" s="261"/>
      <c r="M697" s="261"/>
      <c r="N697" s="261"/>
    </row>
    <row r="698" spans="3:14" x14ac:dyDescent="0.2">
      <c r="C698" s="261"/>
      <c r="D698" s="261"/>
      <c r="E698" s="261"/>
      <c r="F698" s="261"/>
      <c r="G698" s="261"/>
      <c r="H698" s="261"/>
      <c r="I698" s="261"/>
      <c r="J698" s="261"/>
      <c r="K698" s="261"/>
      <c r="L698" s="261"/>
      <c r="M698" s="261"/>
      <c r="N698" s="261"/>
    </row>
    <row r="699" spans="3:14" x14ac:dyDescent="0.2">
      <c r="C699" s="261"/>
      <c r="D699" s="261"/>
      <c r="E699" s="261"/>
      <c r="F699" s="261"/>
      <c r="G699" s="261"/>
      <c r="H699" s="261"/>
      <c r="I699" s="261"/>
      <c r="J699" s="261"/>
      <c r="K699" s="261"/>
      <c r="L699" s="261"/>
      <c r="M699" s="261"/>
      <c r="N699" s="261"/>
    </row>
    <row r="700" spans="3:14" x14ac:dyDescent="0.2">
      <c r="C700" s="261"/>
      <c r="D700" s="261"/>
      <c r="E700" s="261"/>
      <c r="F700" s="261"/>
      <c r="G700" s="261"/>
      <c r="H700" s="261"/>
      <c r="I700" s="261"/>
      <c r="J700" s="261"/>
      <c r="K700" s="261"/>
      <c r="L700" s="261"/>
      <c r="M700" s="261"/>
      <c r="N700" s="261"/>
    </row>
    <row r="701" spans="3:14" x14ac:dyDescent="0.2">
      <c r="C701" s="261"/>
      <c r="D701" s="261"/>
      <c r="E701" s="261"/>
      <c r="F701" s="261"/>
      <c r="G701" s="261"/>
      <c r="H701" s="261"/>
      <c r="I701" s="261"/>
      <c r="J701" s="261"/>
      <c r="K701" s="261"/>
      <c r="L701" s="261"/>
      <c r="M701" s="261"/>
      <c r="N701" s="261"/>
    </row>
    <row r="702" spans="3:14" x14ac:dyDescent="0.2">
      <c r="C702" s="261"/>
      <c r="D702" s="261"/>
      <c r="E702" s="261"/>
      <c r="F702" s="261"/>
      <c r="G702" s="261"/>
      <c r="H702" s="261"/>
      <c r="I702" s="261"/>
      <c r="J702" s="261"/>
      <c r="K702" s="261"/>
      <c r="L702" s="261"/>
      <c r="M702" s="261"/>
      <c r="N702" s="261"/>
    </row>
    <row r="703" spans="3:14" x14ac:dyDescent="0.2">
      <c r="C703" s="261"/>
      <c r="D703" s="261"/>
      <c r="E703" s="261"/>
      <c r="F703" s="261"/>
      <c r="G703" s="261"/>
      <c r="H703" s="261"/>
      <c r="I703" s="261"/>
      <c r="J703" s="261"/>
      <c r="K703" s="261"/>
      <c r="L703" s="261"/>
      <c r="M703" s="261"/>
      <c r="N703" s="261"/>
    </row>
    <row r="704" spans="3:14" x14ac:dyDescent="0.2">
      <c r="C704" s="261"/>
      <c r="D704" s="261"/>
      <c r="E704" s="261"/>
      <c r="F704" s="261"/>
      <c r="G704" s="261"/>
      <c r="H704" s="261"/>
      <c r="I704" s="261"/>
      <c r="J704" s="261"/>
      <c r="K704" s="261"/>
      <c r="L704" s="261"/>
      <c r="M704" s="261"/>
      <c r="N704" s="261"/>
    </row>
    <row r="705" spans="3:14" x14ac:dyDescent="0.2">
      <c r="C705" s="261"/>
      <c r="D705" s="261"/>
      <c r="E705" s="261"/>
      <c r="F705" s="261"/>
      <c r="G705" s="261"/>
      <c r="H705" s="261"/>
      <c r="I705" s="261"/>
      <c r="J705" s="261"/>
      <c r="K705" s="261"/>
      <c r="L705" s="261"/>
      <c r="M705" s="261"/>
      <c r="N705" s="261"/>
    </row>
    <row r="706" spans="3:14" x14ac:dyDescent="0.2">
      <c r="C706" s="261"/>
      <c r="D706" s="261"/>
      <c r="E706" s="261"/>
      <c r="F706" s="261"/>
      <c r="G706" s="261"/>
      <c r="H706" s="261"/>
      <c r="I706" s="261"/>
      <c r="J706" s="261"/>
      <c r="K706" s="261"/>
      <c r="L706" s="261"/>
      <c r="M706" s="261"/>
      <c r="N706" s="261"/>
    </row>
    <row r="707" spans="3:14" x14ac:dyDescent="0.2">
      <c r="C707" s="261"/>
      <c r="D707" s="261"/>
      <c r="E707" s="261"/>
      <c r="F707" s="261"/>
      <c r="G707" s="261"/>
      <c r="H707" s="261"/>
      <c r="I707" s="261"/>
      <c r="J707" s="261"/>
      <c r="K707" s="261"/>
      <c r="L707" s="261"/>
      <c r="M707" s="261"/>
      <c r="N707" s="261"/>
    </row>
    <row r="708" spans="3:14" x14ac:dyDescent="0.2">
      <c r="C708" s="261"/>
      <c r="D708" s="261"/>
      <c r="E708" s="261"/>
      <c r="F708" s="261"/>
      <c r="G708" s="261"/>
      <c r="H708" s="261"/>
      <c r="I708" s="261"/>
      <c r="J708" s="261"/>
      <c r="K708" s="261"/>
      <c r="L708" s="261"/>
      <c r="M708" s="261"/>
      <c r="N708" s="261"/>
    </row>
    <row r="709" spans="3:14" x14ac:dyDescent="0.2">
      <c r="C709" s="261"/>
      <c r="D709" s="261"/>
      <c r="E709" s="261"/>
      <c r="F709" s="261"/>
      <c r="G709" s="261"/>
      <c r="H709" s="261"/>
      <c r="I709" s="261"/>
      <c r="J709" s="261"/>
      <c r="K709" s="261"/>
      <c r="L709" s="261"/>
      <c r="M709" s="261"/>
      <c r="N709" s="261"/>
    </row>
    <row r="710" spans="3:14" x14ac:dyDescent="0.2">
      <c r="C710" s="261"/>
      <c r="D710" s="261"/>
      <c r="E710" s="261"/>
      <c r="F710" s="261"/>
      <c r="G710" s="261"/>
      <c r="H710" s="261"/>
      <c r="I710" s="261"/>
      <c r="J710" s="261"/>
      <c r="K710" s="261"/>
      <c r="L710" s="261"/>
      <c r="M710" s="261"/>
      <c r="N710" s="261"/>
    </row>
    <row r="711" spans="3:14" x14ac:dyDescent="0.2">
      <c r="C711" s="261"/>
      <c r="D711" s="261"/>
      <c r="E711" s="261"/>
      <c r="F711" s="261"/>
      <c r="G711" s="261"/>
      <c r="H711" s="261"/>
      <c r="I711" s="261"/>
      <c r="J711" s="261"/>
      <c r="K711" s="261"/>
      <c r="L711" s="261"/>
      <c r="M711" s="261"/>
      <c r="N711" s="261"/>
    </row>
    <row r="712" spans="3:14" x14ac:dyDescent="0.2">
      <c r="C712" s="261"/>
      <c r="D712" s="261"/>
      <c r="E712" s="261"/>
      <c r="F712" s="261"/>
      <c r="G712" s="261"/>
      <c r="H712" s="261"/>
      <c r="I712" s="261"/>
      <c r="J712" s="261"/>
      <c r="K712" s="261"/>
      <c r="L712" s="261"/>
      <c r="M712" s="261"/>
      <c r="N712" s="261"/>
    </row>
    <row r="713" spans="3:14" x14ac:dyDescent="0.2">
      <c r="C713" s="261"/>
      <c r="D713" s="261"/>
      <c r="E713" s="261"/>
      <c r="F713" s="261"/>
      <c r="G713" s="261"/>
      <c r="H713" s="261"/>
      <c r="I713" s="261"/>
      <c r="J713" s="261"/>
      <c r="K713" s="261"/>
      <c r="L713" s="261"/>
      <c r="M713" s="261"/>
      <c r="N713" s="261"/>
    </row>
    <row r="714" spans="3:14" x14ac:dyDescent="0.2">
      <c r="C714" s="261"/>
      <c r="D714" s="261"/>
      <c r="E714" s="261"/>
      <c r="F714" s="261"/>
      <c r="G714" s="261"/>
      <c r="H714" s="261"/>
      <c r="I714" s="261"/>
      <c r="J714" s="261"/>
      <c r="K714" s="261"/>
      <c r="L714" s="261"/>
      <c r="M714" s="261"/>
      <c r="N714" s="261"/>
    </row>
    <row r="715" spans="3:14" x14ac:dyDescent="0.2">
      <c r="C715" s="261"/>
      <c r="D715" s="261"/>
      <c r="E715" s="261"/>
      <c r="F715" s="261"/>
      <c r="G715" s="261"/>
      <c r="H715" s="261"/>
      <c r="I715" s="261"/>
      <c r="J715" s="261"/>
      <c r="K715" s="261"/>
      <c r="L715" s="261"/>
      <c r="M715" s="261"/>
      <c r="N715" s="261"/>
    </row>
    <row r="716" spans="3:14" x14ac:dyDescent="0.2">
      <c r="C716" s="261"/>
      <c r="D716" s="261"/>
      <c r="E716" s="261"/>
      <c r="F716" s="261"/>
      <c r="G716" s="261"/>
      <c r="H716" s="261"/>
      <c r="I716" s="261"/>
      <c r="J716" s="261"/>
      <c r="K716" s="261"/>
      <c r="L716" s="261"/>
      <c r="M716" s="261"/>
      <c r="N716" s="261"/>
    </row>
    <row r="717" spans="3:14" x14ac:dyDescent="0.2">
      <c r="C717" s="261"/>
      <c r="D717" s="261"/>
      <c r="E717" s="261"/>
      <c r="F717" s="261"/>
      <c r="G717" s="261"/>
      <c r="H717" s="261"/>
      <c r="I717" s="261"/>
      <c r="J717" s="261"/>
      <c r="K717" s="261"/>
      <c r="L717" s="261"/>
      <c r="M717" s="261"/>
      <c r="N717" s="261"/>
    </row>
    <row r="718" spans="3:14" x14ac:dyDescent="0.2">
      <c r="C718" s="261"/>
      <c r="D718" s="261"/>
      <c r="E718" s="261"/>
      <c r="F718" s="261"/>
      <c r="G718" s="261"/>
      <c r="H718" s="261"/>
      <c r="I718" s="261"/>
      <c r="J718" s="261"/>
      <c r="K718" s="261"/>
      <c r="L718" s="261"/>
      <c r="M718" s="261"/>
      <c r="N718" s="261"/>
    </row>
    <row r="719" spans="3:14" x14ac:dyDescent="0.2">
      <c r="C719" s="261"/>
      <c r="D719" s="261"/>
      <c r="E719" s="261"/>
      <c r="F719" s="261"/>
      <c r="G719" s="261"/>
      <c r="H719" s="261"/>
      <c r="I719" s="261"/>
      <c r="J719" s="261"/>
      <c r="K719" s="261"/>
      <c r="L719" s="261"/>
      <c r="M719" s="261"/>
      <c r="N719" s="261"/>
    </row>
    <row r="720" spans="3:14" x14ac:dyDescent="0.2">
      <c r="C720" s="261"/>
      <c r="D720" s="261"/>
      <c r="E720" s="261"/>
      <c r="F720" s="261"/>
      <c r="G720" s="261"/>
      <c r="H720" s="261"/>
      <c r="I720" s="261"/>
      <c r="J720" s="261"/>
      <c r="K720" s="261"/>
      <c r="L720" s="261"/>
      <c r="M720" s="261"/>
      <c r="N720" s="261"/>
    </row>
    <row r="721" spans="3:14" x14ac:dyDescent="0.2">
      <c r="C721" s="261"/>
      <c r="D721" s="261"/>
      <c r="E721" s="261"/>
      <c r="F721" s="261"/>
      <c r="G721" s="261"/>
      <c r="H721" s="261"/>
      <c r="I721" s="261"/>
      <c r="J721" s="261"/>
      <c r="K721" s="261"/>
      <c r="L721" s="261"/>
      <c r="M721" s="261"/>
      <c r="N721" s="261"/>
    </row>
    <row r="722" spans="3:14" x14ac:dyDescent="0.2">
      <c r="C722" s="261"/>
      <c r="D722" s="261"/>
      <c r="E722" s="261"/>
      <c r="F722" s="261"/>
      <c r="G722" s="261"/>
      <c r="H722" s="261"/>
      <c r="I722" s="261"/>
      <c r="J722" s="261"/>
      <c r="K722" s="261"/>
      <c r="L722" s="261"/>
      <c r="M722" s="261"/>
      <c r="N722" s="261"/>
    </row>
    <row r="723" spans="3:14" x14ac:dyDescent="0.2">
      <c r="C723" s="261"/>
      <c r="D723" s="261"/>
      <c r="E723" s="261"/>
      <c r="F723" s="261"/>
      <c r="G723" s="261"/>
      <c r="H723" s="261"/>
      <c r="I723" s="261"/>
      <c r="J723" s="261"/>
      <c r="K723" s="261"/>
      <c r="L723" s="261"/>
      <c r="M723" s="261"/>
      <c r="N723" s="261"/>
    </row>
    <row r="724" spans="3:14" x14ac:dyDescent="0.2">
      <c r="C724" s="261"/>
      <c r="D724" s="261"/>
      <c r="E724" s="261"/>
      <c r="F724" s="261"/>
      <c r="G724" s="261"/>
      <c r="H724" s="261"/>
      <c r="I724" s="261"/>
      <c r="J724" s="261"/>
      <c r="K724" s="261"/>
      <c r="L724" s="261"/>
      <c r="M724" s="261"/>
      <c r="N724" s="261"/>
    </row>
    <row r="725" spans="3:14" x14ac:dyDescent="0.2">
      <c r="C725" s="261"/>
      <c r="D725" s="261"/>
      <c r="E725" s="261"/>
      <c r="F725" s="261"/>
      <c r="G725" s="261"/>
      <c r="H725" s="261"/>
      <c r="I725" s="261"/>
      <c r="J725" s="261"/>
      <c r="K725" s="261"/>
      <c r="L725" s="261"/>
      <c r="M725" s="261"/>
      <c r="N725" s="261"/>
    </row>
    <row r="726" spans="3:14" x14ac:dyDescent="0.2">
      <c r="C726" s="261"/>
      <c r="D726" s="261"/>
      <c r="E726" s="261"/>
      <c r="F726" s="261"/>
      <c r="G726" s="261"/>
      <c r="H726" s="261"/>
      <c r="I726" s="261"/>
      <c r="J726" s="261"/>
      <c r="K726" s="261"/>
      <c r="L726" s="261"/>
      <c r="M726" s="261"/>
      <c r="N726" s="261"/>
    </row>
    <row r="727" spans="3:14" x14ac:dyDescent="0.2">
      <c r="C727" s="261"/>
      <c r="D727" s="261"/>
      <c r="E727" s="261"/>
      <c r="F727" s="261"/>
      <c r="G727" s="261"/>
      <c r="H727" s="261"/>
      <c r="I727" s="261"/>
      <c r="J727" s="261"/>
      <c r="K727" s="261"/>
      <c r="L727" s="261"/>
      <c r="M727" s="261"/>
      <c r="N727" s="261"/>
    </row>
    <row r="728" spans="3:14" x14ac:dyDescent="0.2">
      <c r="C728" s="261"/>
      <c r="D728" s="261"/>
      <c r="E728" s="261"/>
      <c r="F728" s="261"/>
      <c r="G728" s="261"/>
      <c r="H728" s="261"/>
      <c r="I728" s="261"/>
      <c r="J728" s="261"/>
      <c r="K728" s="261"/>
      <c r="L728" s="261"/>
      <c r="M728" s="261"/>
      <c r="N728" s="261"/>
    </row>
    <row r="729" spans="3:14" x14ac:dyDescent="0.2">
      <c r="C729" s="261"/>
      <c r="D729" s="261"/>
      <c r="E729" s="261"/>
      <c r="F729" s="261"/>
      <c r="G729" s="261"/>
      <c r="H729" s="261"/>
      <c r="I729" s="261"/>
      <c r="J729" s="261"/>
      <c r="K729" s="261"/>
      <c r="L729" s="261"/>
      <c r="M729" s="261"/>
      <c r="N729" s="261"/>
    </row>
    <row r="730" spans="3:14" x14ac:dyDescent="0.2">
      <c r="C730" s="261"/>
      <c r="D730" s="261"/>
      <c r="E730" s="261"/>
      <c r="F730" s="261"/>
      <c r="G730" s="261"/>
      <c r="H730" s="261"/>
      <c r="I730" s="261"/>
      <c r="J730" s="261"/>
      <c r="K730" s="261"/>
      <c r="L730" s="261"/>
      <c r="M730" s="261"/>
      <c r="N730" s="261"/>
    </row>
    <row r="731" spans="3:14" x14ac:dyDescent="0.2">
      <c r="C731" s="261"/>
      <c r="D731" s="261"/>
      <c r="E731" s="261"/>
      <c r="F731" s="261"/>
      <c r="G731" s="261"/>
      <c r="H731" s="261"/>
      <c r="I731" s="261"/>
      <c r="J731" s="261"/>
      <c r="K731" s="261"/>
      <c r="L731" s="261"/>
      <c r="M731" s="261"/>
      <c r="N731" s="261"/>
    </row>
    <row r="732" spans="3:14" x14ac:dyDescent="0.2">
      <c r="C732" s="261"/>
      <c r="D732" s="261"/>
      <c r="E732" s="261"/>
      <c r="F732" s="261"/>
      <c r="G732" s="261"/>
      <c r="H732" s="261"/>
      <c r="I732" s="261"/>
      <c r="J732" s="261"/>
      <c r="K732" s="261"/>
      <c r="L732" s="261"/>
      <c r="M732" s="261"/>
      <c r="N732" s="261"/>
    </row>
    <row r="733" spans="3:14" x14ac:dyDescent="0.2">
      <c r="C733" s="261"/>
      <c r="D733" s="261"/>
      <c r="E733" s="261"/>
      <c r="F733" s="261"/>
      <c r="G733" s="261"/>
      <c r="H733" s="261"/>
      <c r="I733" s="261"/>
      <c r="J733" s="261"/>
      <c r="K733" s="261"/>
      <c r="L733" s="261"/>
      <c r="M733" s="261"/>
      <c r="N733" s="261"/>
    </row>
    <row r="734" spans="3:14" x14ac:dyDescent="0.2">
      <c r="C734" s="261"/>
      <c r="D734" s="261"/>
      <c r="E734" s="261"/>
      <c r="F734" s="261"/>
      <c r="G734" s="261"/>
      <c r="H734" s="261"/>
      <c r="I734" s="261"/>
      <c r="J734" s="261"/>
      <c r="K734" s="261"/>
      <c r="L734" s="261"/>
      <c r="M734" s="261"/>
      <c r="N734" s="261"/>
    </row>
    <row r="735" spans="3:14" x14ac:dyDescent="0.2">
      <c r="C735" s="261"/>
      <c r="D735" s="261"/>
      <c r="E735" s="261"/>
      <c r="F735" s="261"/>
      <c r="G735" s="261"/>
      <c r="H735" s="261"/>
      <c r="I735" s="261"/>
      <c r="J735" s="261"/>
      <c r="K735" s="261"/>
      <c r="L735" s="261"/>
      <c r="M735" s="261"/>
      <c r="N735" s="261"/>
    </row>
    <row r="736" spans="3:14" x14ac:dyDescent="0.2">
      <c r="C736" s="261"/>
      <c r="D736" s="261"/>
      <c r="E736" s="261"/>
      <c r="F736" s="261"/>
      <c r="G736" s="261"/>
      <c r="H736" s="261"/>
      <c r="I736" s="261"/>
      <c r="J736" s="261"/>
      <c r="K736" s="261"/>
      <c r="L736" s="261"/>
      <c r="M736" s="261"/>
      <c r="N736" s="261"/>
    </row>
    <row r="737" spans="3:14" x14ac:dyDescent="0.2">
      <c r="C737" s="261"/>
      <c r="D737" s="261"/>
      <c r="E737" s="261"/>
      <c r="F737" s="261"/>
      <c r="G737" s="261"/>
      <c r="H737" s="261"/>
      <c r="I737" s="261"/>
      <c r="J737" s="261"/>
      <c r="K737" s="261"/>
      <c r="L737" s="261"/>
      <c r="M737" s="261"/>
      <c r="N737" s="261"/>
    </row>
    <row r="738" spans="3:14" x14ac:dyDescent="0.2">
      <c r="C738" s="261"/>
      <c r="D738" s="261"/>
      <c r="E738" s="261"/>
      <c r="F738" s="261"/>
      <c r="G738" s="261"/>
      <c r="H738" s="261"/>
      <c r="I738" s="261"/>
      <c r="J738" s="261"/>
      <c r="K738" s="261"/>
      <c r="L738" s="261"/>
      <c r="M738" s="261"/>
      <c r="N738" s="261"/>
    </row>
    <row r="739" spans="3:14" x14ac:dyDescent="0.2">
      <c r="C739" s="261"/>
      <c r="D739" s="261"/>
      <c r="E739" s="261"/>
      <c r="F739" s="261"/>
      <c r="G739" s="261"/>
      <c r="H739" s="261"/>
      <c r="I739" s="261"/>
      <c r="J739" s="261"/>
      <c r="K739" s="261"/>
      <c r="L739" s="261"/>
      <c r="M739" s="261"/>
      <c r="N739" s="261"/>
    </row>
    <row r="740" spans="3:14" x14ac:dyDescent="0.2">
      <c r="C740" s="261"/>
      <c r="D740" s="261"/>
      <c r="E740" s="261"/>
      <c r="F740" s="261"/>
      <c r="G740" s="261"/>
      <c r="H740" s="261"/>
      <c r="I740" s="261"/>
      <c r="J740" s="261"/>
      <c r="K740" s="261"/>
      <c r="L740" s="261"/>
      <c r="M740" s="261"/>
      <c r="N740" s="261"/>
    </row>
    <row r="741" spans="3:14" x14ac:dyDescent="0.2">
      <c r="C741" s="261"/>
      <c r="D741" s="261"/>
      <c r="E741" s="261"/>
      <c r="F741" s="261"/>
      <c r="G741" s="261"/>
      <c r="H741" s="261"/>
      <c r="I741" s="261"/>
      <c r="J741" s="261"/>
      <c r="K741" s="261"/>
      <c r="L741" s="261"/>
      <c r="M741" s="261"/>
      <c r="N741" s="261"/>
    </row>
    <row r="742" spans="3:14" x14ac:dyDescent="0.2">
      <c r="C742" s="261"/>
      <c r="D742" s="261"/>
      <c r="E742" s="261"/>
      <c r="F742" s="261"/>
      <c r="G742" s="261"/>
      <c r="H742" s="261"/>
      <c r="I742" s="261"/>
      <c r="J742" s="261"/>
      <c r="K742" s="261"/>
      <c r="L742" s="261"/>
      <c r="M742" s="261"/>
      <c r="N742" s="261"/>
    </row>
    <row r="743" spans="3:14" x14ac:dyDescent="0.2">
      <c r="C743" s="261"/>
      <c r="D743" s="261"/>
      <c r="E743" s="261"/>
      <c r="F743" s="261"/>
      <c r="G743" s="261"/>
      <c r="H743" s="261"/>
      <c r="I743" s="261"/>
      <c r="J743" s="261"/>
      <c r="K743" s="261"/>
      <c r="L743" s="261"/>
      <c r="M743" s="261"/>
      <c r="N743" s="261"/>
    </row>
    <row r="744" spans="3:14" x14ac:dyDescent="0.2">
      <c r="C744" s="261"/>
      <c r="D744" s="261"/>
      <c r="E744" s="261"/>
      <c r="F744" s="261"/>
      <c r="G744" s="261"/>
      <c r="H744" s="261"/>
      <c r="I744" s="261"/>
      <c r="J744" s="261"/>
      <c r="K744" s="261"/>
      <c r="L744" s="261"/>
      <c r="M744" s="261"/>
      <c r="N744" s="261"/>
    </row>
    <row r="745" spans="3:14" x14ac:dyDescent="0.2">
      <c r="C745" s="261"/>
      <c r="D745" s="261"/>
      <c r="E745" s="261"/>
      <c r="F745" s="261"/>
      <c r="G745" s="261"/>
      <c r="H745" s="261"/>
      <c r="I745" s="261"/>
      <c r="J745" s="261"/>
      <c r="K745" s="261"/>
      <c r="L745" s="261"/>
      <c r="M745" s="261"/>
      <c r="N745" s="261"/>
    </row>
    <row r="746" spans="3:14" x14ac:dyDescent="0.2">
      <c r="C746" s="261"/>
      <c r="D746" s="261"/>
      <c r="E746" s="261"/>
      <c r="F746" s="261"/>
      <c r="G746" s="261"/>
      <c r="H746" s="261"/>
      <c r="I746" s="261"/>
      <c r="J746" s="261"/>
      <c r="K746" s="261"/>
      <c r="L746" s="261"/>
      <c r="M746" s="261"/>
      <c r="N746" s="261"/>
    </row>
    <row r="747" spans="3:14" x14ac:dyDescent="0.2">
      <c r="C747" s="261"/>
      <c r="D747" s="261"/>
      <c r="E747" s="261"/>
      <c r="F747" s="261"/>
      <c r="G747" s="261"/>
      <c r="H747" s="261"/>
      <c r="I747" s="261"/>
      <c r="J747" s="261"/>
      <c r="K747" s="261"/>
      <c r="L747" s="261"/>
      <c r="M747" s="261"/>
      <c r="N747" s="261"/>
    </row>
    <row r="748" spans="3:14" x14ac:dyDescent="0.2">
      <c r="C748" s="261"/>
      <c r="D748" s="261"/>
      <c r="E748" s="261"/>
      <c r="F748" s="261"/>
      <c r="G748" s="261"/>
      <c r="H748" s="261"/>
      <c r="I748" s="261"/>
      <c r="J748" s="261"/>
      <c r="K748" s="261"/>
      <c r="L748" s="261"/>
      <c r="M748" s="261"/>
      <c r="N748" s="261"/>
    </row>
    <row r="749" spans="3:14" x14ac:dyDescent="0.2">
      <c r="C749" s="261"/>
      <c r="D749" s="261"/>
      <c r="E749" s="261"/>
      <c r="F749" s="261"/>
      <c r="G749" s="261"/>
      <c r="H749" s="261"/>
      <c r="I749" s="261"/>
      <c r="J749" s="261"/>
      <c r="K749" s="261"/>
      <c r="L749" s="261"/>
      <c r="M749" s="261"/>
      <c r="N749" s="261"/>
    </row>
    <row r="750" spans="3:14" x14ac:dyDescent="0.2">
      <c r="C750" s="261"/>
      <c r="D750" s="261"/>
      <c r="E750" s="261"/>
      <c r="F750" s="261"/>
      <c r="G750" s="261"/>
      <c r="H750" s="261"/>
      <c r="I750" s="261"/>
      <c r="J750" s="261"/>
      <c r="K750" s="261"/>
      <c r="L750" s="261"/>
      <c r="M750" s="261"/>
      <c r="N750" s="261"/>
    </row>
    <row r="751" spans="3:14" x14ac:dyDescent="0.2">
      <c r="C751" s="261"/>
      <c r="D751" s="261"/>
      <c r="E751" s="261"/>
      <c r="F751" s="261"/>
      <c r="G751" s="261"/>
      <c r="H751" s="261"/>
      <c r="I751" s="261"/>
      <c r="J751" s="261"/>
      <c r="K751" s="261"/>
      <c r="L751" s="261"/>
      <c r="M751" s="261"/>
      <c r="N751" s="261"/>
    </row>
    <row r="752" spans="3:14" x14ac:dyDescent="0.2">
      <c r="C752" s="261"/>
      <c r="D752" s="261"/>
      <c r="E752" s="261"/>
      <c r="F752" s="261"/>
      <c r="G752" s="261"/>
      <c r="H752" s="261"/>
      <c r="I752" s="261"/>
      <c r="J752" s="261"/>
      <c r="K752" s="261"/>
      <c r="L752" s="261"/>
      <c r="M752" s="261"/>
      <c r="N752" s="261"/>
    </row>
    <row r="753" spans="3:14" x14ac:dyDescent="0.2">
      <c r="C753" s="261"/>
      <c r="D753" s="261"/>
      <c r="E753" s="261"/>
      <c r="F753" s="261"/>
      <c r="G753" s="261"/>
      <c r="H753" s="261"/>
      <c r="I753" s="261"/>
      <c r="J753" s="261"/>
      <c r="K753" s="261"/>
      <c r="L753" s="261"/>
      <c r="M753" s="261"/>
      <c r="N753" s="261"/>
    </row>
    <row r="754" spans="3:14" x14ac:dyDescent="0.2">
      <c r="C754" s="261"/>
      <c r="D754" s="261"/>
      <c r="E754" s="261"/>
      <c r="F754" s="261"/>
      <c r="G754" s="261"/>
      <c r="H754" s="261"/>
      <c r="I754" s="261"/>
      <c r="J754" s="261"/>
      <c r="K754" s="261"/>
      <c r="L754" s="261"/>
      <c r="M754" s="261"/>
      <c r="N754" s="261"/>
    </row>
    <row r="755" spans="3:14" x14ac:dyDescent="0.2">
      <c r="C755" s="261"/>
      <c r="D755" s="261"/>
      <c r="E755" s="261"/>
      <c r="F755" s="261"/>
      <c r="G755" s="261"/>
      <c r="H755" s="261"/>
      <c r="I755" s="261"/>
      <c r="J755" s="261"/>
      <c r="K755" s="261"/>
      <c r="L755" s="261"/>
      <c r="M755" s="261"/>
      <c r="N755" s="261"/>
    </row>
    <row r="756" spans="3:14" x14ac:dyDescent="0.2">
      <c r="C756" s="261"/>
      <c r="D756" s="261"/>
      <c r="E756" s="261"/>
      <c r="F756" s="261"/>
      <c r="G756" s="261"/>
      <c r="H756" s="261"/>
      <c r="I756" s="261"/>
      <c r="J756" s="261"/>
      <c r="K756" s="261"/>
      <c r="L756" s="261"/>
      <c r="M756" s="261"/>
      <c r="N756" s="261"/>
    </row>
    <row r="757" spans="3:14" x14ac:dyDescent="0.2">
      <c r="C757" s="261"/>
      <c r="D757" s="261"/>
      <c r="E757" s="261"/>
      <c r="F757" s="261"/>
      <c r="G757" s="261"/>
      <c r="H757" s="261"/>
      <c r="I757" s="261"/>
      <c r="J757" s="261"/>
      <c r="K757" s="261"/>
      <c r="L757" s="261"/>
      <c r="M757" s="261"/>
      <c r="N757" s="261"/>
    </row>
    <row r="758" spans="3:14" x14ac:dyDescent="0.2">
      <c r="C758" s="261"/>
      <c r="D758" s="261"/>
      <c r="E758" s="261"/>
      <c r="F758" s="261"/>
      <c r="G758" s="261"/>
      <c r="H758" s="261"/>
      <c r="I758" s="261"/>
      <c r="J758" s="261"/>
      <c r="K758" s="261"/>
      <c r="L758" s="261"/>
      <c r="M758" s="261"/>
      <c r="N758" s="261"/>
    </row>
    <row r="759" spans="3:14" x14ac:dyDescent="0.2">
      <c r="C759" s="261"/>
      <c r="D759" s="261"/>
      <c r="E759" s="261"/>
      <c r="F759" s="261"/>
      <c r="G759" s="261"/>
      <c r="H759" s="261"/>
      <c r="I759" s="261"/>
      <c r="J759" s="261"/>
      <c r="K759" s="261"/>
      <c r="L759" s="261"/>
      <c r="M759" s="261"/>
      <c r="N759" s="261"/>
    </row>
    <row r="760" spans="3:14" x14ac:dyDescent="0.2">
      <c r="C760" s="261"/>
      <c r="D760" s="261"/>
      <c r="E760" s="261"/>
      <c r="F760" s="261"/>
      <c r="G760" s="261"/>
      <c r="H760" s="261"/>
      <c r="I760" s="261"/>
      <c r="J760" s="261"/>
      <c r="K760" s="261"/>
      <c r="L760" s="261"/>
      <c r="M760" s="261"/>
      <c r="N760" s="261"/>
    </row>
    <row r="761" spans="3:14" x14ac:dyDescent="0.2">
      <c r="C761" s="261"/>
      <c r="D761" s="261"/>
      <c r="E761" s="261"/>
      <c r="F761" s="261"/>
      <c r="G761" s="261"/>
      <c r="H761" s="261"/>
      <c r="I761" s="261"/>
      <c r="J761" s="261"/>
      <c r="K761" s="261"/>
      <c r="L761" s="261"/>
      <c r="M761" s="261"/>
      <c r="N761" s="261"/>
    </row>
    <row r="762" spans="3:14" x14ac:dyDescent="0.2">
      <c r="C762" s="261"/>
      <c r="D762" s="261"/>
      <c r="E762" s="261"/>
      <c r="F762" s="261"/>
      <c r="G762" s="261"/>
      <c r="H762" s="261"/>
      <c r="I762" s="261"/>
      <c r="J762" s="261"/>
      <c r="K762" s="261"/>
      <c r="L762" s="261"/>
      <c r="M762" s="261"/>
      <c r="N762" s="261"/>
    </row>
    <row r="763" spans="3:14" x14ac:dyDescent="0.2">
      <c r="C763" s="261"/>
      <c r="D763" s="261"/>
      <c r="E763" s="261"/>
      <c r="F763" s="261"/>
      <c r="G763" s="261"/>
      <c r="H763" s="261"/>
      <c r="I763" s="261"/>
      <c r="J763" s="261"/>
      <c r="K763" s="261"/>
      <c r="L763" s="261"/>
      <c r="M763" s="261"/>
      <c r="N763" s="261"/>
    </row>
    <row r="764" spans="3:14" x14ac:dyDescent="0.2">
      <c r="C764" s="261"/>
      <c r="D764" s="261"/>
      <c r="E764" s="261"/>
      <c r="F764" s="261"/>
      <c r="G764" s="261"/>
      <c r="H764" s="261"/>
      <c r="I764" s="261"/>
      <c r="J764" s="261"/>
      <c r="K764" s="261"/>
      <c r="L764" s="261"/>
      <c r="M764" s="261"/>
      <c r="N764" s="261"/>
    </row>
    <row r="765" spans="3:14" x14ac:dyDescent="0.2">
      <c r="C765" s="261"/>
      <c r="D765" s="261"/>
      <c r="E765" s="261"/>
      <c r="F765" s="261"/>
      <c r="G765" s="261"/>
      <c r="H765" s="261"/>
      <c r="I765" s="261"/>
      <c r="J765" s="261"/>
      <c r="K765" s="261"/>
      <c r="L765" s="261"/>
      <c r="M765" s="261"/>
      <c r="N765" s="261"/>
    </row>
    <row r="766" spans="3:14" x14ac:dyDescent="0.2">
      <c r="C766" s="261"/>
      <c r="D766" s="261"/>
      <c r="E766" s="261"/>
      <c r="F766" s="261"/>
      <c r="G766" s="261"/>
      <c r="H766" s="261"/>
      <c r="I766" s="261"/>
      <c r="J766" s="261"/>
      <c r="K766" s="261"/>
      <c r="L766" s="261"/>
      <c r="M766" s="261"/>
      <c r="N766" s="261"/>
    </row>
    <row r="767" spans="3:14" x14ac:dyDescent="0.2">
      <c r="C767" s="261"/>
      <c r="D767" s="261"/>
      <c r="E767" s="261"/>
      <c r="F767" s="261"/>
      <c r="G767" s="261"/>
      <c r="H767" s="261"/>
      <c r="I767" s="261"/>
      <c r="J767" s="261"/>
      <c r="K767" s="261"/>
      <c r="L767" s="261"/>
      <c r="M767" s="261"/>
      <c r="N767" s="261"/>
    </row>
    <row r="768" spans="3:14" x14ac:dyDescent="0.2">
      <c r="C768" s="261"/>
      <c r="D768" s="261"/>
      <c r="E768" s="261"/>
      <c r="F768" s="261"/>
      <c r="G768" s="261"/>
      <c r="H768" s="261"/>
      <c r="I768" s="261"/>
      <c r="J768" s="261"/>
      <c r="K768" s="261"/>
      <c r="L768" s="261"/>
      <c r="M768" s="261"/>
      <c r="N768" s="261"/>
    </row>
    <row r="769" spans="3:14" x14ac:dyDescent="0.2">
      <c r="C769" s="261"/>
      <c r="D769" s="261"/>
      <c r="E769" s="261"/>
      <c r="F769" s="261"/>
      <c r="G769" s="261"/>
      <c r="H769" s="261"/>
      <c r="I769" s="261"/>
      <c r="J769" s="261"/>
      <c r="K769" s="261"/>
      <c r="L769" s="261"/>
      <c r="M769" s="261"/>
      <c r="N769" s="261"/>
    </row>
    <row r="770" spans="3:14" x14ac:dyDescent="0.2">
      <c r="C770" s="261"/>
      <c r="D770" s="261"/>
      <c r="E770" s="261"/>
      <c r="F770" s="261"/>
      <c r="G770" s="261"/>
      <c r="H770" s="261"/>
      <c r="I770" s="261"/>
      <c r="J770" s="261"/>
      <c r="K770" s="261"/>
      <c r="L770" s="261"/>
      <c r="M770" s="261"/>
      <c r="N770" s="261"/>
    </row>
    <row r="771" spans="3:14" x14ac:dyDescent="0.2">
      <c r="C771" s="261"/>
      <c r="D771" s="261"/>
      <c r="E771" s="261"/>
      <c r="F771" s="261"/>
      <c r="G771" s="261"/>
      <c r="H771" s="261"/>
      <c r="I771" s="261"/>
      <c r="J771" s="261"/>
      <c r="K771" s="261"/>
      <c r="L771" s="261"/>
      <c r="M771" s="261"/>
      <c r="N771" s="261"/>
    </row>
    <row r="772" spans="3:14" x14ac:dyDescent="0.2">
      <c r="C772" s="261"/>
      <c r="D772" s="261"/>
      <c r="E772" s="261"/>
      <c r="F772" s="261"/>
      <c r="G772" s="261"/>
      <c r="H772" s="261"/>
      <c r="I772" s="261"/>
      <c r="J772" s="261"/>
      <c r="K772" s="261"/>
      <c r="L772" s="261"/>
      <c r="M772" s="261"/>
      <c r="N772" s="261"/>
    </row>
    <row r="773" spans="3:14" x14ac:dyDescent="0.2">
      <c r="C773" s="261"/>
      <c r="D773" s="261"/>
      <c r="E773" s="261"/>
      <c r="F773" s="261"/>
      <c r="G773" s="261"/>
      <c r="H773" s="261"/>
      <c r="I773" s="261"/>
      <c r="J773" s="261"/>
      <c r="K773" s="261"/>
      <c r="L773" s="261"/>
      <c r="M773" s="261"/>
      <c r="N773" s="261"/>
    </row>
    <row r="774" spans="3:14" x14ac:dyDescent="0.2">
      <c r="C774" s="261"/>
      <c r="D774" s="261"/>
      <c r="E774" s="261"/>
      <c r="F774" s="261"/>
      <c r="G774" s="261"/>
      <c r="H774" s="261"/>
      <c r="I774" s="261"/>
      <c r="J774" s="261"/>
      <c r="K774" s="261"/>
      <c r="L774" s="261"/>
      <c r="M774" s="261"/>
      <c r="N774" s="261"/>
    </row>
    <row r="775" spans="3:14" x14ac:dyDescent="0.2">
      <c r="C775" s="261"/>
      <c r="D775" s="261"/>
      <c r="E775" s="261"/>
      <c r="F775" s="261"/>
      <c r="G775" s="261"/>
      <c r="H775" s="261"/>
      <c r="I775" s="261"/>
      <c r="J775" s="261"/>
      <c r="K775" s="261"/>
      <c r="L775" s="261"/>
      <c r="M775" s="261"/>
      <c r="N775" s="261"/>
    </row>
    <row r="776" spans="3:14" x14ac:dyDescent="0.2">
      <c r="C776" s="261"/>
      <c r="D776" s="261"/>
      <c r="E776" s="261"/>
      <c r="F776" s="261"/>
      <c r="G776" s="261"/>
      <c r="H776" s="261"/>
      <c r="I776" s="261"/>
      <c r="J776" s="261"/>
      <c r="K776" s="261"/>
      <c r="L776" s="261"/>
      <c r="M776" s="261"/>
      <c r="N776" s="261"/>
    </row>
    <row r="777" spans="3:14" x14ac:dyDescent="0.2">
      <c r="C777" s="261"/>
      <c r="D777" s="261"/>
      <c r="E777" s="261"/>
      <c r="F777" s="261"/>
      <c r="G777" s="261"/>
      <c r="H777" s="261"/>
      <c r="I777" s="261"/>
      <c r="J777" s="261"/>
      <c r="K777" s="261"/>
      <c r="L777" s="261"/>
      <c r="M777" s="261"/>
      <c r="N777" s="261"/>
    </row>
    <row r="778" spans="3:14" x14ac:dyDescent="0.2">
      <c r="C778" s="261"/>
      <c r="D778" s="261"/>
      <c r="E778" s="261"/>
      <c r="F778" s="261"/>
      <c r="G778" s="261"/>
      <c r="H778" s="261"/>
      <c r="I778" s="261"/>
      <c r="J778" s="261"/>
      <c r="K778" s="261"/>
      <c r="L778" s="261"/>
      <c r="M778" s="261"/>
      <c r="N778" s="261"/>
    </row>
    <row r="779" spans="3:14" x14ac:dyDescent="0.2">
      <c r="C779" s="261"/>
      <c r="D779" s="261"/>
      <c r="E779" s="261"/>
      <c r="F779" s="261"/>
      <c r="G779" s="261"/>
      <c r="H779" s="261"/>
      <c r="I779" s="261"/>
      <c r="J779" s="261"/>
      <c r="K779" s="261"/>
      <c r="L779" s="261"/>
      <c r="M779" s="261"/>
      <c r="N779" s="261"/>
    </row>
    <row r="780" spans="3:14" x14ac:dyDescent="0.2">
      <c r="C780" s="261"/>
      <c r="D780" s="261"/>
      <c r="E780" s="261"/>
      <c r="F780" s="261"/>
      <c r="G780" s="261"/>
      <c r="H780" s="261"/>
      <c r="I780" s="261"/>
      <c r="J780" s="261"/>
      <c r="K780" s="261"/>
      <c r="L780" s="261"/>
      <c r="M780" s="261"/>
      <c r="N780" s="261"/>
    </row>
    <row r="781" spans="3:14" x14ac:dyDescent="0.2">
      <c r="C781" s="261"/>
      <c r="D781" s="261"/>
      <c r="E781" s="261"/>
      <c r="F781" s="261"/>
      <c r="G781" s="261"/>
      <c r="H781" s="261"/>
      <c r="I781" s="261"/>
      <c r="J781" s="261"/>
      <c r="K781" s="261"/>
      <c r="L781" s="261"/>
      <c r="M781" s="261"/>
      <c r="N781" s="261"/>
    </row>
    <row r="782" spans="3:14" x14ac:dyDescent="0.2">
      <c r="C782" s="261"/>
      <c r="D782" s="261"/>
      <c r="E782" s="261"/>
      <c r="F782" s="261"/>
      <c r="G782" s="261"/>
      <c r="H782" s="261"/>
      <c r="I782" s="261"/>
      <c r="J782" s="261"/>
      <c r="K782" s="261"/>
      <c r="L782" s="261"/>
      <c r="M782" s="261"/>
      <c r="N782" s="261"/>
    </row>
    <row r="783" spans="3:14" x14ac:dyDescent="0.2">
      <c r="C783" s="261"/>
      <c r="D783" s="261"/>
      <c r="E783" s="261"/>
      <c r="F783" s="261"/>
      <c r="G783" s="261"/>
      <c r="H783" s="261"/>
      <c r="I783" s="261"/>
      <c r="J783" s="261"/>
      <c r="K783" s="261"/>
      <c r="L783" s="261"/>
      <c r="M783" s="261"/>
      <c r="N783" s="261"/>
    </row>
    <row r="784" spans="3:14" x14ac:dyDescent="0.2">
      <c r="C784" s="261"/>
      <c r="D784" s="261"/>
      <c r="E784" s="261"/>
      <c r="F784" s="261"/>
      <c r="G784" s="261"/>
      <c r="H784" s="261"/>
      <c r="I784" s="261"/>
      <c r="J784" s="261"/>
      <c r="K784" s="261"/>
      <c r="L784" s="261"/>
      <c r="M784" s="261"/>
      <c r="N784" s="261"/>
    </row>
    <row r="785" spans="3:14" x14ac:dyDescent="0.2">
      <c r="C785" s="261"/>
      <c r="D785" s="261"/>
      <c r="E785" s="261"/>
      <c r="F785" s="261"/>
      <c r="G785" s="261"/>
      <c r="H785" s="261"/>
      <c r="I785" s="261"/>
      <c r="J785" s="261"/>
      <c r="K785" s="261"/>
      <c r="L785" s="261"/>
      <c r="M785" s="261"/>
      <c r="N785" s="261"/>
    </row>
    <row r="786" spans="3:14" x14ac:dyDescent="0.2">
      <c r="C786" s="261"/>
      <c r="D786" s="261"/>
      <c r="E786" s="261"/>
      <c r="F786" s="261"/>
      <c r="G786" s="261"/>
      <c r="H786" s="261"/>
      <c r="I786" s="261"/>
      <c r="J786" s="261"/>
      <c r="K786" s="261"/>
      <c r="L786" s="261"/>
      <c r="M786" s="261"/>
      <c r="N786" s="261"/>
    </row>
    <row r="787" spans="3:14" x14ac:dyDescent="0.2">
      <c r="C787" s="261"/>
      <c r="D787" s="261"/>
      <c r="E787" s="261"/>
      <c r="F787" s="261"/>
      <c r="G787" s="261"/>
      <c r="H787" s="261"/>
      <c r="I787" s="261"/>
      <c r="J787" s="261"/>
      <c r="K787" s="261"/>
      <c r="L787" s="261"/>
      <c r="M787" s="261"/>
      <c r="N787" s="261"/>
    </row>
    <row r="788" spans="3:14" x14ac:dyDescent="0.2">
      <c r="C788" s="261"/>
      <c r="D788" s="261"/>
      <c r="E788" s="261"/>
      <c r="F788" s="261"/>
      <c r="G788" s="261"/>
      <c r="H788" s="261"/>
      <c r="I788" s="261"/>
      <c r="J788" s="261"/>
      <c r="K788" s="261"/>
      <c r="L788" s="261"/>
      <c r="M788" s="261"/>
      <c r="N788" s="261"/>
    </row>
    <row r="789" spans="3:14" x14ac:dyDescent="0.2">
      <c r="C789" s="261"/>
      <c r="D789" s="261"/>
      <c r="E789" s="261"/>
      <c r="F789" s="261"/>
      <c r="G789" s="261"/>
      <c r="H789" s="261"/>
      <c r="I789" s="261"/>
      <c r="J789" s="261"/>
      <c r="K789" s="261"/>
      <c r="L789" s="261"/>
      <c r="M789" s="261"/>
      <c r="N789" s="261"/>
    </row>
    <row r="790" spans="3:14" x14ac:dyDescent="0.2">
      <c r="C790" s="261"/>
      <c r="D790" s="261"/>
      <c r="E790" s="261"/>
      <c r="F790" s="261"/>
      <c r="G790" s="261"/>
      <c r="H790" s="261"/>
      <c r="I790" s="261"/>
      <c r="J790" s="261"/>
      <c r="K790" s="261"/>
      <c r="L790" s="261"/>
      <c r="M790" s="261"/>
      <c r="N790" s="261"/>
    </row>
    <row r="791" spans="3:14" x14ac:dyDescent="0.2">
      <c r="C791" s="261"/>
      <c r="D791" s="261"/>
      <c r="E791" s="261"/>
      <c r="F791" s="261"/>
      <c r="G791" s="261"/>
      <c r="H791" s="261"/>
      <c r="I791" s="261"/>
      <c r="J791" s="261"/>
      <c r="K791" s="261"/>
      <c r="L791" s="261"/>
      <c r="M791" s="261"/>
      <c r="N791" s="261"/>
    </row>
    <row r="792" spans="3:14" x14ac:dyDescent="0.2">
      <c r="C792" s="261"/>
      <c r="D792" s="261"/>
      <c r="E792" s="261"/>
      <c r="F792" s="261"/>
      <c r="G792" s="261"/>
      <c r="H792" s="261"/>
      <c r="I792" s="261"/>
      <c r="J792" s="261"/>
      <c r="K792" s="261"/>
      <c r="L792" s="261"/>
      <c r="M792" s="261"/>
      <c r="N792" s="261"/>
    </row>
    <row r="793" spans="3:14" x14ac:dyDescent="0.2">
      <c r="C793" s="261"/>
      <c r="D793" s="261"/>
      <c r="E793" s="261"/>
      <c r="F793" s="261"/>
      <c r="G793" s="261"/>
      <c r="H793" s="261"/>
      <c r="I793" s="261"/>
      <c r="J793" s="261"/>
      <c r="K793" s="261"/>
      <c r="L793" s="261"/>
      <c r="M793" s="261"/>
      <c r="N793" s="261"/>
    </row>
    <row r="794" spans="3:14" x14ac:dyDescent="0.2">
      <c r="C794" s="261"/>
      <c r="D794" s="261"/>
      <c r="E794" s="261"/>
      <c r="F794" s="261"/>
      <c r="G794" s="261"/>
      <c r="H794" s="261"/>
      <c r="I794" s="261"/>
      <c r="J794" s="261"/>
      <c r="K794" s="261"/>
      <c r="L794" s="261"/>
      <c r="M794" s="261"/>
      <c r="N794" s="261"/>
    </row>
    <row r="795" spans="3:14" x14ac:dyDescent="0.2">
      <c r="C795" s="261"/>
      <c r="D795" s="261"/>
      <c r="E795" s="261"/>
      <c r="F795" s="261"/>
      <c r="G795" s="261"/>
      <c r="H795" s="261"/>
      <c r="I795" s="261"/>
      <c r="J795" s="261"/>
      <c r="K795" s="261"/>
      <c r="L795" s="261"/>
      <c r="M795" s="261"/>
      <c r="N795" s="261"/>
    </row>
    <row r="796" spans="3:14" x14ac:dyDescent="0.2">
      <c r="C796" s="261"/>
      <c r="D796" s="261"/>
      <c r="E796" s="261"/>
      <c r="F796" s="261"/>
      <c r="G796" s="261"/>
      <c r="H796" s="261"/>
      <c r="I796" s="261"/>
      <c r="J796" s="261"/>
      <c r="K796" s="261"/>
      <c r="L796" s="261"/>
      <c r="M796" s="261"/>
      <c r="N796" s="261"/>
    </row>
    <row r="797" spans="3:14" x14ac:dyDescent="0.2">
      <c r="C797" s="261"/>
      <c r="D797" s="261"/>
      <c r="E797" s="261"/>
      <c r="F797" s="261"/>
      <c r="G797" s="261"/>
      <c r="H797" s="261"/>
      <c r="I797" s="261"/>
      <c r="J797" s="261"/>
      <c r="K797" s="261"/>
      <c r="L797" s="261"/>
      <c r="M797" s="261"/>
      <c r="N797" s="261"/>
    </row>
    <row r="798" spans="3:14" x14ac:dyDescent="0.2">
      <c r="C798" s="261"/>
      <c r="D798" s="261"/>
      <c r="E798" s="261"/>
      <c r="F798" s="261"/>
      <c r="G798" s="261"/>
      <c r="H798" s="261"/>
      <c r="I798" s="261"/>
      <c r="J798" s="261"/>
      <c r="K798" s="261"/>
      <c r="L798" s="261"/>
      <c r="M798" s="261"/>
      <c r="N798" s="261"/>
    </row>
    <row r="799" spans="3:14" x14ac:dyDescent="0.2">
      <c r="C799" s="261"/>
      <c r="D799" s="261"/>
      <c r="E799" s="261"/>
      <c r="F799" s="261"/>
      <c r="G799" s="261"/>
      <c r="H799" s="261"/>
      <c r="I799" s="261"/>
      <c r="J799" s="261"/>
      <c r="K799" s="261"/>
      <c r="L799" s="261"/>
      <c r="M799" s="261"/>
      <c r="N799" s="261"/>
    </row>
    <row r="800" spans="3:14" x14ac:dyDescent="0.2">
      <c r="C800" s="261"/>
      <c r="D800" s="261"/>
      <c r="E800" s="261"/>
      <c r="F800" s="261"/>
      <c r="G800" s="261"/>
      <c r="H800" s="261"/>
      <c r="I800" s="261"/>
      <c r="J800" s="261"/>
      <c r="K800" s="261"/>
      <c r="L800" s="261"/>
      <c r="M800" s="261"/>
      <c r="N800" s="261"/>
    </row>
    <row r="801" spans="3:14" x14ac:dyDescent="0.2">
      <c r="C801" s="261"/>
      <c r="D801" s="261"/>
      <c r="E801" s="261"/>
      <c r="F801" s="261"/>
      <c r="G801" s="261"/>
      <c r="H801" s="261"/>
      <c r="I801" s="261"/>
      <c r="J801" s="261"/>
      <c r="K801" s="261"/>
      <c r="L801" s="261"/>
      <c r="M801" s="261"/>
      <c r="N801" s="261"/>
    </row>
    <row r="802" spans="3:14" x14ac:dyDescent="0.2">
      <c r="C802" s="261"/>
      <c r="D802" s="261"/>
      <c r="E802" s="261"/>
      <c r="F802" s="261"/>
      <c r="G802" s="261"/>
      <c r="H802" s="261"/>
      <c r="I802" s="261"/>
      <c r="J802" s="261"/>
      <c r="K802" s="261"/>
      <c r="L802" s="261"/>
      <c r="M802" s="261"/>
      <c r="N802" s="261"/>
    </row>
    <row r="803" spans="3:14" x14ac:dyDescent="0.2">
      <c r="C803" s="261"/>
      <c r="D803" s="261"/>
      <c r="E803" s="261"/>
      <c r="F803" s="261"/>
      <c r="G803" s="261"/>
      <c r="H803" s="261"/>
      <c r="I803" s="261"/>
      <c r="J803" s="261"/>
      <c r="K803" s="261"/>
      <c r="L803" s="261"/>
      <c r="M803" s="261"/>
      <c r="N803" s="261"/>
    </row>
    <row r="804" spans="3:14" x14ac:dyDescent="0.2">
      <c r="C804" s="261"/>
      <c r="D804" s="261"/>
      <c r="E804" s="261"/>
      <c r="F804" s="261"/>
      <c r="G804" s="261"/>
      <c r="H804" s="261"/>
      <c r="I804" s="261"/>
      <c r="J804" s="261"/>
      <c r="K804" s="261"/>
      <c r="L804" s="261"/>
      <c r="M804" s="261"/>
      <c r="N804" s="261"/>
    </row>
    <row r="805" spans="3:14" x14ac:dyDescent="0.2">
      <c r="C805" s="261"/>
      <c r="D805" s="261"/>
      <c r="E805" s="261"/>
      <c r="F805" s="261"/>
      <c r="G805" s="261"/>
      <c r="H805" s="261"/>
      <c r="I805" s="261"/>
      <c r="J805" s="261"/>
      <c r="K805" s="261"/>
      <c r="L805" s="261"/>
      <c r="M805" s="261"/>
      <c r="N805" s="261"/>
    </row>
    <row r="806" spans="3:14" x14ac:dyDescent="0.2">
      <c r="C806" s="261"/>
      <c r="D806" s="261"/>
      <c r="E806" s="261"/>
      <c r="F806" s="261"/>
      <c r="G806" s="261"/>
      <c r="H806" s="261"/>
      <c r="I806" s="261"/>
      <c r="J806" s="261"/>
      <c r="K806" s="261"/>
      <c r="L806" s="261"/>
      <c r="M806" s="261"/>
      <c r="N806" s="261"/>
    </row>
    <row r="807" spans="3:14" x14ac:dyDescent="0.2">
      <c r="C807" s="261"/>
      <c r="D807" s="261"/>
      <c r="E807" s="261"/>
      <c r="F807" s="261"/>
      <c r="G807" s="261"/>
      <c r="H807" s="261"/>
      <c r="I807" s="261"/>
      <c r="J807" s="261"/>
      <c r="K807" s="261"/>
      <c r="L807" s="261"/>
      <c r="M807" s="261"/>
      <c r="N807" s="261"/>
    </row>
    <row r="808" spans="3:14" x14ac:dyDescent="0.2">
      <c r="C808" s="261"/>
      <c r="D808" s="261"/>
      <c r="E808" s="261"/>
      <c r="F808" s="261"/>
      <c r="G808" s="261"/>
      <c r="H808" s="261"/>
      <c r="I808" s="261"/>
      <c r="J808" s="261"/>
      <c r="K808" s="261"/>
      <c r="L808" s="261"/>
      <c r="M808" s="261"/>
      <c r="N808" s="261"/>
    </row>
    <row r="809" spans="3:14" x14ac:dyDescent="0.2">
      <c r="C809" s="261"/>
      <c r="D809" s="261"/>
      <c r="E809" s="261"/>
      <c r="F809" s="261"/>
      <c r="G809" s="261"/>
      <c r="H809" s="261"/>
      <c r="I809" s="261"/>
      <c r="J809" s="261"/>
      <c r="K809" s="261"/>
      <c r="L809" s="261"/>
      <c r="M809" s="261"/>
      <c r="N809" s="261"/>
    </row>
    <row r="810" spans="3:14" x14ac:dyDescent="0.2">
      <c r="C810" s="261"/>
      <c r="D810" s="261"/>
      <c r="E810" s="261"/>
      <c r="F810" s="261"/>
      <c r="G810" s="261"/>
      <c r="H810" s="261"/>
      <c r="I810" s="261"/>
      <c r="J810" s="261"/>
      <c r="K810" s="261"/>
      <c r="L810" s="261"/>
      <c r="M810" s="261"/>
      <c r="N810" s="261"/>
    </row>
    <row r="811" spans="3:14" x14ac:dyDescent="0.2">
      <c r="C811" s="261"/>
      <c r="D811" s="261"/>
      <c r="E811" s="261"/>
      <c r="F811" s="261"/>
      <c r="G811" s="261"/>
      <c r="H811" s="261"/>
      <c r="I811" s="261"/>
      <c r="J811" s="261"/>
      <c r="K811" s="261"/>
      <c r="L811" s="261"/>
      <c r="M811" s="261"/>
      <c r="N811" s="261"/>
    </row>
    <row r="812" spans="3:14" x14ac:dyDescent="0.2">
      <c r="C812" s="261"/>
      <c r="D812" s="261"/>
      <c r="E812" s="261"/>
      <c r="F812" s="261"/>
      <c r="G812" s="261"/>
      <c r="H812" s="261"/>
      <c r="I812" s="261"/>
      <c r="J812" s="261"/>
      <c r="K812" s="261"/>
      <c r="L812" s="261"/>
      <c r="M812" s="261"/>
      <c r="N812" s="261"/>
    </row>
    <row r="813" spans="3:14" x14ac:dyDescent="0.2">
      <c r="C813" s="261"/>
      <c r="D813" s="261"/>
      <c r="E813" s="261"/>
      <c r="F813" s="261"/>
      <c r="G813" s="261"/>
      <c r="H813" s="261"/>
      <c r="I813" s="261"/>
      <c r="J813" s="261"/>
      <c r="K813" s="261"/>
      <c r="L813" s="261"/>
      <c r="M813" s="261"/>
      <c r="N813" s="261"/>
    </row>
    <row r="814" spans="3:14" x14ac:dyDescent="0.2">
      <c r="C814" s="261"/>
      <c r="D814" s="261"/>
      <c r="E814" s="261"/>
      <c r="F814" s="261"/>
      <c r="G814" s="261"/>
      <c r="H814" s="261"/>
      <c r="I814" s="261"/>
      <c r="J814" s="261"/>
      <c r="K814" s="261"/>
      <c r="L814" s="261"/>
      <c r="M814" s="261"/>
      <c r="N814" s="261"/>
    </row>
    <row r="815" spans="3:14" x14ac:dyDescent="0.2">
      <c r="C815" s="261"/>
      <c r="D815" s="261"/>
      <c r="E815" s="261"/>
      <c r="F815" s="261"/>
      <c r="G815" s="261"/>
      <c r="H815" s="261"/>
      <c r="I815" s="261"/>
      <c r="J815" s="261"/>
      <c r="K815" s="261"/>
      <c r="L815" s="261"/>
      <c r="M815" s="261"/>
      <c r="N815" s="261"/>
    </row>
    <row r="816" spans="3:14" x14ac:dyDescent="0.2">
      <c r="C816" s="261"/>
      <c r="D816" s="261"/>
      <c r="E816" s="261"/>
      <c r="F816" s="261"/>
      <c r="G816" s="261"/>
      <c r="H816" s="261"/>
      <c r="I816" s="261"/>
      <c r="J816" s="261"/>
      <c r="K816" s="261"/>
      <c r="L816" s="261"/>
      <c r="M816" s="261"/>
      <c r="N816" s="261"/>
    </row>
    <row r="817" spans="3:14" x14ac:dyDescent="0.2">
      <c r="C817" s="261"/>
      <c r="D817" s="261"/>
      <c r="E817" s="261"/>
      <c r="F817" s="261"/>
      <c r="G817" s="261"/>
      <c r="H817" s="261"/>
      <c r="I817" s="261"/>
      <c r="J817" s="261"/>
      <c r="K817" s="261"/>
      <c r="L817" s="261"/>
      <c r="M817" s="261"/>
      <c r="N817" s="261"/>
    </row>
    <row r="818" spans="3:14" x14ac:dyDescent="0.2">
      <c r="C818" s="261"/>
      <c r="D818" s="261"/>
      <c r="E818" s="261"/>
      <c r="F818" s="261"/>
      <c r="G818" s="261"/>
      <c r="H818" s="261"/>
      <c r="I818" s="261"/>
      <c r="J818" s="261"/>
      <c r="K818" s="261"/>
      <c r="L818" s="261"/>
      <c r="M818" s="261"/>
      <c r="N818" s="261"/>
    </row>
    <row r="819" spans="3:14" x14ac:dyDescent="0.2">
      <c r="C819" s="261"/>
      <c r="D819" s="261"/>
      <c r="E819" s="261"/>
      <c r="F819" s="261"/>
      <c r="G819" s="261"/>
      <c r="H819" s="261"/>
      <c r="I819" s="261"/>
      <c r="J819" s="261"/>
      <c r="K819" s="261"/>
      <c r="L819" s="261"/>
      <c r="M819" s="261"/>
      <c r="N819" s="261"/>
    </row>
    <row r="820" spans="3:14" x14ac:dyDescent="0.2">
      <c r="C820" s="261"/>
      <c r="D820" s="261"/>
      <c r="E820" s="261"/>
      <c r="F820" s="261"/>
      <c r="G820" s="261"/>
      <c r="H820" s="261"/>
      <c r="I820" s="261"/>
      <c r="J820" s="261"/>
      <c r="K820" s="261"/>
      <c r="L820" s="261"/>
      <c r="M820" s="261"/>
      <c r="N820" s="261"/>
    </row>
    <row r="821" spans="3:14" x14ac:dyDescent="0.2">
      <c r="C821" s="261"/>
      <c r="D821" s="261"/>
      <c r="E821" s="261"/>
      <c r="F821" s="261"/>
      <c r="G821" s="261"/>
      <c r="H821" s="261"/>
      <c r="I821" s="261"/>
      <c r="J821" s="261"/>
      <c r="K821" s="261"/>
      <c r="L821" s="261"/>
      <c r="M821" s="261"/>
      <c r="N821" s="261"/>
    </row>
    <row r="822" spans="3:14" x14ac:dyDescent="0.2">
      <c r="C822" s="261"/>
      <c r="D822" s="261"/>
      <c r="E822" s="261"/>
      <c r="F822" s="261"/>
      <c r="G822" s="261"/>
      <c r="H822" s="261"/>
      <c r="I822" s="261"/>
      <c r="J822" s="261"/>
      <c r="K822" s="261"/>
      <c r="L822" s="261"/>
      <c r="M822" s="261"/>
      <c r="N822" s="261"/>
    </row>
    <row r="823" spans="3:14" x14ac:dyDescent="0.2">
      <c r="C823" s="261"/>
      <c r="D823" s="261"/>
      <c r="E823" s="261"/>
      <c r="F823" s="261"/>
      <c r="G823" s="261"/>
      <c r="H823" s="261"/>
      <c r="I823" s="261"/>
      <c r="J823" s="261"/>
      <c r="K823" s="261"/>
      <c r="L823" s="261"/>
      <c r="M823" s="261"/>
      <c r="N823" s="261"/>
    </row>
    <row r="824" spans="3:14" x14ac:dyDescent="0.2">
      <c r="C824" s="261"/>
      <c r="D824" s="261"/>
      <c r="E824" s="261"/>
      <c r="F824" s="261"/>
      <c r="G824" s="261"/>
      <c r="H824" s="261"/>
      <c r="I824" s="261"/>
      <c r="J824" s="261"/>
      <c r="K824" s="261"/>
      <c r="L824" s="261"/>
      <c r="M824" s="261"/>
      <c r="N824" s="261"/>
    </row>
    <row r="825" spans="3:14" x14ac:dyDescent="0.2">
      <c r="C825" s="261"/>
      <c r="D825" s="261"/>
      <c r="E825" s="261"/>
      <c r="F825" s="261"/>
      <c r="G825" s="261"/>
      <c r="H825" s="261"/>
      <c r="I825" s="261"/>
      <c r="J825" s="261"/>
      <c r="K825" s="261"/>
      <c r="L825" s="261"/>
      <c r="M825" s="261"/>
      <c r="N825" s="261"/>
    </row>
    <row r="826" spans="3:14" x14ac:dyDescent="0.2">
      <c r="C826" s="261"/>
      <c r="D826" s="261"/>
      <c r="E826" s="261"/>
      <c r="F826" s="261"/>
      <c r="G826" s="261"/>
      <c r="H826" s="261"/>
      <c r="I826" s="261"/>
      <c r="J826" s="261"/>
      <c r="K826" s="261"/>
      <c r="L826" s="261"/>
      <c r="M826" s="261"/>
      <c r="N826" s="261"/>
    </row>
    <row r="827" spans="3:14" x14ac:dyDescent="0.2">
      <c r="C827" s="261"/>
      <c r="D827" s="261"/>
      <c r="E827" s="261"/>
      <c r="F827" s="261"/>
      <c r="G827" s="261"/>
      <c r="H827" s="261"/>
      <c r="I827" s="261"/>
      <c r="J827" s="261"/>
      <c r="K827" s="261"/>
      <c r="L827" s="261"/>
      <c r="M827" s="261"/>
      <c r="N827" s="261"/>
    </row>
    <row r="828" spans="3:14" x14ac:dyDescent="0.2">
      <c r="C828" s="261"/>
      <c r="D828" s="261"/>
      <c r="E828" s="261"/>
      <c r="F828" s="261"/>
      <c r="G828" s="261"/>
      <c r="H828" s="261"/>
      <c r="I828" s="261"/>
      <c r="J828" s="261"/>
      <c r="K828" s="261"/>
      <c r="L828" s="261"/>
      <c r="M828" s="261"/>
      <c r="N828" s="261"/>
    </row>
    <row r="829" spans="3:14" x14ac:dyDescent="0.2">
      <c r="C829" s="261"/>
      <c r="D829" s="261"/>
      <c r="E829" s="261"/>
      <c r="F829" s="261"/>
      <c r="G829" s="261"/>
      <c r="H829" s="261"/>
      <c r="I829" s="261"/>
      <c r="J829" s="261"/>
      <c r="K829" s="261"/>
      <c r="L829" s="261"/>
      <c r="M829" s="261"/>
      <c r="N829" s="261"/>
    </row>
    <row r="830" spans="3:14" x14ac:dyDescent="0.2">
      <c r="C830" s="261"/>
      <c r="D830" s="261"/>
      <c r="E830" s="261"/>
      <c r="F830" s="261"/>
      <c r="G830" s="261"/>
      <c r="H830" s="261"/>
      <c r="I830" s="261"/>
      <c r="J830" s="261"/>
      <c r="K830" s="261"/>
      <c r="L830" s="261"/>
      <c r="M830" s="261"/>
      <c r="N830" s="261"/>
    </row>
    <row r="831" spans="3:14" x14ac:dyDescent="0.2">
      <c r="C831" s="261"/>
      <c r="D831" s="261"/>
      <c r="E831" s="261"/>
      <c r="F831" s="261"/>
      <c r="G831" s="261"/>
      <c r="H831" s="261"/>
      <c r="I831" s="261"/>
      <c r="J831" s="261"/>
      <c r="K831" s="261"/>
      <c r="L831" s="261"/>
      <c r="M831" s="261"/>
      <c r="N831" s="261"/>
    </row>
    <row r="832" spans="3:14" x14ac:dyDescent="0.2">
      <c r="C832" s="261"/>
      <c r="D832" s="261"/>
      <c r="E832" s="261"/>
      <c r="F832" s="261"/>
      <c r="G832" s="261"/>
      <c r="H832" s="261"/>
      <c r="I832" s="261"/>
      <c r="J832" s="261"/>
      <c r="K832" s="261"/>
      <c r="L832" s="261"/>
      <c r="M832" s="261"/>
      <c r="N832" s="261"/>
    </row>
    <row r="833" spans="3:14" x14ac:dyDescent="0.2">
      <c r="C833" s="261"/>
      <c r="D833" s="261"/>
      <c r="E833" s="261"/>
      <c r="F833" s="261"/>
      <c r="G833" s="261"/>
      <c r="H833" s="261"/>
      <c r="I833" s="261"/>
      <c r="J833" s="261"/>
      <c r="K833" s="261"/>
      <c r="L833" s="261"/>
      <c r="M833" s="261"/>
      <c r="N833" s="261"/>
    </row>
    <row r="834" spans="3:14" x14ac:dyDescent="0.2">
      <c r="C834" s="261"/>
      <c r="D834" s="261"/>
      <c r="E834" s="261"/>
      <c r="F834" s="261"/>
      <c r="G834" s="261"/>
      <c r="H834" s="261"/>
      <c r="I834" s="261"/>
      <c r="J834" s="261"/>
      <c r="K834" s="261"/>
      <c r="L834" s="261"/>
      <c r="M834" s="261"/>
      <c r="N834" s="261"/>
    </row>
    <row r="835" spans="3:14" x14ac:dyDescent="0.2">
      <c r="C835" s="261"/>
      <c r="D835" s="261"/>
      <c r="E835" s="261"/>
      <c r="F835" s="261"/>
      <c r="G835" s="261"/>
      <c r="H835" s="261"/>
      <c r="I835" s="261"/>
      <c r="J835" s="261"/>
      <c r="K835" s="261"/>
      <c r="L835" s="261"/>
      <c r="M835" s="261"/>
      <c r="N835" s="261"/>
    </row>
    <row r="836" spans="3:14" x14ac:dyDescent="0.2">
      <c r="C836" s="261"/>
      <c r="D836" s="261"/>
      <c r="E836" s="261"/>
      <c r="F836" s="261"/>
      <c r="G836" s="261"/>
      <c r="H836" s="261"/>
      <c r="I836" s="261"/>
      <c r="J836" s="261"/>
      <c r="K836" s="261"/>
      <c r="L836" s="261"/>
      <c r="M836" s="261"/>
      <c r="N836" s="261"/>
    </row>
    <row r="837" spans="3:14" x14ac:dyDescent="0.2">
      <c r="C837" s="261"/>
      <c r="D837" s="261"/>
      <c r="E837" s="261"/>
      <c r="F837" s="261"/>
      <c r="G837" s="261"/>
      <c r="H837" s="261"/>
      <c r="I837" s="261"/>
      <c r="J837" s="261"/>
      <c r="K837" s="261"/>
      <c r="L837" s="261"/>
      <c r="M837" s="261"/>
      <c r="N837" s="261"/>
    </row>
    <row r="838" spans="3:14" x14ac:dyDescent="0.2">
      <c r="C838" s="261"/>
      <c r="D838" s="261"/>
      <c r="E838" s="261"/>
      <c r="F838" s="261"/>
      <c r="G838" s="261"/>
      <c r="H838" s="261"/>
      <c r="I838" s="261"/>
      <c r="J838" s="261"/>
      <c r="K838" s="261"/>
      <c r="L838" s="261"/>
      <c r="M838" s="261"/>
      <c r="N838" s="261"/>
    </row>
    <row r="839" spans="3:14" x14ac:dyDescent="0.2">
      <c r="C839" s="261"/>
      <c r="D839" s="261"/>
      <c r="E839" s="261"/>
      <c r="F839" s="261"/>
      <c r="G839" s="261"/>
      <c r="H839" s="261"/>
      <c r="I839" s="261"/>
      <c r="J839" s="261"/>
      <c r="K839" s="261"/>
      <c r="L839" s="261"/>
      <c r="M839" s="261"/>
      <c r="N839" s="261"/>
    </row>
    <row r="840" spans="3:14" x14ac:dyDescent="0.2">
      <c r="C840" s="261"/>
      <c r="D840" s="261"/>
      <c r="E840" s="261"/>
      <c r="F840" s="261"/>
      <c r="G840" s="261"/>
      <c r="H840" s="261"/>
      <c r="I840" s="261"/>
      <c r="J840" s="261"/>
      <c r="K840" s="261"/>
      <c r="L840" s="261"/>
      <c r="M840" s="261"/>
      <c r="N840" s="261"/>
    </row>
    <row r="841" spans="3:14" x14ac:dyDescent="0.2">
      <c r="C841" s="261"/>
      <c r="D841" s="261"/>
      <c r="E841" s="261"/>
      <c r="F841" s="261"/>
      <c r="G841" s="261"/>
      <c r="H841" s="261"/>
      <c r="I841" s="261"/>
      <c r="J841" s="261"/>
      <c r="K841" s="261"/>
      <c r="L841" s="261"/>
      <c r="M841" s="261"/>
      <c r="N841" s="261"/>
    </row>
    <row r="842" spans="3:14" x14ac:dyDescent="0.2">
      <c r="C842" s="261"/>
      <c r="D842" s="261"/>
      <c r="E842" s="261"/>
      <c r="F842" s="261"/>
      <c r="G842" s="261"/>
      <c r="H842" s="261"/>
      <c r="I842" s="261"/>
      <c r="J842" s="261"/>
      <c r="K842" s="261"/>
      <c r="L842" s="261"/>
      <c r="M842" s="261"/>
      <c r="N842" s="261"/>
    </row>
    <row r="843" spans="3:14" x14ac:dyDescent="0.2">
      <c r="C843" s="261"/>
      <c r="D843" s="261"/>
      <c r="E843" s="261"/>
      <c r="F843" s="261"/>
      <c r="G843" s="261"/>
      <c r="H843" s="261"/>
      <c r="I843" s="261"/>
      <c r="J843" s="261"/>
      <c r="K843" s="261"/>
      <c r="L843" s="261"/>
      <c r="M843" s="261"/>
      <c r="N843" s="261"/>
    </row>
    <row r="844" spans="3:14" x14ac:dyDescent="0.2">
      <c r="C844" s="261"/>
      <c r="D844" s="261"/>
      <c r="E844" s="261"/>
      <c r="F844" s="261"/>
      <c r="G844" s="261"/>
      <c r="H844" s="261"/>
      <c r="I844" s="261"/>
      <c r="J844" s="261"/>
      <c r="K844" s="261"/>
      <c r="L844" s="261"/>
      <c r="M844" s="261"/>
      <c r="N844" s="261"/>
    </row>
    <row r="845" spans="3:14" x14ac:dyDescent="0.2">
      <c r="C845" s="261"/>
      <c r="D845" s="261"/>
      <c r="E845" s="261"/>
      <c r="F845" s="261"/>
      <c r="G845" s="261"/>
      <c r="H845" s="261"/>
      <c r="I845" s="261"/>
      <c r="J845" s="261"/>
      <c r="K845" s="261"/>
      <c r="L845" s="261"/>
      <c r="M845" s="261"/>
      <c r="N845" s="261"/>
    </row>
    <row r="846" spans="3:14" x14ac:dyDescent="0.2">
      <c r="C846" s="261"/>
      <c r="D846" s="261"/>
      <c r="E846" s="261"/>
      <c r="F846" s="261"/>
      <c r="G846" s="261"/>
      <c r="H846" s="261"/>
      <c r="I846" s="261"/>
      <c r="J846" s="261"/>
      <c r="K846" s="261"/>
      <c r="L846" s="261"/>
      <c r="M846" s="261"/>
      <c r="N846" s="261"/>
    </row>
    <row r="847" spans="3:14" x14ac:dyDescent="0.2">
      <c r="C847" s="261"/>
      <c r="D847" s="261"/>
      <c r="E847" s="261"/>
      <c r="F847" s="261"/>
      <c r="G847" s="261"/>
      <c r="H847" s="261"/>
      <c r="I847" s="261"/>
      <c r="J847" s="261"/>
      <c r="K847" s="261"/>
      <c r="L847" s="261"/>
      <c r="M847" s="261"/>
      <c r="N847" s="261"/>
    </row>
    <row r="848" spans="3:14" x14ac:dyDescent="0.2">
      <c r="C848" s="261"/>
      <c r="D848" s="261"/>
      <c r="E848" s="261"/>
      <c r="F848" s="261"/>
      <c r="G848" s="261"/>
      <c r="H848" s="261"/>
      <c r="I848" s="261"/>
      <c r="J848" s="261"/>
      <c r="K848" s="261"/>
      <c r="L848" s="261"/>
      <c r="M848" s="261"/>
      <c r="N848" s="261"/>
    </row>
    <row r="849" spans="3:14" x14ac:dyDescent="0.2">
      <c r="C849" s="261"/>
      <c r="D849" s="261"/>
      <c r="E849" s="261"/>
      <c r="F849" s="261"/>
      <c r="G849" s="261"/>
      <c r="H849" s="261"/>
      <c r="I849" s="261"/>
      <c r="J849" s="261"/>
      <c r="K849" s="261"/>
      <c r="L849" s="261"/>
      <c r="M849" s="261"/>
      <c r="N849" s="261"/>
    </row>
    <row r="850" spans="3:14" x14ac:dyDescent="0.2">
      <c r="C850" s="261"/>
      <c r="D850" s="261"/>
      <c r="E850" s="261"/>
      <c r="F850" s="261"/>
      <c r="G850" s="261"/>
      <c r="H850" s="261"/>
      <c r="I850" s="261"/>
      <c r="J850" s="261"/>
      <c r="K850" s="261"/>
      <c r="L850" s="261"/>
      <c r="M850" s="261"/>
      <c r="N850" s="261"/>
    </row>
    <row r="851" spans="3:14" x14ac:dyDescent="0.2">
      <c r="C851" s="261"/>
      <c r="D851" s="261"/>
      <c r="E851" s="261"/>
      <c r="F851" s="261"/>
      <c r="G851" s="261"/>
      <c r="H851" s="261"/>
      <c r="I851" s="261"/>
      <c r="J851" s="261"/>
      <c r="K851" s="261"/>
      <c r="L851" s="261"/>
      <c r="M851" s="261"/>
      <c r="N851" s="261"/>
    </row>
    <row r="852" spans="3:14" x14ac:dyDescent="0.2">
      <c r="C852" s="261"/>
      <c r="D852" s="261"/>
      <c r="E852" s="261"/>
      <c r="F852" s="261"/>
      <c r="G852" s="261"/>
      <c r="H852" s="261"/>
      <c r="I852" s="261"/>
      <c r="J852" s="261"/>
      <c r="K852" s="261"/>
      <c r="L852" s="261"/>
      <c r="M852" s="261"/>
      <c r="N852" s="261"/>
    </row>
    <row r="853" spans="3:14" x14ac:dyDescent="0.2">
      <c r="C853" s="261"/>
      <c r="D853" s="261"/>
      <c r="E853" s="261"/>
      <c r="F853" s="261"/>
      <c r="G853" s="261"/>
      <c r="H853" s="261"/>
      <c r="I853" s="261"/>
      <c r="J853" s="261"/>
      <c r="K853" s="261"/>
      <c r="L853" s="261"/>
      <c r="M853" s="261"/>
      <c r="N853" s="261"/>
    </row>
    <row r="854" spans="3:14" x14ac:dyDescent="0.2">
      <c r="C854" s="261"/>
      <c r="D854" s="261"/>
      <c r="E854" s="261"/>
      <c r="F854" s="261"/>
      <c r="G854" s="261"/>
      <c r="H854" s="261"/>
      <c r="I854" s="261"/>
      <c r="J854" s="261"/>
      <c r="K854" s="261"/>
      <c r="L854" s="261"/>
      <c r="M854" s="261"/>
      <c r="N854" s="261"/>
    </row>
    <row r="855" spans="3:14" x14ac:dyDescent="0.2">
      <c r="C855" s="261"/>
      <c r="D855" s="261"/>
      <c r="E855" s="261"/>
      <c r="F855" s="261"/>
      <c r="G855" s="261"/>
      <c r="H855" s="261"/>
      <c r="I855" s="261"/>
      <c r="J855" s="261"/>
      <c r="K855" s="261"/>
      <c r="L855" s="261"/>
      <c r="M855" s="261"/>
      <c r="N855" s="261"/>
    </row>
    <row r="856" spans="3:14" x14ac:dyDescent="0.2">
      <c r="C856" s="261"/>
      <c r="D856" s="261"/>
      <c r="E856" s="261"/>
      <c r="F856" s="261"/>
      <c r="G856" s="261"/>
      <c r="H856" s="261"/>
      <c r="I856" s="261"/>
      <c r="J856" s="261"/>
      <c r="K856" s="261"/>
      <c r="L856" s="261"/>
      <c r="M856" s="261"/>
      <c r="N856" s="261"/>
    </row>
    <row r="857" spans="3:14" x14ac:dyDescent="0.2">
      <c r="C857" s="261"/>
      <c r="D857" s="261"/>
      <c r="E857" s="261"/>
      <c r="F857" s="261"/>
      <c r="G857" s="261"/>
      <c r="H857" s="261"/>
      <c r="I857" s="261"/>
      <c r="J857" s="261"/>
      <c r="K857" s="261"/>
      <c r="L857" s="261"/>
      <c r="M857" s="261"/>
      <c r="N857" s="261"/>
    </row>
    <row r="858" spans="3:14" x14ac:dyDescent="0.2">
      <c r="C858" s="261"/>
      <c r="D858" s="261"/>
      <c r="E858" s="261"/>
      <c r="F858" s="261"/>
      <c r="G858" s="261"/>
      <c r="H858" s="261"/>
      <c r="I858" s="261"/>
      <c r="J858" s="261"/>
      <c r="K858" s="261"/>
      <c r="L858" s="261"/>
      <c r="M858" s="261"/>
      <c r="N858" s="261"/>
    </row>
    <row r="859" spans="3:14" x14ac:dyDescent="0.2">
      <c r="C859" s="261"/>
      <c r="D859" s="261"/>
      <c r="E859" s="261"/>
      <c r="F859" s="261"/>
      <c r="G859" s="261"/>
      <c r="H859" s="261"/>
      <c r="I859" s="261"/>
      <c r="J859" s="261"/>
      <c r="K859" s="261"/>
      <c r="L859" s="261"/>
      <c r="M859" s="261"/>
      <c r="N859" s="261"/>
    </row>
    <row r="860" spans="3:14" x14ac:dyDescent="0.2">
      <c r="C860" s="261"/>
      <c r="D860" s="261"/>
      <c r="E860" s="261"/>
      <c r="F860" s="261"/>
      <c r="G860" s="261"/>
      <c r="H860" s="261"/>
      <c r="I860" s="261"/>
      <c r="J860" s="261"/>
      <c r="K860" s="261"/>
      <c r="L860" s="261"/>
      <c r="M860" s="261"/>
      <c r="N860" s="261"/>
    </row>
    <row r="861" spans="3:14" x14ac:dyDescent="0.2">
      <c r="C861" s="261"/>
      <c r="D861" s="261"/>
      <c r="E861" s="261"/>
      <c r="F861" s="261"/>
      <c r="G861" s="261"/>
      <c r="H861" s="261"/>
      <c r="I861" s="261"/>
      <c r="J861" s="261"/>
      <c r="K861" s="261"/>
      <c r="L861" s="261"/>
      <c r="M861" s="261"/>
      <c r="N861" s="261"/>
    </row>
    <row r="862" spans="3:14" x14ac:dyDescent="0.2">
      <c r="C862" s="261"/>
      <c r="D862" s="261"/>
      <c r="E862" s="261"/>
      <c r="F862" s="261"/>
      <c r="G862" s="261"/>
      <c r="H862" s="261"/>
      <c r="I862" s="261"/>
      <c r="J862" s="261"/>
      <c r="K862" s="261"/>
      <c r="L862" s="261"/>
      <c r="M862" s="261"/>
      <c r="N862" s="261"/>
    </row>
    <row r="863" spans="3:14" x14ac:dyDescent="0.2">
      <c r="C863" s="261"/>
      <c r="D863" s="261"/>
      <c r="E863" s="261"/>
      <c r="F863" s="261"/>
      <c r="G863" s="261"/>
      <c r="H863" s="261"/>
      <c r="I863" s="261"/>
      <c r="J863" s="261"/>
      <c r="K863" s="261"/>
      <c r="L863" s="261"/>
      <c r="M863" s="261"/>
      <c r="N863" s="261"/>
    </row>
    <row r="864" spans="3:14" x14ac:dyDescent="0.2">
      <c r="C864" s="261"/>
      <c r="D864" s="261"/>
      <c r="E864" s="261"/>
      <c r="F864" s="261"/>
      <c r="G864" s="261"/>
      <c r="H864" s="261"/>
      <c r="I864" s="261"/>
      <c r="J864" s="261"/>
      <c r="K864" s="261"/>
      <c r="L864" s="261"/>
      <c r="M864" s="261"/>
      <c r="N864" s="261"/>
    </row>
    <row r="865" spans="3:14" x14ac:dyDescent="0.2">
      <c r="C865" s="261"/>
      <c r="D865" s="261"/>
      <c r="E865" s="261"/>
      <c r="F865" s="261"/>
      <c r="G865" s="261"/>
      <c r="H865" s="261"/>
      <c r="I865" s="261"/>
      <c r="J865" s="261"/>
      <c r="K865" s="261"/>
      <c r="L865" s="261"/>
      <c r="M865" s="261"/>
      <c r="N865" s="261"/>
    </row>
    <row r="866" spans="3:14" x14ac:dyDescent="0.2">
      <c r="C866" s="261"/>
      <c r="D866" s="261"/>
      <c r="E866" s="261"/>
      <c r="F866" s="261"/>
      <c r="G866" s="261"/>
      <c r="H866" s="261"/>
      <c r="I866" s="261"/>
      <c r="J866" s="261"/>
      <c r="K866" s="261"/>
      <c r="L866" s="261"/>
      <c r="M866" s="261"/>
      <c r="N866" s="261"/>
    </row>
    <row r="867" spans="3:14" x14ac:dyDescent="0.2">
      <c r="C867" s="261"/>
      <c r="D867" s="261"/>
      <c r="E867" s="261"/>
      <c r="F867" s="261"/>
      <c r="G867" s="261"/>
      <c r="H867" s="261"/>
      <c r="I867" s="261"/>
      <c r="J867" s="261"/>
      <c r="K867" s="261"/>
      <c r="L867" s="261"/>
      <c r="M867" s="261"/>
      <c r="N867" s="261"/>
    </row>
    <row r="868" spans="3:14" x14ac:dyDescent="0.2">
      <c r="C868" s="261"/>
      <c r="D868" s="261"/>
      <c r="E868" s="261"/>
      <c r="F868" s="261"/>
      <c r="G868" s="261"/>
      <c r="H868" s="261"/>
      <c r="I868" s="261"/>
      <c r="J868" s="261"/>
      <c r="K868" s="261"/>
      <c r="L868" s="261"/>
      <c r="M868" s="261"/>
      <c r="N868" s="261"/>
    </row>
    <row r="869" spans="3:14" x14ac:dyDescent="0.2">
      <c r="C869" s="261"/>
      <c r="D869" s="261"/>
      <c r="E869" s="261"/>
      <c r="F869" s="261"/>
      <c r="G869" s="261"/>
      <c r="H869" s="261"/>
      <c r="I869" s="261"/>
      <c r="J869" s="261"/>
      <c r="K869" s="261"/>
      <c r="L869" s="261"/>
      <c r="M869" s="261"/>
      <c r="N869" s="261"/>
    </row>
    <row r="870" spans="3:14" x14ac:dyDescent="0.2">
      <c r="C870" s="261"/>
      <c r="D870" s="261"/>
      <c r="E870" s="261"/>
      <c r="F870" s="261"/>
      <c r="G870" s="261"/>
      <c r="H870" s="261"/>
      <c r="I870" s="261"/>
      <c r="J870" s="261"/>
      <c r="K870" s="261"/>
      <c r="L870" s="261"/>
      <c r="M870" s="261"/>
      <c r="N870" s="261"/>
    </row>
    <row r="871" spans="3:14" x14ac:dyDescent="0.2">
      <c r="C871" s="261"/>
      <c r="D871" s="261"/>
      <c r="E871" s="261"/>
      <c r="F871" s="261"/>
      <c r="G871" s="261"/>
      <c r="H871" s="261"/>
      <c r="I871" s="261"/>
      <c r="J871" s="261"/>
      <c r="K871" s="261"/>
      <c r="L871" s="261"/>
      <c r="M871" s="261"/>
      <c r="N871" s="261"/>
    </row>
    <row r="872" spans="3:14" x14ac:dyDescent="0.2">
      <c r="C872" s="261"/>
      <c r="D872" s="261"/>
      <c r="E872" s="261"/>
      <c r="F872" s="261"/>
      <c r="G872" s="261"/>
      <c r="H872" s="261"/>
      <c r="I872" s="261"/>
      <c r="J872" s="261"/>
      <c r="K872" s="261"/>
      <c r="L872" s="261"/>
      <c r="M872" s="261"/>
      <c r="N872" s="261"/>
    </row>
    <row r="873" spans="3:14" x14ac:dyDescent="0.2">
      <c r="C873" s="261"/>
      <c r="D873" s="261"/>
      <c r="E873" s="261"/>
      <c r="F873" s="261"/>
      <c r="G873" s="261"/>
      <c r="H873" s="261"/>
      <c r="I873" s="261"/>
      <c r="J873" s="261"/>
      <c r="K873" s="261"/>
      <c r="L873" s="261"/>
      <c r="M873" s="261"/>
      <c r="N873" s="261"/>
    </row>
    <row r="874" spans="3:14" x14ac:dyDescent="0.2">
      <c r="C874" s="261"/>
      <c r="D874" s="261"/>
      <c r="E874" s="261"/>
      <c r="F874" s="261"/>
      <c r="G874" s="261"/>
      <c r="H874" s="261"/>
      <c r="I874" s="261"/>
      <c r="J874" s="261"/>
      <c r="K874" s="261"/>
      <c r="L874" s="261"/>
      <c r="M874" s="261"/>
      <c r="N874" s="261"/>
    </row>
    <row r="875" spans="3:14" x14ac:dyDescent="0.2">
      <c r="C875" s="261"/>
      <c r="D875" s="261"/>
      <c r="E875" s="261"/>
      <c r="F875" s="261"/>
      <c r="G875" s="261"/>
      <c r="H875" s="261"/>
      <c r="I875" s="261"/>
      <c r="J875" s="261"/>
      <c r="K875" s="261"/>
      <c r="L875" s="261"/>
      <c r="M875" s="261"/>
      <c r="N875" s="261"/>
    </row>
    <row r="876" spans="3:14" x14ac:dyDescent="0.2">
      <c r="C876" s="261"/>
      <c r="D876" s="261"/>
      <c r="E876" s="261"/>
      <c r="F876" s="261"/>
      <c r="G876" s="261"/>
      <c r="H876" s="261"/>
      <c r="I876" s="261"/>
      <c r="J876" s="261"/>
      <c r="K876" s="261"/>
      <c r="L876" s="261"/>
      <c r="M876" s="261"/>
      <c r="N876" s="261"/>
    </row>
    <row r="877" spans="3:14" x14ac:dyDescent="0.2">
      <c r="C877" s="261"/>
      <c r="D877" s="261"/>
      <c r="E877" s="261"/>
      <c r="F877" s="261"/>
      <c r="G877" s="261"/>
      <c r="H877" s="261"/>
      <c r="I877" s="261"/>
      <c r="J877" s="261"/>
      <c r="K877" s="261"/>
      <c r="L877" s="261"/>
      <c r="M877" s="261"/>
      <c r="N877" s="261"/>
    </row>
    <row r="878" spans="3:14" x14ac:dyDescent="0.2">
      <c r="C878" s="261"/>
      <c r="D878" s="261"/>
      <c r="E878" s="261"/>
      <c r="F878" s="261"/>
      <c r="G878" s="261"/>
      <c r="H878" s="261"/>
      <c r="I878" s="261"/>
      <c r="J878" s="261"/>
      <c r="K878" s="261"/>
      <c r="L878" s="261"/>
      <c r="M878" s="261"/>
      <c r="N878" s="261"/>
    </row>
    <row r="879" spans="3:14" x14ac:dyDescent="0.2">
      <c r="C879" s="261"/>
      <c r="D879" s="261"/>
      <c r="E879" s="261"/>
      <c r="F879" s="261"/>
      <c r="G879" s="261"/>
      <c r="H879" s="261"/>
      <c r="I879" s="261"/>
      <c r="J879" s="261"/>
      <c r="K879" s="261"/>
      <c r="L879" s="261"/>
      <c r="M879" s="261"/>
      <c r="N879" s="261"/>
    </row>
    <row r="880" spans="3:14" x14ac:dyDescent="0.2">
      <c r="C880" s="261"/>
      <c r="D880" s="261"/>
      <c r="E880" s="261"/>
      <c r="F880" s="261"/>
      <c r="G880" s="261"/>
      <c r="H880" s="261"/>
      <c r="I880" s="261"/>
      <c r="J880" s="261"/>
      <c r="K880" s="261"/>
      <c r="L880" s="261"/>
      <c r="M880" s="261"/>
      <c r="N880" s="261"/>
    </row>
    <row r="881" spans="3:14" x14ac:dyDescent="0.2">
      <c r="C881" s="261"/>
      <c r="D881" s="261"/>
      <c r="E881" s="261"/>
      <c r="F881" s="261"/>
      <c r="G881" s="261"/>
      <c r="H881" s="261"/>
      <c r="I881" s="261"/>
      <c r="J881" s="261"/>
      <c r="K881" s="261"/>
      <c r="L881" s="261"/>
      <c r="M881" s="261"/>
      <c r="N881" s="261"/>
    </row>
    <row r="882" spans="3:14" x14ac:dyDescent="0.2">
      <c r="C882" s="261"/>
      <c r="D882" s="261"/>
      <c r="E882" s="261"/>
      <c r="F882" s="261"/>
      <c r="G882" s="261"/>
      <c r="H882" s="261"/>
      <c r="I882" s="261"/>
      <c r="J882" s="261"/>
      <c r="K882" s="261"/>
      <c r="L882" s="261"/>
      <c r="M882" s="261"/>
      <c r="N882" s="261"/>
    </row>
    <row r="883" spans="3:14" x14ac:dyDescent="0.2">
      <c r="C883" s="261"/>
      <c r="D883" s="261"/>
      <c r="E883" s="261"/>
      <c r="F883" s="261"/>
      <c r="G883" s="261"/>
      <c r="H883" s="261"/>
      <c r="I883" s="261"/>
      <c r="J883" s="261"/>
      <c r="K883" s="261"/>
      <c r="L883" s="261"/>
      <c r="M883" s="261"/>
      <c r="N883" s="261"/>
    </row>
    <row r="884" spans="3:14" x14ac:dyDescent="0.2">
      <c r="C884" s="261"/>
      <c r="D884" s="261"/>
      <c r="E884" s="261"/>
      <c r="F884" s="261"/>
      <c r="G884" s="261"/>
      <c r="H884" s="261"/>
      <c r="I884" s="261"/>
      <c r="J884" s="261"/>
      <c r="K884" s="261"/>
      <c r="L884" s="261"/>
      <c r="M884" s="261"/>
      <c r="N884" s="261"/>
    </row>
    <row r="885" spans="3:14" x14ac:dyDescent="0.2">
      <c r="C885" s="261"/>
      <c r="D885" s="261"/>
      <c r="E885" s="261"/>
      <c r="F885" s="261"/>
      <c r="G885" s="261"/>
      <c r="H885" s="261"/>
      <c r="I885" s="261"/>
      <c r="J885" s="261"/>
      <c r="K885" s="261"/>
      <c r="L885" s="261"/>
      <c r="M885" s="261"/>
      <c r="N885" s="261"/>
    </row>
    <row r="886" spans="3:14" x14ac:dyDescent="0.2">
      <c r="C886" s="261"/>
      <c r="D886" s="261"/>
      <c r="E886" s="261"/>
      <c r="F886" s="261"/>
      <c r="G886" s="261"/>
      <c r="H886" s="261"/>
      <c r="I886" s="261"/>
      <c r="J886" s="261"/>
      <c r="K886" s="261"/>
      <c r="L886" s="261"/>
      <c r="M886" s="261"/>
      <c r="N886" s="261"/>
    </row>
    <row r="887" spans="3:14" x14ac:dyDescent="0.2">
      <c r="C887" s="261"/>
      <c r="D887" s="261"/>
      <c r="E887" s="261"/>
      <c r="F887" s="261"/>
      <c r="G887" s="261"/>
      <c r="H887" s="261"/>
      <c r="I887" s="261"/>
      <c r="J887" s="261"/>
      <c r="K887" s="261"/>
      <c r="L887" s="261"/>
      <c r="M887" s="261"/>
      <c r="N887" s="261"/>
    </row>
    <row r="888" spans="3:14" x14ac:dyDescent="0.2">
      <c r="C888" s="261"/>
      <c r="D888" s="261"/>
      <c r="E888" s="261"/>
      <c r="F888" s="261"/>
      <c r="G888" s="261"/>
      <c r="H888" s="261"/>
      <c r="I888" s="261"/>
      <c r="J888" s="261"/>
      <c r="K888" s="261"/>
      <c r="L888" s="261"/>
      <c r="M888" s="261"/>
      <c r="N888" s="261"/>
    </row>
    <row r="889" spans="3:14" x14ac:dyDescent="0.2">
      <c r="C889" s="261"/>
      <c r="D889" s="261"/>
      <c r="E889" s="261"/>
      <c r="F889" s="261"/>
      <c r="G889" s="261"/>
      <c r="H889" s="261"/>
      <c r="I889" s="261"/>
      <c r="J889" s="261"/>
      <c r="K889" s="261"/>
      <c r="L889" s="261"/>
      <c r="M889" s="261"/>
      <c r="N889" s="261"/>
    </row>
    <row r="890" spans="3:14" x14ac:dyDescent="0.2">
      <c r="C890" s="261"/>
      <c r="D890" s="261"/>
      <c r="E890" s="261"/>
      <c r="F890" s="261"/>
      <c r="G890" s="261"/>
      <c r="H890" s="261"/>
      <c r="I890" s="261"/>
      <c r="J890" s="261"/>
      <c r="K890" s="261"/>
      <c r="L890" s="261"/>
      <c r="M890" s="261"/>
      <c r="N890" s="261"/>
    </row>
    <row r="891" spans="3:14" x14ac:dyDescent="0.2">
      <c r="C891" s="261"/>
      <c r="D891" s="261"/>
      <c r="E891" s="261"/>
      <c r="F891" s="261"/>
      <c r="G891" s="261"/>
      <c r="H891" s="261"/>
      <c r="I891" s="261"/>
      <c r="J891" s="261"/>
      <c r="K891" s="261"/>
      <c r="L891" s="261"/>
      <c r="M891" s="261"/>
      <c r="N891" s="261"/>
    </row>
    <row r="892" spans="3:14" x14ac:dyDescent="0.2">
      <c r="C892" s="261"/>
      <c r="D892" s="261"/>
      <c r="E892" s="261"/>
      <c r="F892" s="261"/>
      <c r="G892" s="261"/>
      <c r="H892" s="261"/>
      <c r="I892" s="261"/>
      <c r="J892" s="261"/>
      <c r="K892" s="261"/>
      <c r="L892" s="261"/>
      <c r="M892" s="261"/>
      <c r="N892" s="261"/>
    </row>
    <row r="893" spans="3:14" x14ac:dyDescent="0.2">
      <c r="C893" s="261"/>
      <c r="D893" s="261"/>
      <c r="E893" s="261"/>
      <c r="F893" s="261"/>
      <c r="G893" s="261"/>
      <c r="H893" s="261"/>
      <c r="I893" s="261"/>
      <c r="J893" s="261"/>
      <c r="K893" s="261"/>
      <c r="L893" s="261"/>
      <c r="M893" s="261"/>
      <c r="N893" s="261"/>
    </row>
    <row r="894" spans="3:14" x14ac:dyDescent="0.2">
      <c r="C894" s="261"/>
      <c r="D894" s="261"/>
      <c r="E894" s="261"/>
      <c r="F894" s="261"/>
      <c r="G894" s="261"/>
      <c r="H894" s="261"/>
      <c r="I894" s="261"/>
      <c r="J894" s="261"/>
      <c r="K894" s="261"/>
      <c r="L894" s="261"/>
      <c r="M894" s="261"/>
      <c r="N894" s="261"/>
    </row>
    <row r="895" spans="3:14" x14ac:dyDescent="0.2">
      <c r="C895" s="261"/>
      <c r="D895" s="261"/>
      <c r="E895" s="261"/>
      <c r="F895" s="261"/>
      <c r="G895" s="261"/>
      <c r="H895" s="261"/>
      <c r="I895" s="261"/>
      <c r="J895" s="261"/>
      <c r="K895" s="261"/>
      <c r="L895" s="261"/>
      <c r="M895" s="261"/>
      <c r="N895" s="261"/>
    </row>
    <row r="896" spans="3:14" x14ac:dyDescent="0.2">
      <c r="C896" s="261"/>
      <c r="D896" s="261"/>
      <c r="E896" s="261"/>
      <c r="F896" s="261"/>
      <c r="G896" s="261"/>
      <c r="H896" s="261"/>
      <c r="I896" s="261"/>
      <c r="J896" s="261"/>
      <c r="K896" s="261"/>
      <c r="L896" s="261"/>
      <c r="M896" s="261"/>
      <c r="N896" s="261"/>
    </row>
    <row r="897" spans="3:14" x14ac:dyDescent="0.2">
      <c r="C897" s="261"/>
      <c r="D897" s="261"/>
      <c r="E897" s="261"/>
      <c r="F897" s="261"/>
      <c r="G897" s="261"/>
      <c r="H897" s="261"/>
      <c r="I897" s="261"/>
      <c r="J897" s="261"/>
      <c r="K897" s="261"/>
      <c r="L897" s="261"/>
      <c r="M897" s="261"/>
      <c r="N897" s="261"/>
    </row>
    <row r="898" spans="3:14" x14ac:dyDescent="0.2">
      <c r="C898" s="261"/>
      <c r="D898" s="261"/>
      <c r="E898" s="261"/>
      <c r="F898" s="261"/>
      <c r="G898" s="261"/>
      <c r="H898" s="261"/>
      <c r="I898" s="261"/>
      <c r="J898" s="261"/>
      <c r="K898" s="261"/>
      <c r="L898" s="261"/>
      <c r="M898" s="261"/>
      <c r="N898" s="261"/>
    </row>
    <row r="899" spans="3:14" x14ac:dyDescent="0.2">
      <c r="C899" s="261"/>
      <c r="D899" s="261"/>
      <c r="E899" s="261"/>
      <c r="F899" s="261"/>
      <c r="G899" s="261"/>
      <c r="H899" s="261"/>
      <c r="I899" s="261"/>
      <c r="J899" s="261"/>
      <c r="K899" s="261"/>
      <c r="L899" s="261"/>
      <c r="M899" s="261"/>
      <c r="N899" s="261"/>
    </row>
    <row r="900" spans="3:14" x14ac:dyDescent="0.2">
      <c r="C900" s="261"/>
      <c r="D900" s="261"/>
      <c r="E900" s="261"/>
      <c r="F900" s="261"/>
      <c r="G900" s="261"/>
      <c r="H900" s="261"/>
      <c r="I900" s="261"/>
      <c r="J900" s="261"/>
      <c r="K900" s="261"/>
      <c r="L900" s="261"/>
      <c r="M900" s="261"/>
      <c r="N900" s="261"/>
    </row>
    <row r="901" spans="3:14" x14ac:dyDescent="0.2">
      <c r="C901" s="261"/>
      <c r="D901" s="261"/>
      <c r="E901" s="261"/>
      <c r="F901" s="261"/>
      <c r="G901" s="261"/>
      <c r="H901" s="261"/>
      <c r="I901" s="261"/>
      <c r="J901" s="261"/>
      <c r="K901" s="261"/>
      <c r="L901" s="261"/>
      <c r="M901" s="261"/>
      <c r="N901" s="261"/>
    </row>
    <row r="902" spans="3:14" x14ac:dyDescent="0.2">
      <c r="C902" s="261"/>
      <c r="D902" s="261"/>
      <c r="E902" s="261"/>
      <c r="F902" s="261"/>
      <c r="G902" s="261"/>
      <c r="H902" s="261"/>
      <c r="I902" s="261"/>
      <c r="J902" s="261"/>
      <c r="K902" s="261"/>
      <c r="L902" s="261"/>
      <c r="M902" s="261"/>
      <c r="N902" s="261"/>
    </row>
    <row r="903" spans="3:14" x14ac:dyDescent="0.2">
      <c r="C903" s="261"/>
      <c r="D903" s="261"/>
      <c r="E903" s="261"/>
      <c r="F903" s="261"/>
      <c r="G903" s="261"/>
      <c r="H903" s="261"/>
      <c r="I903" s="261"/>
      <c r="J903" s="261"/>
      <c r="K903" s="261"/>
      <c r="L903" s="261"/>
      <c r="M903" s="261"/>
      <c r="N903" s="261"/>
    </row>
    <row r="904" spans="3:14" x14ac:dyDescent="0.2">
      <c r="C904" s="261"/>
      <c r="D904" s="261"/>
      <c r="E904" s="261"/>
      <c r="F904" s="261"/>
      <c r="G904" s="261"/>
      <c r="H904" s="261"/>
      <c r="I904" s="261"/>
      <c r="J904" s="261"/>
      <c r="K904" s="261"/>
      <c r="L904" s="261"/>
      <c r="M904" s="261"/>
      <c r="N904" s="261"/>
    </row>
    <row r="905" spans="3:14" x14ac:dyDescent="0.2">
      <c r="C905" s="261"/>
      <c r="D905" s="261"/>
      <c r="E905" s="261"/>
      <c r="F905" s="261"/>
      <c r="G905" s="261"/>
      <c r="H905" s="261"/>
      <c r="I905" s="261"/>
      <c r="J905" s="261"/>
      <c r="K905" s="261"/>
      <c r="L905" s="261"/>
      <c r="M905" s="261"/>
      <c r="N905" s="261"/>
    </row>
    <row r="906" spans="3:14" x14ac:dyDescent="0.2">
      <c r="C906" s="261"/>
      <c r="D906" s="261"/>
      <c r="E906" s="261"/>
      <c r="F906" s="261"/>
      <c r="G906" s="261"/>
      <c r="H906" s="261"/>
      <c r="I906" s="261"/>
      <c r="J906" s="261"/>
      <c r="K906" s="261"/>
      <c r="L906" s="261"/>
      <c r="M906" s="261"/>
      <c r="N906" s="261"/>
    </row>
    <row r="907" spans="3:14" x14ac:dyDescent="0.2">
      <c r="C907" s="261"/>
      <c r="D907" s="261"/>
      <c r="E907" s="261"/>
      <c r="F907" s="261"/>
      <c r="G907" s="261"/>
      <c r="H907" s="261"/>
      <c r="I907" s="261"/>
      <c r="J907" s="261"/>
      <c r="K907" s="261"/>
      <c r="L907" s="261"/>
      <c r="M907" s="261"/>
      <c r="N907" s="261"/>
    </row>
    <row r="908" spans="3:14" x14ac:dyDescent="0.2">
      <c r="C908" s="261"/>
      <c r="D908" s="261"/>
      <c r="E908" s="261"/>
      <c r="F908" s="261"/>
      <c r="G908" s="261"/>
      <c r="H908" s="261"/>
      <c r="I908" s="261"/>
      <c r="J908" s="261"/>
      <c r="K908" s="261"/>
      <c r="L908" s="261"/>
      <c r="M908" s="261"/>
      <c r="N908" s="261"/>
    </row>
    <row r="909" spans="3:14" x14ac:dyDescent="0.2">
      <c r="C909" s="261"/>
      <c r="D909" s="261"/>
      <c r="E909" s="261"/>
      <c r="F909" s="261"/>
      <c r="G909" s="261"/>
      <c r="H909" s="261"/>
      <c r="I909" s="261"/>
      <c r="J909" s="261"/>
      <c r="K909" s="261"/>
      <c r="L909" s="261"/>
      <c r="M909" s="261"/>
      <c r="N909" s="261"/>
    </row>
    <row r="910" spans="3:14" x14ac:dyDescent="0.2">
      <c r="C910" s="261"/>
      <c r="D910" s="261"/>
      <c r="E910" s="261"/>
      <c r="F910" s="261"/>
      <c r="G910" s="261"/>
      <c r="H910" s="261"/>
      <c r="I910" s="261"/>
      <c r="J910" s="261"/>
      <c r="K910" s="261"/>
      <c r="L910" s="261"/>
      <c r="M910" s="261"/>
      <c r="N910" s="261"/>
    </row>
    <row r="911" spans="3:14" x14ac:dyDescent="0.2">
      <c r="C911" s="261"/>
      <c r="D911" s="261"/>
      <c r="E911" s="261"/>
      <c r="F911" s="261"/>
      <c r="G911" s="261"/>
      <c r="H911" s="261"/>
      <c r="I911" s="261"/>
      <c r="J911" s="261"/>
      <c r="K911" s="261"/>
      <c r="L911" s="261"/>
      <c r="M911" s="261"/>
      <c r="N911" s="261"/>
    </row>
    <row r="912" spans="3:14" x14ac:dyDescent="0.2">
      <c r="C912" s="261"/>
      <c r="D912" s="261"/>
      <c r="E912" s="261"/>
      <c r="F912" s="261"/>
      <c r="G912" s="261"/>
      <c r="H912" s="261"/>
      <c r="I912" s="261"/>
      <c r="J912" s="261"/>
      <c r="K912" s="261"/>
      <c r="L912" s="261"/>
      <c r="M912" s="261"/>
      <c r="N912" s="261"/>
    </row>
    <row r="913" spans="3:14" x14ac:dyDescent="0.2">
      <c r="C913" s="261"/>
      <c r="D913" s="261"/>
      <c r="E913" s="261"/>
      <c r="F913" s="261"/>
      <c r="G913" s="261"/>
      <c r="H913" s="261"/>
      <c r="I913" s="261"/>
      <c r="J913" s="261"/>
      <c r="K913" s="261"/>
      <c r="L913" s="261"/>
      <c r="M913" s="261"/>
      <c r="N913" s="261"/>
    </row>
    <row r="914" spans="3:14" x14ac:dyDescent="0.2">
      <c r="C914" s="261"/>
      <c r="D914" s="261"/>
      <c r="E914" s="261"/>
      <c r="F914" s="261"/>
      <c r="G914" s="261"/>
      <c r="H914" s="261"/>
      <c r="I914" s="261"/>
      <c r="J914" s="261"/>
      <c r="K914" s="261"/>
      <c r="L914" s="261"/>
      <c r="M914" s="261"/>
      <c r="N914" s="261"/>
    </row>
    <row r="915" spans="3:14" x14ac:dyDescent="0.2">
      <c r="C915" s="261"/>
      <c r="D915" s="261"/>
      <c r="E915" s="261"/>
      <c r="F915" s="261"/>
      <c r="G915" s="261"/>
      <c r="H915" s="261"/>
      <c r="I915" s="261"/>
      <c r="J915" s="261"/>
      <c r="K915" s="261"/>
      <c r="L915" s="261"/>
      <c r="M915" s="261"/>
      <c r="N915" s="261"/>
    </row>
    <row r="916" spans="3:14" x14ac:dyDescent="0.2">
      <c r="C916" s="261"/>
      <c r="D916" s="261"/>
      <c r="E916" s="261"/>
      <c r="F916" s="261"/>
      <c r="G916" s="261"/>
      <c r="H916" s="261"/>
      <c r="I916" s="261"/>
      <c r="J916" s="261"/>
      <c r="K916" s="261"/>
      <c r="L916" s="261"/>
      <c r="M916" s="261"/>
      <c r="N916" s="261"/>
    </row>
    <row r="917" spans="3:14" x14ac:dyDescent="0.2">
      <c r="C917" s="261"/>
      <c r="D917" s="261"/>
      <c r="E917" s="261"/>
      <c r="F917" s="261"/>
      <c r="G917" s="261"/>
      <c r="H917" s="261"/>
      <c r="I917" s="261"/>
      <c r="J917" s="261"/>
      <c r="K917" s="261"/>
      <c r="L917" s="261"/>
      <c r="M917" s="261"/>
      <c r="N917" s="261"/>
    </row>
    <row r="918" spans="3:14" x14ac:dyDescent="0.2">
      <c r="C918" s="261"/>
      <c r="D918" s="261"/>
      <c r="E918" s="261"/>
      <c r="F918" s="261"/>
      <c r="G918" s="261"/>
      <c r="H918" s="261"/>
      <c r="I918" s="261"/>
      <c r="J918" s="261"/>
      <c r="K918" s="261"/>
      <c r="L918" s="261"/>
      <c r="M918" s="261"/>
      <c r="N918" s="261"/>
    </row>
    <row r="919" spans="3:14" x14ac:dyDescent="0.2">
      <c r="C919" s="261"/>
      <c r="D919" s="261"/>
      <c r="E919" s="261"/>
      <c r="F919" s="261"/>
      <c r="G919" s="261"/>
      <c r="H919" s="261"/>
      <c r="I919" s="261"/>
      <c r="J919" s="261"/>
      <c r="K919" s="261"/>
      <c r="L919" s="261"/>
      <c r="M919" s="261"/>
      <c r="N919" s="261"/>
    </row>
    <row r="920" spans="3:14" x14ac:dyDescent="0.2">
      <c r="C920" s="261"/>
      <c r="D920" s="261"/>
      <c r="E920" s="261"/>
      <c r="F920" s="261"/>
      <c r="G920" s="261"/>
      <c r="H920" s="261"/>
      <c r="I920" s="261"/>
      <c r="J920" s="261"/>
      <c r="K920" s="261"/>
      <c r="L920" s="261"/>
      <c r="M920" s="261"/>
      <c r="N920" s="261"/>
    </row>
    <row r="921" spans="3:14" x14ac:dyDescent="0.2">
      <c r="C921" s="261"/>
      <c r="D921" s="261"/>
      <c r="E921" s="261"/>
      <c r="F921" s="261"/>
      <c r="G921" s="261"/>
      <c r="H921" s="261"/>
      <c r="I921" s="261"/>
      <c r="J921" s="261"/>
      <c r="K921" s="261"/>
      <c r="L921" s="261"/>
      <c r="M921" s="261"/>
      <c r="N921" s="261"/>
    </row>
    <row r="922" spans="3:14" x14ac:dyDescent="0.2">
      <c r="C922" s="261"/>
      <c r="D922" s="261"/>
      <c r="E922" s="261"/>
      <c r="F922" s="261"/>
      <c r="G922" s="261"/>
      <c r="H922" s="261"/>
      <c r="I922" s="261"/>
      <c r="J922" s="261"/>
      <c r="K922" s="261"/>
      <c r="L922" s="261"/>
      <c r="M922" s="261"/>
      <c r="N922" s="261"/>
    </row>
    <row r="923" spans="3:14" x14ac:dyDescent="0.2">
      <c r="C923" s="261"/>
      <c r="D923" s="261"/>
      <c r="E923" s="261"/>
      <c r="F923" s="261"/>
      <c r="G923" s="261"/>
      <c r="H923" s="261"/>
      <c r="I923" s="261"/>
      <c r="J923" s="261"/>
      <c r="K923" s="261"/>
      <c r="L923" s="261"/>
      <c r="M923" s="261"/>
      <c r="N923" s="261"/>
    </row>
    <row r="924" spans="3:14" x14ac:dyDescent="0.2">
      <c r="C924" s="261"/>
      <c r="D924" s="261"/>
      <c r="E924" s="261"/>
      <c r="F924" s="261"/>
      <c r="G924" s="261"/>
      <c r="H924" s="261"/>
      <c r="I924" s="261"/>
      <c r="J924" s="261"/>
      <c r="K924" s="261"/>
      <c r="L924" s="261"/>
      <c r="M924" s="261"/>
      <c r="N924" s="261"/>
    </row>
    <row r="925" spans="3:14" x14ac:dyDescent="0.2">
      <c r="C925" s="261"/>
      <c r="D925" s="261"/>
      <c r="E925" s="261"/>
      <c r="F925" s="261"/>
      <c r="G925" s="261"/>
      <c r="H925" s="261"/>
      <c r="I925" s="261"/>
      <c r="J925" s="261"/>
      <c r="K925" s="261"/>
      <c r="L925" s="261"/>
      <c r="M925" s="261"/>
      <c r="N925" s="261"/>
    </row>
    <row r="926" spans="3:14" x14ac:dyDescent="0.2">
      <c r="C926" s="261"/>
      <c r="D926" s="261"/>
      <c r="E926" s="261"/>
      <c r="F926" s="261"/>
      <c r="G926" s="261"/>
      <c r="H926" s="261"/>
      <c r="I926" s="261"/>
      <c r="J926" s="261"/>
      <c r="K926" s="261"/>
      <c r="L926" s="261"/>
      <c r="M926" s="261"/>
      <c r="N926" s="261"/>
    </row>
    <row r="927" spans="3:14" x14ac:dyDescent="0.2">
      <c r="C927" s="261"/>
      <c r="D927" s="261"/>
      <c r="E927" s="261"/>
      <c r="F927" s="261"/>
      <c r="G927" s="261"/>
      <c r="H927" s="261"/>
      <c r="I927" s="261"/>
      <c r="J927" s="261"/>
      <c r="K927" s="261"/>
      <c r="L927" s="261"/>
      <c r="M927" s="261"/>
      <c r="N927" s="261"/>
    </row>
    <row r="928" spans="3:14" x14ac:dyDescent="0.2">
      <c r="C928" s="261"/>
      <c r="D928" s="261"/>
      <c r="E928" s="261"/>
      <c r="F928" s="261"/>
      <c r="G928" s="261"/>
      <c r="H928" s="261"/>
      <c r="I928" s="261"/>
      <c r="J928" s="261"/>
      <c r="K928" s="261"/>
      <c r="L928" s="261"/>
      <c r="M928" s="261"/>
      <c r="N928" s="261"/>
    </row>
    <row r="929" spans="3:14" x14ac:dyDescent="0.2">
      <c r="C929" s="261"/>
      <c r="D929" s="261"/>
      <c r="E929" s="261"/>
      <c r="F929" s="261"/>
      <c r="G929" s="261"/>
      <c r="H929" s="261"/>
      <c r="I929" s="261"/>
      <c r="J929" s="261"/>
      <c r="K929" s="261"/>
      <c r="L929" s="261"/>
      <c r="M929" s="261"/>
      <c r="N929" s="261"/>
    </row>
    <row r="930" spans="3:14" x14ac:dyDescent="0.2">
      <c r="C930" s="261"/>
      <c r="D930" s="261"/>
      <c r="E930" s="261"/>
      <c r="F930" s="261"/>
      <c r="G930" s="261"/>
      <c r="H930" s="261"/>
      <c r="I930" s="261"/>
      <c r="J930" s="261"/>
      <c r="K930" s="261"/>
      <c r="L930" s="261"/>
      <c r="M930" s="261"/>
      <c r="N930" s="261"/>
    </row>
    <row r="931" spans="3:14" x14ac:dyDescent="0.2">
      <c r="C931" s="261"/>
      <c r="D931" s="261"/>
      <c r="E931" s="261"/>
      <c r="F931" s="261"/>
      <c r="G931" s="261"/>
      <c r="H931" s="261"/>
      <c r="I931" s="261"/>
      <c r="J931" s="261"/>
      <c r="K931" s="261"/>
      <c r="L931" s="261"/>
      <c r="M931" s="261"/>
      <c r="N931" s="261"/>
    </row>
    <row r="932" spans="3:14" x14ac:dyDescent="0.2">
      <c r="C932" s="261"/>
      <c r="D932" s="261"/>
      <c r="E932" s="261"/>
      <c r="F932" s="261"/>
      <c r="G932" s="261"/>
      <c r="H932" s="261"/>
      <c r="I932" s="261"/>
      <c r="J932" s="261"/>
      <c r="K932" s="261"/>
      <c r="L932" s="261"/>
      <c r="M932" s="261"/>
      <c r="N932" s="261"/>
    </row>
    <row r="933" spans="3:14" x14ac:dyDescent="0.2">
      <c r="C933" s="261"/>
      <c r="D933" s="261"/>
      <c r="E933" s="261"/>
      <c r="F933" s="261"/>
      <c r="G933" s="261"/>
      <c r="H933" s="261"/>
      <c r="I933" s="261"/>
      <c r="J933" s="261"/>
      <c r="K933" s="261"/>
      <c r="L933" s="261"/>
      <c r="M933" s="261"/>
      <c r="N933" s="261"/>
    </row>
    <row r="934" spans="3:14" x14ac:dyDescent="0.2">
      <c r="C934" s="261"/>
      <c r="D934" s="261"/>
      <c r="E934" s="261"/>
      <c r="F934" s="261"/>
      <c r="G934" s="261"/>
      <c r="H934" s="261"/>
      <c r="I934" s="261"/>
      <c r="J934" s="261"/>
      <c r="K934" s="261"/>
      <c r="L934" s="261"/>
      <c r="M934" s="261"/>
      <c r="N934" s="261"/>
    </row>
    <row r="935" spans="3:14" x14ac:dyDescent="0.2">
      <c r="C935" s="261"/>
      <c r="D935" s="261"/>
      <c r="E935" s="261"/>
      <c r="F935" s="261"/>
      <c r="G935" s="261"/>
      <c r="H935" s="261"/>
      <c r="I935" s="261"/>
      <c r="J935" s="261"/>
      <c r="K935" s="261"/>
      <c r="L935" s="261"/>
      <c r="M935" s="261"/>
      <c r="N935" s="261"/>
    </row>
    <row r="936" spans="3:14" x14ac:dyDescent="0.2">
      <c r="C936" s="261"/>
      <c r="D936" s="261"/>
      <c r="E936" s="261"/>
      <c r="F936" s="261"/>
      <c r="G936" s="261"/>
      <c r="H936" s="261"/>
      <c r="I936" s="261"/>
      <c r="J936" s="261"/>
      <c r="K936" s="261"/>
      <c r="L936" s="261"/>
      <c r="M936" s="261"/>
      <c r="N936" s="261"/>
    </row>
    <row r="937" spans="3:14" x14ac:dyDescent="0.2">
      <c r="C937" s="261"/>
      <c r="D937" s="261"/>
      <c r="E937" s="261"/>
      <c r="F937" s="261"/>
      <c r="G937" s="261"/>
      <c r="H937" s="261"/>
      <c r="I937" s="261"/>
      <c r="J937" s="261"/>
      <c r="K937" s="261"/>
      <c r="L937" s="261"/>
      <c r="M937" s="261"/>
      <c r="N937" s="261"/>
    </row>
    <row r="938" spans="3:14" x14ac:dyDescent="0.2">
      <c r="C938" s="261"/>
      <c r="D938" s="261"/>
      <c r="E938" s="261"/>
      <c r="F938" s="261"/>
      <c r="G938" s="261"/>
      <c r="H938" s="261"/>
      <c r="I938" s="261"/>
      <c r="J938" s="261"/>
      <c r="K938" s="261"/>
      <c r="L938" s="261"/>
      <c r="M938" s="261"/>
      <c r="N938" s="261"/>
    </row>
    <row r="939" spans="3:14" x14ac:dyDescent="0.2">
      <c r="C939" s="261"/>
      <c r="D939" s="261"/>
      <c r="E939" s="261"/>
      <c r="F939" s="261"/>
      <c r="G939" s="261"/>
      <c r="H939" s="261"/>
      <c r="I939" s="261"/>
      <c r="J939" s="261"/>
      <c r="K939" s="261"/>
      <c r="L939" s="261"/>
      <c r="M939" s="261"/>
      <c r="N939" s="261"/>
    </row>
    <row r="940" spans="3:14" x14ac:dyDescent="0.2">
      <c r="C940" s="261"/>
      <c r="D940" s="261"/>
      <c r="E940" s="261"/>
      <c r="F940" s="261"/>
      <c r="G940" s="261"/>
      <c r="H940" s="261"/>
      <c r="I940" s="261"/>
      <c r="J940" s="261"/>
      <c r="K940" s="261"/>
      <c r="L940" s="261"/>
      <c r="M940" s="261"/>
      <c r="N940" s="261"/>
    </row>
    <row r="941" spans="3:14" x14ac:dyDescent="0.2">
      <c r="C941" s="261"/>
      <c r="D941" s="261"/>
      <c r="E941" s="261"/>
      <c r="F941" s="261"/>
      <c r="G941" s="261"/>
      <c r="H941" s="261"/>
      <c r="I941" s="261"/>
      <c r="J941" s="261"/>
      <c r="K941" s="261"/>
      <c r="L941" s="261"/>
      <c r="M941" s="261"/>
      <c r="N941" s="261"/>
    </row>
    <row r="942" spans="3:14" x14ac:dyDescent="0.2">
      <c r="C942" s="261"/>
      <c r="D942" s="261"/>
      <c r="E942" s="261"/>
      <c r="F942" s="261"/>
      <c r="G942" s="261"/>
      <c r="H942" s="261"/>
      <c r="I942" s="261"/>
      <c r="J942" s="261"/>
      <c r="K942" s="261"/>
      <c r="L942" s="261"/>
      <c r="M942" s="261"/>
      <c r="N942" s="261"/>
    </row>
    <row r="943" spans="3:14" x14ac:dyDescent="0.2">
      <c r="C943" s="261"/>
      <c r="D943" s="261"/>
      <c r="E943" s="261"/>
      <c r="F943" s="261"/>
      <c r="G943" s="261"/>
      <c r="H943" s="261"/>
      <c r="I943" s="261"/>
      <c r="J943" s="261"/>
      <c r="K943" s="261"/>
      <c r="L943" s="261"/>
      <c r="M943" s="261"/>
      <c r="N943" s="261"/>
    </row>
    <row r="944" spans="3:14" x14ac:dyDescent="0.2">
      <c r="C944" s="261"/>
      <c r="D944" s="261"/>
      <c r="E944" s="261"/>
      <c r="F944" s="261"/>
      <c r="G944" s="261"/>
      <c r="H944" s="261"/>
      <c r="I944" s="261"/>
      <c r="J944" s="261"/>
      <c r="K944" s="261"/>
      <c r="L944" s="261"/>
      <c r="M944" s="261"/>
      <c r="N944" s="261"/>
    </row>
    <row r="945" spans="3:14" x14ac:dyDescent="0.2">
      <c r="C945" s="261"/>
      <c r="D945" s="261"/>
      <c r="E945" s="261"/>
      <c r="F945" s="261"/>
      <c r="G945" s="261"/>
      <c r="H945" s="261"/>
      <c r="I945" s="261"/>
      <c r="J945" s="261"/>
      <c r="K945" s="261"/>
      <c r="L945" s="261"/>
      <c r="M945" s="261"/>
      <c r="N945" s="261"/>
    </row>
    <row r="946" spans="3:14" x14ac:dyDescent="0.2">
      <c r="C946" s="261"/>
      <c r="D946" s="261"/>
      <c r="E946" s="261"/>
      <c r="F946" s="261"/>
      <c r="G946" s="261"/>
      <c r="H946" s="261"/>
      <c r="I946" s="261"/>
      <c r="J946" s="261"/>
      <c r="K946" s="261"/>
      <c r="L946" s="261"/>
      <c r="M946" s="261"/>
      <c r="N946" s="261"/>
    </row>
    <row r="947" spans="3:14" x14ac:dyDescent="0.2">
      <c r="C947" s="261"/>
      <c r="D947" s="261"/>
      <c r="E947" s="261"/>
      <c r="F947" s="261"/>
      <c r="G947" s="261"/>
      <c r="H947" s="261"/>
      <c r="I947" s="261"/>
      <c r="J947" s="261"/>
      <c r="K947" s="261"/>
      <c r="L947" s="261"/>
      <c r="M947" s="261"/>
      <c r="N947" s="261"/>
    </row>
    <row r="948" spans="3:14" x14ac:dyDescent="0.2">
      <c r="C948" s="261"/>
      <c r="D948" s="261"/>
      <c r="E948" s="261"/>
      <c r="F948" s="261"/>
      <c r="G948" s="261"/>
      <c r="H948" s="261"/>
      <c r="I948" s="261"/>
      <c r="J948" s="261"/>
      <c r="K948" s="261"/>
      <c r="L948" s="261"/>
      <c r="M948" s="261"/>
      <c r="N948" s="261"/>
    </row>
    <row r="949" spans="3:14" x14ac:dyDescent="0.2">
      <c r="C949" s="261"/>
      <c r="D949" s="261"/>
      <c r="E949" s="261"/>
      <c r="F949" s="261"/>
      <c r="G949" s="261"/>
      <c r="H949" s="261"/>
      <c r="I949" s="261"/>
      <c r="J949" s="261"/>
      <c r="K949" s="261"/>
      <c r="L949" s="261"/>
      <c r="M949" s="261"/>
      <c r="N949" s="261"/>
    </row>
    <row r="950" spans="3:14" x14ac:dyDescent="0.2">
      <c r="C950" s="261"/>
      <c r="D950" s="261"/>
      <c r="E950" s="261"/>
      <c r="F950" s="261"/>
      <c r="G950" s="261"/>
      <c r="H950" s="261"/>
      <c r="I950" s="261"/>
      <c r="J950" s="261"/>
      <c r="K950" s="261"/>
      <c r="L950" s="261"/>
      <c r="M950" s="261"/>
      <c r="N950" s="261"/>
    </row>
    <row r="951" spans="3:14" x14ac:dyDescent="0.2">
      <c r="C951" s="261"/>
      <c r="D951" s="261"/>
      <c r="E951" s="261"/>
      <c r="F951" s="261"/>
      <c r="G951" s="261"/>
      <c r="H951" s="261"/>
      <c r="I951" s="261"/>
      <c r="J951" s="261"/>
      <c r="K951" s="261"/>
      <c r="L951" s="261"/>
      <c r="M951" s="261"/>
      <c r="N951" s="261"/>
    </row>
    <row r="952" spans="3:14" x14ac:dyDescent="0.2">
      <c r="C952" s="261"/>
      <c r="D952" s="261"/>
      <c r="E952" s="261"/>
      <c r="F952" s="261"/>
      <c r="G952" s="261"/>
      <c r="H952" s="261"/>
      <c r="I952" s="261"/>
      <c r="J952" s="261"/>
      <c r="K952" s="261"/>
      <c r="L952" s="261"/>
      <c r="M952" s="261"/>
      <c r="N952" s="261"/>
    </row>
    <row r="953" spans="3:14" x14ac:dyDescent="0.2">
      <c r="C953" s="261"/>
      <c r="D953" s="261"/>
      <c r="E953" s="261"/>
      <c r="F953" s="261"/>
      <c r="G953" s="261"/>
      <c r="H953" s="261"/>
      <c r="I953" s="261"/>
      <c r="J953" s="261"/>
      <c r="K953" s="261"/>
      <c r="L953" s="261"/>
      <c r="M953" s="261"/>
      <c r="N953" s="261"/>
    </row>
    <row r="954" spans="3:14" x14ac:dyDescent="0.2">
      <c r="C954" s="261"/>
      <c r="D954" s="261"/>
      <c r="E954" s="261"/>
      <c r="F954" s="261"/>
      <c r="G954" s="261"/>
      <c r="H954" s="261"/>
      <c r="I954" s="261"/>
      <c r="J954" s="261"/>
      <c r="K954" s="261"/>
      <c r="L954" s="261"/>
      <c r="M954" s="261"/>
      <c r="N954" s="261"/>
    </row>
    <row r="955" spans="3:14" x14ac:dyDescent="0.2">
      <c r="C955" s="261"/>
      <c r="D955" s="261"/>
      <c r="E955" s="261"/>
      <c r="F955" s="261"/>
      <c r="G955" s="261"/>
      <c r="H955" s="261"/>
      <c r="I955" s="261"/>
      <c r="J955" s="261"/>
      <c r="K955" s="261"/>
      <c r="L955" s="261"/>
      <c r="M955" s="261"/>
      <c r="N955" s="261"/>
    </row>
    <row r="956" spans="3:14" x14ac:dyDescent="0.2">
      <c r="C956" s="261"/>
      <c r="D956" s="261"/>
      <c r="E956" s="261"/>
      <c r="F956" s="261"/>
      <c r="G956" s="261"/>
      <c r="H956" s="261"/>
      <c r="I956" s="261"/>
      <c r="J956" s="261"/>
      <c r="K956" s="261"/>
      <c r="L956" s="261"/>
      <c r="M956" s="261"/>
      <c r="N956" s="261"/>
    </row>
    <row r="957" spans="3:14" x14ac:dyDescent="0.2">
      <c r="C957" s="261"/>
      <c r="D957" s="261"/>
      <c r="E957" s="261"/>
      <c r="F957" s="261"/>
      <c r="G957" s="261"/>
      <c r="H957" s="261"/>
      <c r="I957" s="261"/>
      <c r="J957" s="261"/>
      <c r="K957" s="261"/>
      <c r="L957" s="261"/>
      <c r="M957" s="261"/>
      <c r="N957" s="261"/>
    </row>
    <row r="958" spans="3:14" x14ac:dyDescent="0.2">
      <c r="C958" s="261"/>
      <c r="D958" s="261"/>
      <c r="E958" s="261"/>
      <c r="F958" s="261"/>
      <c r="G958" s="261"/>
      <c r="H958" s="261"/>
      <c r="I958" s="261"/>
      <c r="J958" s="261"/>
      <c r="K958" s="261"/>
      <c r="L958" s="261"/>
      <c r="M958" s="261"/>
      <c r="N958" s="261"/>
    </row>
    <row r="959" spans="3:14" x14ac:dyDescent="0.2">
      <c r="C959" s="261"/>
      <c r="D959" s="261"/>
      <c r="E959" s="261"/>
      <c r="F959" s="261"/>
      <c r="G959" s="261"/>
      <c r="H959" s="261"/>
      <c r="I959" s="261"/>
      <c r="J959" s="261"/>
      <c r="K959" s="261"/>
      <c r="L959" s="261"/>
      <c r="M959" s="261"/>
      <c r="N959" s="261"/>
    </row>
    <row r="960" spans="3:14" x14ac:dyDescent="0.2">
      <c r="C960" s="261"/>
      <c r="D960" s="261"/>
      <c r="E960" s="261"/>
      <c r="F960" s="261"/>
      <c r="G960" s="261"/>
      <c r="H960" s="261"/>
      <c r="I960" s="261"/>
      <c r="J960" s="261"/>
      <c r="K960" s="261"/>
      <c r="L960" s="261"/>
      <c r="M960" s="261"/>
      <c r="N960" s="261"/>
    </row>
    <row r="961" spans="3:14" x14ac:dyDescent="0.2">
      <c r="C961" s="261"/>
      <c r="D961" s="261"/>
      <c r="E961" s="261"/>
      <c r="F961" s="261"/>
      <c r="G961" s="261"/>
      <c r="H961" s="261"/>
      <c r="I961" s="261"/>
      <c r="J961" s="261"/>
      <c r="K961" s="261"/>
      <c r="L961" s="261"/>
      <c r="M961" s="261"/>
      <c r="N961" s="261"/>
    </row>
    <row r="962" spans="3:14" x14ac:dyDescent="0.2">
      <c r="C962" s="261"/>
      <c r="D962" s="261"/>
      <c r="E962" s="261"/>
      <c r="F962" s="261"/>
      <c r="G962" s="261"/>
      <c r="H962" s="261"/>
      <c r="I962" s="261"/>
      <c r="J962" s="261"/>
      <c r="K962" s="261"/>
      <c r="L962" s="261"/>
      <c r="M962" s="261"/>
      <c r="N962" s="261"/>
    </row>
    <row r="963" spans="3:14" x14ac:dyDescent="0.2">
      <c r="C963" s="261"/>
      <c r="D963" s="261"/>
      <c r="E963" s="261"/>
      <c r="F963" s="261"/>
      <c r="G963" s="261"/>
      <c r="H963" s="261"/>
      <c r="I963" s="261"/>
      <c r="J963" s="261"/>
      <c r="K963" s="261"/>
      <c r="L963" s="261"/>
      <c r="M963" s="261"/>
      <c r="N963" s="261"/>
    </row>
    <row r="964" spans="3:14" x14ac:dyDescent="0.2">
      <c r="C964" s="261"/>
      <c r="D964" s="261"/>
      <c r="E964" s="261"/>
      <c r="F964" s="261"/>
      <c r="G964" s="261"/>
      <c r="H964" s="261"/>
      <c r="I964" s="261"/>
      <c r="J964" s="261"/>
      <c r="K964" s="261"/>
      <c r="L964" s="261"/>
      <c r="M964" s="261"/>
      <c r="N964" s="261"/>
    </row>
    <row r="965" spans="3:14" x14ac:dyDescent="0.2">
      <c r="C965" s="261"/>
      <c r="D965" s="261"/>
      <c r="E965" s="261"/>
      <c r="F965" s="261"/>
      <c r="G965" s="261"/>
      <c r="H965" s="261"/>
      <c r="I965" s="261"/>
      <c r="J965" s="261"/>
      <c r="K965" s="261"/>
      <c r="L965" s="261"/>
      <c r="M965" s="261"/>
      <c r="N965" s="261"/>
    </row>
    <row r="966" spans="3:14" x14ac:dyDescent="0.2">
      <c r="C966" s="261"/>
      <c r="D966" s="261"/>
      <c r="E966" s="261"/>
      <c r="F966" s="261"/>
      <c r="G966" s="261"/>
      <c r="H966" s="261"/>
      <c r="I966" s="261"/>
      <c r="J966" s="261"/>
      <c r="K966" s="261"/>
      <c r="L966" s="261"/>
      <c r="M966" s="261"/>
      <c r="N966" s="261"/>
    </row>
    <row r="967" spans="3:14" x14ac:dyDescent="0.2">
      <c r="C967" s="261"/>
      <c r="D967" s="261"/>
      <c r="E967" s="261"/>
      <c r="F967" s="261"/>
      <c r="G967" s="261"/>
      <c r="H967" s="261"/>
      <c r="I967" s="261"/>
      <c r="J967" s="261"/>
      <c r="K967" s="261"/>
      <c r="L967" s="261"/>
      <c r="M967" s="261"/>
      <c r="N967" s="261"/>
    </row>
    <row r="968" spans="3:14" x14ac:dyDescent="0.2">
      <c r="C968" s="261"/>
      <c r="D968" s="261"/>
      <c r="E968" s="261"/>
      <c r="F968" s="261"/>
      <c r="G968" s="261"/>
      <c r="H968" s="261"/>
      <c r="I968" s="261"/>
      <c r="J968" s="261"/>
      <c r="K968" s="261"/>
      <c r="L968" s="261"/>
      <c r="M968" s="261"/>
      <c r="N968" s="261"/>
    </row>
    <row r="969" spans="3:14" x14ac:dyDescent="0.2">
      <c r="C969" s="261"/>
      <c r="D969" s="261"/>
      <c r="E969" s="261"/>
      <c r="F969" s="261"/>
      <c r="G969" s="261"/>
      <c r="H969" s="261"/>
      <c r="I969" s="261"/>
      <c r="J969" s="261"/>
      <c r="K969" s="261"/>
      <c r="L969" s="261"/>
      <c r="M969" s="261"/>
      <c r="N969" s="261"/>
    </row>
    <row r="970" spans="3:14" x14ac:dyDescent="0.2">
      <c r="C970" s="261"/>
      <c r="D970" s="261"/>
      <c r="E970" s="261"/>
      <c r="F970" s="261"/>
      <c r="G970" s="261"/>
      <c r="H970" s="261"/>
      <c r="I970" s="261"/>
      <c r="J970" s="261"/>
      <c r="K970" s="261"/>
      <c r="L970" s="261"/>
      <c r="M970" s="261"/>
      <c r="N970" s="261"/>
    </row>
    <row r="971" spans="3:14" x14ac:dyDescent="0.2">
      <c r="C971" s="261"/>
      <c r="D971" s="261"/>
      <c r="E971" s="261"/>
      <c r="F971" s="261"/>
      <c r="G971" s="261"/>
      <c r="H971" s="261"/>
      <c r="I971" s="261"/>
      <c r="J971" s="261"/>
      <c r="K971" s="261"/>
      <c r="L971" s="261"/>
      <c r="M971" s="261"/>
      <c r="N971" s="261"/>
    </row>
    <row r="972" spans="3:14" x14ac:dyDescent="0.2">
      <c r="C972" s="261"/>
      <c r="D972" s="261"/>
      <c r="E972" s="261"/>
      <c r="F972" s="261"/>
      <c r="G972" s="261"/>
      <c r="H972" s="261"/>
      <c r="I972" s="261"/>
      <c r="J972" s="261"/>
      <c r="K972" s="261"/>
      <c r="L972" s="261"/>
      <c r="M972" s="261"/>
      <c r="N972" s="261"/>
    </row>
    <row r="973" spans="3:14" x14ac:dyDescent="0.2">
      <c r="C973" s="261"/>
      <c r="D973" s="261"/>
      <c r="E973" s="261"/>
      <c r="F973" s="261"/>
      <c r="G973" s="261"/>
      <c r="H973" s="261"/>
      <c r="I973" s="261"/>
      <c r="J973" s="261"/>
      <c r="K973" s="261"/>
      <c r="L973" s="261"/>
      <c r="M973" s="261"/>
      <c r="N973" s="261"/>
    </row>
    <row r="974" spans="3:14" x14ac:dyDescent="0.2">
      <c r="C974" s="261"/>
      <c r="D974" s="261"/>
      <c r="E974" s="261"/>
      <c r="F974" s="261"/>
      <c r="G974" s="261"/>
      <c r="H974" s="261"/>
      <c r="I974" s="261"/>
      <c r="J974" s="261"/>
      <c r="K974" s="261"/>
      <c r="L974" s="261"/>
      <c r="M974" s="261"/>
      <c r="N974" s="261"/>
    </row>
    <row r="975" spans="3:14" x14ac:dyDescent="0.2">
      <c r="C975" s="261"/>
      <c r="D975" s="261"/>
      <c r="E975" s="261"/>
      <c r="F975" s="261"/>
      <c r="G975" s="261"/>
      <c r="H975" s="261"/>
      <c r="I975" s="261"/>
      <c r="J975" s="261"/>
      <c r="K975" s="261"/>
      <c r="L975" s="261"/>
      <c r="M975" s="261"/>
      <c r="N975" s="261"/>
    </row>
    <row r="976" spans="3:14" x14ac:dyDescent="0.2">
      <c r="C976" s="261"/>
      <c r="D976" s="261"/>
      <c r="E976" s="261"/>
      <c r="F976" s="261"/>
      <c r="G976" s="261"/>
      <c r="H976" s="261"/>
      <c r="I976" s="261"/>
      <c r="J976" s="261"/>
      <c r="K976" s="261"/>
      <c r="L976" s="261"/>
      <c r="M976" s="261"/>
      <c r="N976" s="261"/>
    </row>
    <row r="977" spans="3:14" x14ac:dyDescent="0.2">
      <c r="C977" s="261"/>
      <c r="D977" s="261"/>
      <c r="E977" s="261"/>
      <c r="F977" s="261"/>
      <c r="G977" s="261"/>
      <c r="H977" s="261"/>
      <c r="I977" s="261"/>
      <c r="J977" s="261"/>
      <c r="K977" s="261"/>
      <c r="L977" s="261"/>
      <c r="M977" s="261"/>
      <c r="N977" s="261"/>
    </row>
    <row r="978" spans="3:14" x14ac:dyDescent="0.2">
      <c r="C978" s="261"/>
      <c r="D978" s="261"/>
      <c r="E978" s="261"/>
      <c r="F978" s="261"/>
      <c r="G978" s="261"/>
      <c r="H978" s="261"/>
      <c r="I978" s="261"/>
      <c r="J978" s="261"/>
      <c r="K978" s="261"/>
      <c r="L978" s="261"/>
      <c r="M978" s="261"/>
      <c r="N978" s="261"/>
    </row>
    <row r="979" spans="3:14" x14ac:dyDescent="0.2">
      <c r="C979" s="261"/>
      <c r="D979" s="261"/>
      <c r="E979" s="261"/>
      <c r="F979" s="261"/>
      <c r="G979" s="261"/>
      <c r="H979" s="261"/>
      <c r="I979" s="261"/>
      <c r="J979" s="261"/>
      <c r="K979" s="261"/>
      <c r="L979" s="261"/>
      <c r="M979" s="261"/>
      <c r="N979" s="261"/>
    </row>
    <row r="980" spans="3:14" x14ac:dyDescent="0.2">
      <c r="C980" s="261"/>
      <c r="D980" s="261"/>
      <c r="E980" s="261"/>
      <c r="F980" s="261"/>
      <c r="G980" s="261"/>
      <c r="H980" s="261"/>
      <c r="I980" s="261"/>
      <c r="J980" s="261"/>
      <c r="K980" s="261"/>
      <c r="L980" s="261"/>
      <c r="M980" s="261"/>
      <c r="N980" s="261"/>
    </row>
    <row r="981" spans="3:14" x14ac:dyDescent="0.2">
      <c r="C981" s="261"/>
      <c r="D981" s="261"/>
      <c r="E981" s="261"/>
      <c r="F981" s="261"/>
      <c r="G981" s="261"/>
      <c r="H981" s="261"/>
      <c r="I981" s="261"/>
      <c r="J981" s="261"/>
      <c r="K981" s="261"/>
      <c r="L981" s="261"/>
      <c r="M981" s="261"/>
      <c r="N981" s="261"/>
    </row>
    <row r="982" spans="3:14" x14ac:dyDescent="0.2">
      <c r="C982" s="261"/>
      <c r="D982" s="261"/>
      <c r="E982" s="261"/>
      <c r="F982" s="261"/>
      <c r="G982" s="261"/>
      <c r="H982" s="261"/>
      <c r="I982" s="261"/>
      <c r="J982" s="261"/>
      <c r="K982" s="261"/>
      <c r="L982" s="261"/>
      <c r="M982" s="261"/>
      <c r="N982" s="261"/>
    </row>
    <row r="983" spans="3:14" x14ac:dyDescent="0.2">
      <c r="C983" s="261"/>
      <c r="D983" s="261"/>
      <c r="E983" s="261"/>
      <c r="F983" s="261"/>
      <c r="G983" s="261"/>
      <c r="H983" s="261"/>
      <c r="I983" s="261"/>
      <c r="J983" s="261"/>
      <c r="K983" s="261"/>
      <c r="L983" s="261"/>
      <c r="M983" s="261"/>
      <c r="N983" s="261"/>
    </row>
    <row r="984" spans="3:14" x14ac:dyDescent="0.2">
      <c r="C984" s="261"/>
      <c r="D984" s="261"/>
      <c r="E984" s="261"/>
      <c r="F984" s="261"/>
      <c r="G984" s="261"/>
      <c r="H984" s="261"/>
      <c r="I984" s="261"/>
      <c r="J984" s="261"/>
      <c r="K984" s="261"/>
      <c r="L984" s="261"/>
      <c r="M984" s="261"/>
      <c r="N984" s="261"/>
    </row>
    <row r="985" spans="3:14" x14ac:dyDescent="0.2">
      <c r="C985" s="261"/>
      <c r="D985" s="261"/>
      <c r="E985" s="261"/>
      <c r="F985" s="261"/>
      <c r="G985" s="261"/>
      <c r="H985" s="261"/>
      <c r="I985" s="261"/>
      <c r="J985" s="261"/>
      <c r="K985" s="261"/>
      <c r="L985" s="261"/>
      <c r="M985" s="261"/>
      <c r="N985" s="261"/>
    </row>
    <row r="986" spans="3:14" x14ac:dyDescent="0.2">
      <c r="C986" s="261"/>
      <c r="D986" s="261"/>
      <c r="E986" s="261"/>
      <c r="F986" s="261"/>
      <c r="G986" s="261"/>
      <c r="H986" s="261"/>
      <c r="I986" s="261"/>
      <c r="J986" s="261"/>
      <c r="K986" s="261"/>
      <c r="L986" s="261"/>
      <c r="M986" s="261"/>
      <c r="N986" s="261"/>
    </row>
    <row r="987" spans="3:14" x14ac:dyDescent="0.2">
      <c r="C987" s="261"/>
      <c r="D987" s="261"/>
      <c r="E987" s="261"/>
      <c r="F987" s="261"/>
      <c r="G987" s="261"/>
      <c r="H987" s="261"/>
      <c r="I987" s="261"/>
      <c r="J987" s="261"/>
      <c r="K987" s="261"/>
      <c r="L987" s="261"/>
      <c r="M987" s="261"/>
      <c r="N987" s="261"/>
    </row>
    <row r="988" spans="3:14" x14ac:dyDescent="0.2">
      <c r="C988" s="261"/>
      <c r="D988" s="261"/>
      <c r="E988" s="261"/>
      <c r="F988" s="261"/>
      <c r="G988" s="261"/>
      <c r="H988" s="261"/>
      <c r="I988" s="261"/>
      <c r="J988" s="261"/>
      <c r="K988" s="261"/>
      <c r="L988" s="261"/>
      <c r="M988" s="261"/>
      <c r="N988" s="261"/>
    </row>
    <row r="989" spans="3:14" x14ac:dyDescent="0.2">
      <c r="C989" s="261"/>
      <c r="D989" s="261"/>
      <c r="E989" s="261"/>
      <c r="F989" s="261"/>
      <c r="G989" s="261"/>
      <c r="H989" s="261"/>
      <c r="I989" s="261"/>
      <c r="J989" s="261"/>
      <c r="K989" s="261"/>
      <c r="L989" s="261"/>
      <c r="M989" s="261"/>
      <c r="N989" s="261"/>
    </row>
    <row r="990" spans="3:14" x14ac:dyDescent="0.2">
      <c r="C990" s="261"/>
      <c r="D990" s="261"/>
      <c r="E990" s="261"/>
      <c r="F990" s="261"/>
      <c r="G990" s="261"/>
      <c r="H990" s="261"/>
      <c r="I990" s="261"/>
      <c r="J990" s="261"/>
      <c r="K990" s="261"/>
      <c r="L990" s="261"/>
      <c r="M990" s="261"/>
      <c r="N990" s="261"/>
    </row>
    <row r="991" spans="3:14" x14ac:dyDescent="0.2">
      <c r="C991" s="261"/>
      <c r="D991" s="261"/>
      <c r="E991" s="261"/>
      <c r="F991" s="261"/>
      <c r="G991" s="261"/>
      <c r="H991" s="261"/>
      <c r="I991" s="261"/>
      <c r="J991" s="261"/>
      <c r="K991" s="261"/>
      <c r="L991" s="261"/>
      <c r="M991" s="261"/>
      <c r="N991" s="261"/>
    </row>
    <row r="992" spans="3:14" x14ac:dyDescent="0.2">
      <c r="C992" s="261"/>
      <c r="D992" s="261"/>
      <c r="E992" s="261"/>
      <c r="F992" s="261"/>
      <c r="G992" s="261"/>
      <c r="H992" s="261"/>
      <c r="I992" s="261"/>
      <c r="J992" s="261"/>
      <c r="K992" s="261"/>
      <c r="L992" s="261"/>
      <c r="M992" s="261"/>
      <c r="N992" s="261"/>
    </row>
    <row r="993" spans="3:14" x14ac:dyDescent="0.2">
      <c r="C993" s="261"/>
      <c r="D993" s="261"/>
      <c r="E993" s="261"/>
      <c r="F993" s="261"/>
      <c r="G993" s="261"/>
      <c r="H993" s="261"/>
      <c r="I993" s="261"/>
      <c r="J993" s="261"/>
      <c r="K993" s="261"/>
      <c r="L993" s="261"/>
      <c r="M993" s="261"/>
      <c r="N993" s="261"/>
    </row>
    <row r="994" spans="3:14" x14ac:dyDescent="0.2">
      <c r="C994" s="261"/>
      <c r="D994" s="261"/>
      <c r="E994" s="261"/>
      <c r="F994" s="261"/>
      <c r="G994" s="261"/>
      <c r="H994" s="261"/>
      <c r="I994" s="261"/>
      <c r="J994" s="261"/>
      <c r="K994" s="261"/>
      <c r="L994" s="261"/>
      <c r="M994" s="261"/>
      <c r="N994" s="261"/>
    </row>
    <row r="995" spans="3:14" x14ac:dyDescent="0.2">
      <c r="C995" s="261"/>
      <c r="D995" s="261"/>
      <c r="E995" s="261"/>
      <c r="F995" s="261"/>
      <c r="G995" s="261"/>
      <c r="H995" s="261"/>
      <c r="I995" s="261"/>
      <c r="J995" s="261"/>
      <c r="K995" s="261"/>
      <c r="L995" s="261"/>
      <c r="M995" s="261"/>
      <c r="N995" s="261"/>
    </row>
    <row r="996" spans="3:14" x14ac:dyDescent="0.2">
      <c r="C996" s="261"/>
      <c r="D996" s="261"/>
      <c r="E996" s="261"/>
      <c r="F996" s="261"/>
      <c r="G996" s="261"/>
      <c r="H996" s="261"/>
      <c r="I996" s="261"/>
      <c r="J996" s="261"/>
      <c r="K996" s="261"/>
      <c r="L996" s="261"/>
      <c r="M996" s="261"/>
      <c r="N996" s="261"/>
    </row>
    <row r="997" spans="3:14" x14ac:dyDescent="0.2">
      <c r="C997" s="261"/>
      <c r="D997" s="261"/>
      <c r="E997" s="261"/>
      <c r="F997" s="261"/>
      <c r="G997" s="261"/>
      <c r="H997" s="261"/>
      <c r="I997" s="261"/>
      <c r="J997" s="261"/>
      <c r="K997" s="261"/>
      <c r="L997" s="261"/>
      <c r="M997" s="261"/>
      <c r="N997" s="261"/>
    </row>
    <row r="998" spans="3:14" x14ac:dyDescent="0.2">
      <c r="C998" s="261"/>
      <c r="D998" s="261"/>
      <c r="E998" s="261"/>
      <c r="F998" s="261"/>
      <c r="G998" s="261"/>
      <c r="H998" s="261"/>
      <c r="I998" s="261"/>
      <c r="J998" s="261"/>
      <c r="K998" s="261"/>
      <c r="L998" s="261"/>
      <c r="M998" s="261"/>
      <c r="N998" s="261"/>
    </row>
    <row r="999" spans="3:14" x14ac:dyDescent="0.2">
      <c r="C999" s="261"/>
      <c r="D999" s="261"/>
      <c r="E999" s="261"/>
      <c r="F999" s="261"/>
      <c r="G999" s="261"/>
      <c r="H999" s="261"/>
      <c r="I999" s="261"/>
      <c r="J999" s="261"/>
      <c r="K999" s="261"/>
      <c r="L999" s="261"/>
      <c r="M999" s="261"/>
      <c r="N999" s="261"/>
    </row>
    <row r="1000" spans="3:14" x14ac:dyDescent="0.2">
      <c r="C1000" s="261"/>
      <c r="D1000" s="261"/>
      <c r="E1000" s="261"/>
      <c r="F1000" s="261"/>
      <c r="G1000" s="261"/>
      <c r="H1000" s="261"/>
      <c r="I1000" s="261"/>
      <c r="J1000" s="261"/>
      <c r="K1000" s="261"/>
      <c r="L1000" s="261"/>
      <c r="M1000" s="261"/>
      <c r="N1000" s="261"/>
    </row>
    <row r="1001" spans="3:14" x14ac:dyDescent="0.2">
      <c r="C1001" s="261"/>
      <c r="D1001" s="261"/>
      <c r="E1001" s="261"/>
      <c r="F1001" s="261"/>
      <c r="G1001" s="261"/>
      <c r="H1001" s="261"/>
      <c r="I1001" s="261"/>
      <c r="J1001" s="261"/>
      <c r="K1001" s="261"/>
      <c r="L1001" s="261"/>
      <c r="M1001" s="261"/>
      <c r="N1001" s="261"/>
    </row>
    <row r="1002" spans="3:14" x14ac:dyDescent="0.2">
      <c r="C1002" s="261"/>
      <c r="D1002" s="261"/>
      <c r="E1002" s="261"/>
      <c r="F1002" s="261"/>
      <c r="G1002" s="261"/>
      <c r="H1002" s="261"/>
      <c r="I1002" s="261"/>
      <c r="J1002" s="261"/>
      <c r="K1002" s="261"/>
      <c r="L1002" s="261"/>
      <c r="M1002" s="261"/>
      <c r="N1002" s="261"/>
    </row>
    <row r="1003" spans="3:14" x14ac:dyDescent="0.2">
      <c r="C1003" s="261"/>
      <c r="D1003" s="261"/>
      <c r="E1003" s="261"/>
      <c r="F1003" s="261"/>
      <c r="G1003" s="261"/>
      <c r="H1003" s="261"/>
      <c r="I1003" s="261"/>
      <c r="J1003" s="261"/>
      <c r="K1003" s="261"/>
      <c r="L1003" s="261"/>
      <c r="M1003" s="261"/>
      <c r="N1003" s="261"/>
    </row>
    <row r="1004" spans="3:14" x14ac:dyDescent="0.2">
      <c r="C1004" s="261"/>
      <c r="D1004" s="261"/>
      <c r="E1004" s="261"/>
      <c r="F1004" s="261"/>
      <c r="G1004" s="261"/>
      <c r="H1004" s="261"/>
      <c r="I1004" s="261"/>
      <c r="J1004" s="261"/>
      <c r="K1004" s="261"/>
      <c r="L1004" s="261"/>
      <c r="M1004" s="261"/>
      <c r="N1004" s="261"/>
    </row>
    <row r="1005" spans="3:14" x14ac:dyDescent="0.2">
      <c r="C1005" s="261"/>
      <c r="D1005" s="261"/>
      <c r="E1005" s="261"/>
      <c r="F1005" s="261"/>
      <c r="G1005" s="261"/>
      <c r="H1005" s="261"/>
      <c r="I1005" s="261"/>
      <c r="J1005" s="261"/>
      <c r="K1005" s="261"/>
      <c r="L1005" s="261"/>
      <c r="M1005" s="261"/>
      <c r="N1005" s="261"/>
    </row>
    <row r="1006" spans="3:14" x14ac:dyDescent="0.2">
      <c r="C1006" s="261"/>
      <c r="D1006" s="261"/>
      <c r="E1006" s="261"/>
      <c r="F1006" s="261"/>
      <c r="G1006" s="261"/>
      <c r="H1006" s="261"/>
      <c r="I1006" s="261"/>
      <c r="J1006" s="261"/>
      <c r="K1006" s="261"/>
      <c r="L1006" s="261"/>
      <c r="M1006" s="261"/>
      <c r="N1006" s="261"/>
    </row>
    <row r="1007" spans="3:14" x14ac:dyDescent="0.2">
      <c r="C1007" s="261"/>
      <c r="D1007" s="261"/>
      <c r="E1007" s="261"/>
      <c r="F1007" s="261"/>
      <c r="G1007" s="261"/>
      <c r="H1007" s="261"/>
      <c r="I1007" s="261"/>
      <c r="J1007" s="261"/>
      <c r="K1007" s="261"/>
      <c r="L1007" s="261"/>
      <c r="M1007" s="261"/>
      <c r="N1007" s="261"/>
    </row>
    <row r="1008" spans="3:14" x14ac:dyDescent="0.2">
      <c r="C1008" s="261"/>
      <c r="D1008" s="261"/>
      <c r="E1008" s="261"/>
      <c r="F1008" s="261"/>
      <c r="G1008" s="261"/>
      <c r="H1008" s="261"/>
      <c r="I1008" s="261"/>
      <c r="J1008" s="261"/>
      <c r="K1008" s="261"/>
      <c r="L1008" s="261"/>
      <c r="M1008" s="261"/>
      <c r="N1008" s="261"/>
    </row>
    <row r="1009" spans="3:14" x14ac:dyDescent="0.2">
      <c r="C1009" s="261"/>
      <c r="D1009" s="261"/>
      <c r="E1009" s="261"/>
      <c r="F1009" s="261"/>
      <c r="G1009" s="261"/>
      <c r="H1009" s="261"/>
      <c r="I1009" s="261"/>
      <c r="J1009" s="261"/>
      <c r="K1009" s="261"/>
      <c r="L1009" s="261"/>
      <c r="M1009" s="261"/>
      <c r="N1009" s="261"/>
    </row>
    <row r="1010" spans="3:14" x14ac:dyDescent="0.2">
      <c r="C1010" s="261"/>
      <c r="D1010" s="261"/>
      <c r="E1010" s="261"/>
      <c r="F1010" s="261"/>
      <c r="G1010" s="261"/>
      <c r="H1010" s="261"/>
      <c r="I1010" s="261"/>
      <c r="J1010" s="261"/>
      <c r="K1010" s="261"/>
      <c r="L1010" s="261"/>
      <c r="M1010" s="261"/>
      <c r="N1010" s="261"/>
    </row>
    <row r="1011" spans="3:14" x14ac:dyDescent="0.2">
      <c r="C1011" s="261"/>
      <c r="D1011" s="261"/>
      <c r="E1011" s="261"/>
      <c r="F1011" s="261"/>
      <c r="G1011" s="261"/>
      <c r="H1011" s="261"/>
      <c r="I1011" s="261"/>
      <c r="J1011" s="261"/>
      <c r="K1011" s="261"/>
      <c r="L1011" s="261"/>
      <c r="M1011" s="261"/>
      <c r="N1011" s="261"/>
    </row>
    <row r="1012" spans="3:14" x14ac:dyDescent="0.2">
      <c r="C1012" s="261"/>
      <c r="D1012" s="261"/>
      <c r="E1012" s="261"/>
      <c r="F1012" s="261"/>
      <c r="G1012" s="261"/>
      <c r="H1012" s="261"/>
      <c r="I1012" s="261"/>
      <c r="J1012" s="261"/>
      <c r="K1012" s="261"/>
      <c r="L1012" s="261"/>
      <c r="M1012" s="261"/>
      <c r="N1012" s="261"/>
    </row>
    <row r="1013" spans="3:14" x14ac:dyDescent="0.2">
      <c r="C1013" s="261"/>
      <c r="D1013" s="261"/>
      <c r="E1013" s="261"/>
      <c r="F1013" s="261"/>
      <c r="G1013" s="261"/>
      <c r="H1013" s="261"/>
      <c r="I1013" s="261"/>
      <c r="J1013" s="261"/>
      <c r="K1013" s="261"/>
      <c r="L1013" s="261"/>
      <c r="M1013" s="261"/>
      <c r="N1013" s="261"/>
    </row>
    <row r="1014" spans="3:14" x14ac:dyDescent="0.2">
      <c r="C1014" s="261"/>
      <c r="D1014" s="261"/>
      <c r="E1014" s="261"/>
      <c r="F1014" s="261"/>
      <c r="G1014" s="261"/>
      <c r="H1014" s="261"/>
      <c r="I1014" s="261"/>
      <c r="J1014" s="261"/>
      <c r="K1014" s="261"/>
      <c r="L1014" s="261"/>
      <c r="M1014" s="261"/>
      <c r="N1014" s="261"/>
    </row>
    <row r="1015" spans="3:14" x14ac:dyDescent="0.2">
      <c r="C1015" s="261"/>
      <c r="D1015" s="261"/>
      <c r="E1015" s="261"/>
      <c r="F1015" s="261"/>
      <c r="G1015" s="261"/>
      <c r="H1015" s="261"/>
      <c r="I1015" s="261"/>
      <c r="J1015" s="261"/>
      <c r="K1015" s="261"/>
      <c r="L1015" s="261"/>
      <c r="M1015" s="261"/>
      <c r="N1015" s="261"/>
    </row>
    <row r="1016" spans="3:14" x14ac:dyDescent="0.2">
      <c r="C1016" s="261"/>
      <c r="D1016" s="261"/>
      <c r="E1016" s="261"/>
      <c r="F1016" s="261"/>
      <c r="G1016" s="261"/>
      <c r="H1016" s="261"/>
      <c r="I1016" s="261"/>
      <c r="J1016" s="261"/>
      <c r="K1016" s="261"/>
      <c r="L1016" s="261"/>
      <c r="M1016" s="261"/>
      <c r="N1016" s="261"/>
    </row>
    <row r="1017" spans="3:14" x14ac:dyDescent="0.2">
      <c r="C1017" s="261"/>
      <c r="D1017" s="261"/>
      <c r="E1017" s="261"/>
      <c r="F1017" s="261"/>
      <c r="G1017" s="261"/>
      <c r="H1017" s="261"/>
      <c r="I1017" s="261"/>
      <c r="J1017" s="261"/>
      <c r="K1017" s="261"/>
      <c r="L1017" s="261"/>
      <c r="M1017" s="261"/>
      <c r="N1017" s="261"/>
    </row>
    <row r="1018" spans="3:14" x14ac:dyDescent="0.2">
      <c r="C1018" s="261"/>
      <c r="D1018" s="261"/>
      <c r="E1018" s="261"/>
      <c r="F1018" s="261"/>
      <c r="G1018" s="261"/>
      <c r="H1018" s="261"/>
      <c r="I1018" s="261"/>
      <c r="J1018" s="261"/>
      <c r="K1018" s="261"/>
      <c r="L1018" s="261"/>
      <c r="M1018" s="261"/>
      <c r="N1018" s="261"/>
    </row>
    <row r="1019" spans="3:14" x14ac:dyDescent="0.2">
      <c r="C1019" s="261"/>
      <c r="D1019" s="261"/>
      <c r="E1019" s="261"/>
      <c r="F1019" s="261"/>
      <c r="G1019" s="261"/>
      <c r="H1019" s="261"/>
      <c r="I1019" s="261"/>
      <c r="J1019" s="261"/>
      <c r="K1019" s="261"/>
      <c r="L1019" s="261"/>
      <c r="M1019" s="261"/>
      <c r="N1019" s="261"/>
    </row>
    <row r="1020" spans="3:14" x14ac:dyDescent="0.2">
      <c r="C1020" s="261"/>
      <c r="D1020" s="261"/>
      <c r="E1020" s="261"/>
      <c r="F1020" s="261"/>
      <c r="G1020" s="261"/>
      <c r="H1020" s="261"/>
      <c r="I1020" s="261"/>
      <c r="J1020" s="261"/>
      <c r="K1020" s="261"/>
      <c r="L1020" s="261"/>
      <c r="M1020" s="261"/>
      <c r="N1020" s="261"/>
    </row>
    <row r="1021" spans="3:14" x14ac:dyDescent="0.2">
      <c r="C1021" s="261"/>
      <c r="D1021" s="261"/>
      <c r="E1021" s="261"/>
      <c r="F1021" s="261"/>
      <c r="G1021" s="261"/>
      <c r="H1021" s="261"/>
      <c r="I1021" s="261"/>
      <c r="J1021" s="261"/>
      <c r="K1021" s="261"/>
      <c r="L1021" s="261"/>
      <c r="M1021" s="261"/>
      <c r="N1021" s="261"/>
    </row>
    <row r="1022" spans="3:14" x14ac:dyDescent="0.2">
      <c r="C1022" s="261"/>
      <c r="D1022" s="261"/>
      <c r="E1022" s="261"/>
      <c r="F1022" s="261"/>
      <c r="G1022" s="261"/>
      <c r="H1022" s="261"/>
      <c r="I1022" s="261"/>
      <c r="J1022" s="261"/>
      <c r="K1022" s="261"/>
      <c r="L1022" s="261"/>
      <c r="M1022" s="261"/>
      <c r="N1022" s="261"/>
    </row>
    <row r="1023" spans="3:14" x14ac:dyDescent="0.2">
      <c r="C1023" s="261"/>
      <c r="D1023" s="261"/>
      <c r="E1023" s="261"/>
      <c r="F1023" s="261"/>
      <c r="G1023" s="261"/>
      <c r="H1023" s="261"/>
      <c r="I1023" s="261"/>
      <c r="J1023" s="261"/>
      <c r="K1023" s="261"/>
      <c r="L1023" s="261"/>
      <c r="M1023" s="261"/>
      <c r="N1023" s="261"/>
    </row>
    <row r="1024" spans="3:14" x14ac:dyDescent="0.2">
      <c r="C1024" s="261"/>
      <c r="D1024" s="261"/>
      <c r="E1024" s="261"/>
      <c r="F1024" s="261"/>
      <c r="G1024" s="261"/>
      <c r="H1024" s="261"/>
      <c r="I1024" s="261"/>
      <c r="J1024" s="261"/>
      <c r="K1024" s="261"/>
      <c r="L1024" s="261"/>
      <c r="M1024" s="261"/>
      <c r="N1024" s="261"/>
    </row>
    <row r="1025" spans="3:14" x14ac:dyDescent="0.2">
      <c r="C1025" s="261"/>
      <c r="D1025" s="261"/>
      <c r="E1025" s="261"/>
      <c r="F1025" s="261"/>
      <c r="G1025" s="261"/>
      <c r="H1025" s="261"/>
      <c r="I1025" s="261"/>
      <c r="J1025" s="261"/>
      <c r="K1025" s="261"/>
      <c r="L1025" s="261"/>
      <c r="M1025" s="261"/>
      <c r="N1025" s="261"/>
    </row>
    <row r="1026" spans="3:14" x14ac:dyDescent="0.2">
      <c r="C1026" s="261"/>
      <c r="D1026" s="261"/>
      <c r="E1026" s="261"/>
      <c r="F1026" s="261"/>
      <c r="G1026" s="261"/>
      <c r="H1026" s="261"/>
      <c r="I1026" s="261"/>
      <c r="J1026" s="261"/>
      <c r="K1026" s="261"/>
      <c r="L1026" s="261"/>
      <c r="M1026" s="261"/>
      <c r="N1026" s="261"/>
    </row>
    <row r="1027" spans="3:14" x14ac:dyDescent="0.2">
      <c r="C1027" s="261"/>
      <c r="D1027" s="261"/>
      <c r="E1027" s="261"/>
      <c r="F1027" s="261"/>
      <c r="G1027" s="261"/>
      <c r="H1027" s="261"/>
      <c r="I1027" s="261"/>
      <c r="J1027" s="261"/>
      <c r="K1027" s="261"/>
      <c r="L1027" s="261"/>
      <c r="M1027" s="261"/>
      <c r="N1027" s="261"/>
    </row>
    <row r="1028" spans="3:14" x14ac:dyDescent="0.2">
      <c r="C1028" s="261"/>
      <c r="D1028" s="261"/>
      <c r="E1028" s="261"/>
      <c r="F1028" s="261"/>
      <c r="G1028" s="261"/>
      <c r="H1028" s="261"/>
      <c r="I1028" s="261"/>
      <c r="J1028" s="261"/>
      <c r="K1028" s="261"/>
      <c r="L1028" s="261"/>
      <c r="M1028" s="261"/>
      <c r="N1028" s="261"/>
    </row>
    <row r="1029" spans="3:14" x14ac:dyDescent="0.2">
      <c r="C1029" s="261"/>
      <c r="D1029" s="261"/>
      <c r="E1029" s="261"/>
      <c r="F1029" s="261"/>
      <c r="G1029" s="261"/>
      <c r="H1029" s="261"/>
      <c r="I1029" s="261"/>
      <c r="J1029" s="261"/>
      <c r="K1029" s="261"/>
      <c r="L1029" s="261"/>
      <c r="M1029" s="261"/>
      <c r="N1029" s="261"/>
    </row>
    <row r="1030" spans="3:14" x14ac:dyDescent="0.2">
      <c r="C1030" s="261"/>
      <c r="D1030" s="261"/>
      <c r="E1030" s="261"/>
      <c r="F1030" s="261"/>
      <c r="G1030" s="261"/>
      <c r="H1030" s="261"/>
      <c r="I1030" s="261"/>
      <c r="J1030" s="261"/>
      <c r="K1030" s="261"/>
      <c r="L1030" s="261"/>
      <c r="M1030" s="261"/>
      <c r="N1030" s="261"/>
    </row>
    <row r="1031" spans="3:14" x14ac:dyDescent="0.2">
      <c r="C1031" s="261"/>
      <c r="D1031" s="261"/>
      <c r="E1031" s="261"/>
      <c r="F1031" s="261"/>
      <c r="G1031" s="261"/>
      <c r="H1031" s="261"/>
      <c r="I1031" s="261"/>
      <c r="J1031" s="261"/>
      <c r="K1031" s="261"/>
      <c r="L1031" s="261"/>
      <c r="M1031" s="261"/>
      <c r="N1031" s="261"/>
    </row>
    <row r="1032" spans="3:14" x14ac:dyDescent="0.2">
      <c r="C1032" s="261"/>
      <c r="D1032" s="261"/>
      <c r="E1032" s="261"/>
      <c r="F1032" s="261"/>
      <c r="G1032" s="261"/>
      <c r="H1032" s="261"/>
      <c r="I1032" s="261"/>
      <c r="J1032" s="261"/>
      <c r="K1032" s="261"/>
      <c r="L1032" s="261"/>
      <c r="M1032" s="261"/>
      <c r="N1032" s="261"/>
    </row>
    <row r="1033" spans="3:14" x14ac:dyDescent="0.2">
      <c r="C1033" s="261"/>
      <c r="D1033" s="261"/>
      <c r="E1033" s="261"/>
      <c r="F1033" s="261"/>
      <c r="G1033" s="261"/>
      <c r="H1033" s="261"/>
      <c r="I1033" s="261"/>
      <c r="J1033" s="261"/>
      <c r="K1033" s="261"/>
      <c r="L1033" s="261"/>
      <c r="M1033" s="261"/>
      <c r="N1033" s="261"/>
    </row>
    <row r="1034" spans="3:14" x14ac:dyDescent="0.2">
      <c r="C1034" s="261"/>
      <c r="D1034" s="261"/>
      <c r="E1034" s="261"/>
      <c r="F1034" s="261"/>
      <c r="G1034" s="261"/>
      <c r="H1034" s="261"/>
      <c r="I1034" s="261"/>
      <c r="J1034" s="261"/>
      <c r="K1034" s="261"/>
      <c r="L1034" s="261"/>
      <c r="M1034" s="261"/>
      <c r="N1034" s="261"/>
    </row>
    <row r="1035" spans="3:14" x14ac:dyDescent="0.2">
      <c r="C1035" s="261"/>
      <c r="D1035" s="261"/>
      <c r="E1035" s="261"/>
      <c r="F1035" s="261"/>
      <c r="G1035" s="261"/>
      <c r="H1035" s="261"/>
      <c r="I1035" s="261"/>
      <c r="J1035" s="261"/>
      <c r="K1035" s="261"/>
      <c r="L1035" s="261"/>
      <c r="M1035" s="261"/>
      <c r="N1035" s="261"/>
    </row>
    <row r="1036" spans="3:14" x14ac:dyDescent="0.2">
      <c r="C1036" s="261"/>
      <c r="D1036" s="261"/>
      <c r="E1036" s="261"/>
      <c r="F1036" s="261"/>
      <c r="G1036" s="261"/>
      <c r="H1036" s="261"/>
      <c r="I1036" s="261"/>
      <c r="J1036" s="261"/>
      <c r="K1036" s="261"/>
      <c r="L1036" s="261"/>
      <c r="M1036" s="261"/>
      <c r="N1036" s="261"/>
    </row>
    <row r="1037" spans="3:14" x14ac:dyDescent="0.2">
      <c r="C1037" s="261"/>
      <c r="D1037" s="261"/>
      <c r="E1037" s="261"/>
      <c r="F1037" s="261"/>
      <c r="G1037" s="261"/>
      <c r="H1037" s="261"/>
      <c r="I1037" s="261"/>
      <c r="J1037" s="261"/>
      <c r="K1037" s="261"/>
      <c r="L1037" s="261"/>
      <c r="M1037" s="261"/>
      <c r="N1037" s="261"/>
    </row>
    <row r="1038" spans="3:14" x14ac:dyDescent="0.2">
      <c r="C1038" s="261"/>
      <c r="D1038" s="261"/>
      <c r="E1038" s="261"/>
      <c r="F1038" s="261"/>
      <c r="G1038" s="261"/>
      <c r="H1038" s="261"/>
      <c r="I1038" s="261"/>
      <c r="J1038" s="261"/>
      <c r="K1038" s="261"/>
      <c r="L1038" s="261"/>
      <c r="M1038" s="261"/>
      <c r="N1038" s="261"/>
    </row>
    <row r="1039" spans="3:14" x14ac:dyDescent="0.2">
      <c r="C1039" s="261"/>
      <c r="D1039" s="261"/>
      <c r="E1039" s="261"/>
      <c r="F1039" s="261"/>
      <c r="G1039" s="261"/>
      <c r="H1039" s="261"/>
      <c r="I1039" s="261"/>
      <c r="J1039" s="261"/>
      <c r="K1039" s="261"/>
      <c r="L1039" s="261"/>
      <c r="M1039" s="261"/>
      <c r="N1039" s="261"/>
    </row>
    <row r="1040" spans="3:14" x14ac:dyDescent="0.2">
      <c r="C1040" s="261"/>
      <c r="D1040" s="261"/>
      <c r="E1040" s="261"/>
      <c r="F1040" s="261"/>
      <c r="G1040" s="261"/>
      <c r="H1040" s="261"/>
      <c r="I1040" s="261"/>
      <c r="J1040" s="261"/>
      <c r="K1040" s="261"/>
      <c r="L1040" s="261"/>
      <c r="M1040" s="261"/>
      <c r="N1040" s="261"/>
    </row>
    <row r="1041" spans="3:14" x14ac:dyDescent="0.2">
      <c r="C1041" s="261"/>
      <c r="D1041" s="261"/>
      <c r="E1041" s="261"/>
      <c r="F1041" s="261"/>
      <c r="G1041" s="261"/>
      <c r="H1041" s="261"/>
      <c r="I1041" s="261"/>
      <c r="J1041" s="261"/>
      <c r="K1041" s="261"/>
      <c r="L1041" s="261"/>
      <c r="M1041" s="261"/>
      <c r="N1041" s="261"/>
    </row>
    <row r="1042" spans="3:14" x14ac:dyDescent="0.2">
      <c r="C1042" s="261"/>
      <c r="D1042" s="261"/>
      <c r="E1042" s="261"/>
      <c r="F1042" s="261"/>
      <c r="G1042" s="261"/>
      <c r="H1042" s="261"/>
      <c r="I1042" s="261"/>
      <c r="J1042" s="261"/>
      <c r="K1042" s="261"/>
      <c r="L1042" s="261"/>
      <c r="M1042" s="261"/>
      <c r="N1042" s="261"/>
    </row>
    <row r="1043" spans="3:14" x14ac:dyDescent="0.2">
      <c r="C1043" s="261"/>
      <c r="D1043" s="261"/>
      <c r="E1043" s="261"/>
      <c r="F1043" s="261"/>
      <c r="G1043" s="261"/>
      <c r="H1043" s="261"/>
      <c r="I1043" s="261"/>
      <c r="J1043" s="261"/>
      <c r="K1043" s="261"/>
      <c r="L1043" s="261"/>
      <c r="M1043" s="261"/>
      <c r="N1043" s="261"/>
    </row>
    <row r="1044" spans="3:14" x14ac:dyDescent="0.2">
      <c r="C1044" s="261"/>
      <c r="D1044" s="261"/>
      <c r="E1044" s="261"/>
      <c r="F1044" s="261"/>
      <c r="G1044" s="261"/>
      <c r="H1044" s="261"/>
      <c r="I1044" s="261"/>
      <c r="J1044" s="261"/>
      <c r="K1044" s="261"/>
      <c r="L1044" s="261"/>
      <c r="M1044" s="261"/>
      <c r="N1044" s="261"/>
    </row>
    <row r="1045" spans="3:14" x14ac:dyDescent="0.2">
      <c r="C1045" s="261"/>
      <c r="D1045" s="261"/>
      <c r="E1045" s="261"/>
      <c r="F1045" s="261"/>
      <c r="G1045" s="261"/>
      <c r="H1045" s="261"/>
      <c r="I1045" s="261"/>
      <c r="J1045" s="261"/>
      <c r="K1045" s="261"/>
      <c r="L1045" s="261"/>
      <c r="M1045" s="261"/>
      <c r="N1045" s="261"/>
    </row>
    <row r="1046" spans="3:14" x14ac:dyDescent="0.2">
      <c r="C1046" s="261"/>
      <c r="D1046" s="261"/>
      <c r="E1046" s="261"/>
      <c r="F1046" s="261"/>
      <c r="G1046" s="261"/>
      <c r="H1046" s="261"/>
      <c r="I1046" s="261"/>
      <c r="J1046" s="261"/>
      <c r="K1046" s="261"/>
      <c r="L1046" s="261"/>
      <c r="M1046" s="261"/>
      <c r="N1046" s="261"/>
    </row>
    <row r="1047" spans="3:14" x14ac:dyDescent="0.2">
      <c r="C1047" s="261"/>
      <c r="D1047" s="261"/>
      <c r="E1047" s="261"/>
      <c r="F1047" s="261"/>
      <c r="G1047" s="261"/>
      <c r="H1047" s="261"/>
      <c r="I1047" s="261"/>
      <c r="J1047" s="261"/>
      <c r="K1047" s="261"/>
      <c r="L1047" s="261"/>
      <c r="M1047" s="261"/>
      <c r="N1047" s="261"/>
    </row>
    <row r="1048" spans="3:14" x14ac:dyDescent="0.2">
      <c r="C1048" s="261"/>
      <c r="D1048" s="261"/>
      <c r="E1048" s="261"/>
      <c r="F1048" s="261"/>
      <c r="G1048" s="261"/>
      <c r="H1048" s="261"/>
      <c r="I1048" s="261"/>
      <c r="J1048" s="261"/>
      <c r="K1048" s="261"/>
      <c r="L1048" s="261"/>
      <c r="M1048" s="261"/>
      <c r="N1048" s="261"/>
    </row>
    <row r="1049" spans="3:14" x14ac:dyDescent="0.2">
      <c r="C1049" s="261"/>
      <c r="D1049" s="261"/>
      <c r="E1049" s="261"/>
      <c r="F1049" s="261"/>
      <c r="G1049" s="261"/>
      <c r="H1049" s="261"/>
      <c r="I1049" s="261"/>
      <c r="J1049" s="261"/>
      <c r="K1049" s="261"/>
      <c r="L1049" s="261"/>
      <c r="M1049" s="261"/>
      <c r="N1049" s="261"/>
    </row>
    <row r="1050" spans="3:14" x14ac:dyDescent="0.2">
      <c r="C1050" s="261"/>
      <c r="D1050" s="261"/>
      <c r="E1050" s="261"/>
      <c r="F1050" s="261"/>
      <c r="G1050" s="261"/>
      <c r="H1050" s="261"/>
      <c r="I1050" s="261"/>
      <c r="J1050" s="261"/>
      <c r="K1050" s="261"/>
      <c r="L1050" s="261"/>
      <c r="M1050" s="261"/>
      <c r="N1050" s="261"/>
    </row>
    <row r="1051" spans="3:14" x14ac:dyDescent="0.2">
      <c r="C1051" s="261"/>
      <c r="D1051" s="261"/>
      <c r="E1051" s="261"/>
      <c r="F1051" s="261"/>
      <c r="G1051" s="261"/>
      <c r="H1051" s="261"/>
      <c r="I1051" s="261"/>
      <c r="J1051" s="261"/>
      <c r="K1051" s="261"/>
      <c r="L1051" s="261"/>
      <c r="M1051" s="261"/>
      <c r="N1051" s="261"/>
    </row>
    <row r="1052" spans="3:14" x14ac:dyDescent="0.2">
      <c r="C1052" s="261"/>
      <c r="D1052" s="261"/>
      <c r="E1052" s="261"/>
      <c r="F1052" s="261"/>
      <c r="G1052" s="261"/>
      <c r="H1052" s="261"/>
      <c r="I1052" s="261"/>
      <c r="J1052" s="261"/>
      <c r="K1052" s="261"/>
      <c r="L1052" s="261"/>
      <c r="M1052" s="261"/>
      <c r="N1052" s="261"/>
    </row>
    <row r="1053" spans="3:14" x14ac:dyDescent="0.2">
      <c r="C1053" s="261"/>
      <c r="D1053" s="261"/>
      <c r="E1053" s="261"/>
      <c r="F1053" s="261"/>
      <c r="G1053" s="261"/>
      <c r="H1053" s="261"/>
      <c r="I1053" s="261"/>
      <c r="J1053" s="261"/>
      <c r="K1053" s="261"/>
      <c r="L1053" s="261"/>
      <c r="M1053" s="261"/>
      <c r="N1053" s="261"/>
    </row>
    <row r="1054" spans="3:14" x14ac:dyDescent="0.2">
      <c r="C1054" s="261"/>
      <c r="D1054" s="261"/>
      <c r="E1054" s="261"/>
      <c r="F1054" s="261"/>
      <c r="G1054" s="261"/>
      <c r="H1054" s="261"/>
      <c r="I1054" s="261"/>
      <c r="J1054" s="261"/>
      <c r="K1054" s="261"/>
      <c r="L1054" s="261"/>
      <c r="M1054" s="261"/>
      <c r="N1054" s="261"/>
    </row>
    <row r="1055" spans="3:14" x14ac:dyDescent="0.2">
      <c r="C1055" s="261"/>
      <c r="D1055" s="261"/>
      <c r="E1055" s="261"/>
      <c r="F1055" s="261"/>
      <c r="G1055" s="261"/>
      <c r="H1055" s="261"/>
      <c r="I1055" s="261"/>
      <c r="J1055" s="261"/>
      <c r="K1055" s="261"/>
      <c r="L1055" s="261"/>
      <c r="M1055" s="261"/>
      <c r="N1055" s="261"/>
    </row>
    <row r="1056" spans="3:14" x14ac:dyDescent="0.2">
      <c r="C1056" s="261"/>
      <c r="D1056" s="261"/>
      <c r="E1056" s="261"/>
      <c r="F1056" s="261"/>
      <c r="G1056" s="261"/>
      <c r="H1056" s="261"/>
      <c r="I1056" s="261"/>
      <c r="J1056" s="261"/>
      <c r="K1056" s="261"/>
      <c r="L1056" s="261"/>
      <c r="M1056" s="261"/>
      <c r="N1056" s="261"/>
    </row>
    <row r="1057" spans="3:14" x14ac:dyDescent="0.2">
      <c r="C1057" s="261"/>
      <c r="D1057" s="261"/>
      <c r="E1057" s="261"/>
      <c r="F1057" s="261"/>
      <c r="G1057" s="261"/>
      <c r="H1057" s="261"/>
      <c r="I1057" s="261"/>
      <c r="J1057" s="261"/>
      <c r="K1057" s="261"/>
      <c r="L1057" s="261"/>
      <c r="M1057" s="261"/>
      <c r="N1057" s="261"/>
    </row>
    <row r="1058" spans="3:14" x14ac:dyDescent="0.2">
      <c r="C1058" s="261"/>
      <c r="D1058" s="261"/>
      <c r="E1058" s="261"/>
      <c r="F1058" s="261"/>
      <c r="G1058" s="261"/>
      <c r="H1058" s="261"/>
      <c r="I1058" s="261"/>
      <c r="J1058" s="261"/>
      <c r="K1058" s="261"/>
      <c r="L1058" s="261"/>
      <c r="M1058" s="261"/>
      <c r="N1058" s="261"/>
    </row>
    <row r="1059" spans="3:14" x14ac:dyDescent="0.2">
      <c r="C1059" s="261"/>
      <c r="D1059" s="261"/>
      <c r="E1059" s="261"/>
      <c r="F1059" s="261"/>
      <c r="G1059" s="261"/>
      <c r="H1059" s="261"/>
      <c r="I1059" s="261"/>
      <c r="J1059" s="261"/>
      <c r="K1059" s="261"/>
      <c r="L1059" s="261"/>
      <c r="M1059" s="261"/>
      <c r="N1059" s="261"/>
    </row>
    <row r="1060" spans="3:14" x14ac:dyDescent="0.2">
      <c r="C1060" s="261"/>
      <c r="D1060" s="261"/>
      <c r="E1060" s="261"/>
      <c r="F1060" s="261"/>
      <c r="G1060" s="261"/>
      <c r="H1060" s="261"/>
      <c r="I1060" s="261"/>
      <c r="J1060" s="261"/>
      <c r="K1060" s="261"/>
      <c r="L1060" s="261"/>
      <c r="M1060" s="261"/>
      <c r="N1060" s="261"/>
    </row>
    <row r="1061" spans="3:14" x14ac:dyDescent="0.2">
      <c r="C1061" s="261"/>
      <c r="D1061" s="261"/>
      <c r="E1061" s="261"/>
      <c r="F1061" s="261"/>
      <c r="G1061" s="261"/>
      <c r="H1061" s="261"/>
      <c r="I1061" s="261"/>
      <c r="J1061" s="261"/>
      <c r="K1061" s="261"/>
      <c r="L1061" s="261"/>
      <c r="M1061" s="261"/>
      <c r="N1061" s="261"/>
    </row>
    <row r="1062" spans="3:14" x14ac:dyDescent="0.2">
      <c r="C1062" s="261"/>
      <c r="D1062" s="261"/>
      <c r="E1062" s="261"/>
      <c r="F1062" s="261"/>
      <c r="G1062" s="261"/>
      <c r="H1062" s="261"/>
      <c r="I1062" s="261"/>
      <c r="J1062" s="261"/>
      <c r="K1062" s="261"/>
      <c r="L1062" s="261"/>
      <c r="M1062" s="261"/>
      <c r="N1062" s="261"/>
    </row>
    <row r="1063" spans="3:14" x14ac:dyDescent="0.2">
      <c r="C1063" s="261"/>
      <c r="D1063" s="261"/>
      <c r="E1063" s="261"/>
      <c r="F1063" s="261"/>
      <c r="G1063" s="261"/>
      <c r="H1063" s="261"/>
      <c r="I1063" s="261"/>
      <c r="J1063" s="261"/>
      <c r="K1063" s="261"/>
      <c r="L1063" s="261"/>
      <c r="M1063" s="261"/>
      <c r="N1063" s="261"/>
    </row>
    <row r="1064" spans="3:14" x14ac:dyDescent="0.2">
      <c r="C1064" s="261"/>
      <c r="D1064" s="261"/>
      <c r="E1064" s="261"/>
      <c r="F1064" s="261"/>
      <c r="G1064" s="261"/>
      <c r="H1064" s="261"/>
      <c r="I1064" s="261"/>
      <c r="J1064" s="261"/>
      <c r="K1064" s="261"/>
      <c r="L1064" s="261"/>
      <c r="M1064" s="261"/>
      <c r="N1064" s="261"/>
    </row>
    <row r="1065" spans="3:14" x14ac:dyDescent="0.2">
      <c r="C1065" s="261"/>
      <c r="D1065" s="261"/>
      <c r="E1065" s="261"/>
      <c r="F1065" s="261"/>
      <c r="G1065" s="261"/>
      <c r="H1065" s="261"/>
      <c r="I1065" s="261"/>
      <c r="J1065" s="261"/>
      <c r="K1065" s="261"/>
      <c r="L1065" s="261"/>
      <c r="M1065" s="261"/>
      <c r="N1065" s="261"/>
    </row>
    <row r="1066" spans="3:14" x14ac:dyDescent="0.2">
      <c r="C1066" s="261"/>
      <c r="D1066" s="261"/>
      <c r="E1066" s="261"/>
      <c r="F1066" s="261"/>
      <c r="G1066" s="261"/>
      <c r="H1066" s="261"/>
      <c r="I1066" s="261"/>
      <c r="J1066" s="261"/>
      <c r="K1066" s="261"/>
      <c r="L1066" s="261"/>
      <c r="M1066" s="261"/>
      <c r="N1066" s="261"/>
    </row>
    <row r="1067" spans="3:14" x14ac:dyDescent="0.2">
      <c r="C1067" s="261"/>
      <c r="D1067" s="261"/>
      <c r="E1067" s="261"/>
      <c r="F1067" s="261"/>
      <c r="G1067" s="261"/>
      <c r="H1067" s="261"/>
      <c r="I1067" s="261"/>
      <c r="J1067" s="261"/>
      <c r="K1067" s="261"/>
      <c r="L1067" s="261"/>
      <c r="M1067" s="261"/>
      <c r="N1067" s="261"/>
    </row>
    <row r="1068" spans="3:14" x14ac:dyDescent="0.2">
      <c r="C1068" s="261"/>
      <c r="D1068" s="261"/>
      <c r="E1068" s="261"/>
      <c r="F1068" s="261"/>
      <c r="G1068" s="261"/>
      <c r="H1068" s="261"/>
      <c r="I1068" s="261"/>
      <c r="J1068" s="261"/>
      <c r="K1068" s="261"/>
      <c r="L1068" s="261"/>
      <c r="M1068" s="261"/>
      <c r="N1068" s="261"/>
    </row>
    <row r="1069" spans="3:14" x14ac:dyDescent="0.2">
      <c r="C1069" s="261"/>
      <c r="D1069" s="261"/>
      <c r="E1069" s="261"/>
      <c r="F1069" s="261"/>
      <c r="G1069" s="261"/>
      <c r="H1069" s="261"/>
      <c r="I1069" s="261"/>
      <c r="J1069" s="261"/>
      <c r="K1069" s="261"/>
      <c r="L1069" s="261"/>
      <c r="M1069" s="261"/>
      <c r="N1069" s="261"/>
    </row>
    <row r="1070" spans="3:14" x14ac:dyDescent="0.2">
      <c r="C1070" s="261"/>
      <c r="D1070" s="261"/>
      <c r="E1070" s="261"/>
      <c r="F1070" s="261"/>
      <c r="G1070" s="261"/>
      <c r="H1070" s="261"/>
      <c r="I1070" s="261"/>
      <c r="J1070" s="261"/>
      <c r="K1070" s="261"/>
      <c r="L1070" s="261"/>
      <c r="M1070" s="261"/>
      <c r="N1070" s="261"/>
    </row>
    <row r="1071" spans="3:14" x14ac:dyDescent="0.2">
      <c r="C1071" s="261"/>
      <c r="D1071" s="261"/>
      <c r="E1071" s="261"/>
      <c r="F1071" s="261"/>
      <c r="G1071" s="261"/>
      <c r="H1071" s="261"/>
      <c r="I1071" s="261"/>
      <c r="J1071" s="261"/>
      <c r="K1071" s="261"/>
      <c r="L1071" s="261"/>
      <c r="M1071" s="261"/>
      <c r="N1071" s="261"/>
    </row>
    <row r="1072" spans="3:14" x14ac:dyDescent="0.2">
      <c r="C1072" s="261"/>
      <c r="D1072" s="261"/>
      <c r="E1072" s="261"/>
      <c r="F1072" s="261"/>
      <c r="G1072" s="261"/>
      <c r="H1072" s="261"/>
      <c r="I1072" s="261"/>
      <c r="J1072" s="261"/>
      <c r="K1072" s="261"/>
      <c r="L1072" s="261"/>
      <c r="M1072" s="261"/>
      <c r="N1072" s="261"/>
    </row>
    <row r="1073" spans="3:14" x14ac:dyDescent="0.2">
      <c r="C1073" s="261"/>
      <c r="D1073" s="261"/>
      <c r="E1073" s="261"/>
      <c r="F1073" s="261"/>
      <c r="G1073" s="261"/>
      <c r="H1073" s="261"/>
      <c r="I1073" s="261"/>
      <c r="J1073" s="261"/>
      <c r="K1073" s="261"/>
      <c r="L1073" s="261"/>
      <c r="M1073" s="261"/>
      <c r="N1073" s="261"/>
    </row>
    <row r="1074" spans="3:14" x14ac:dyDescent="0.2">
      <c r="C1074" s="261"/>
      <c r="D1074" s="261"/>
      <c r="E1074" s="261"/>
      <c r="F1074" s="261"/>
      <c r="G1074" s="261"/>
      <c r="H1074" s="261"/>
      <c r="I1074" s="261"/>
      <c r="J1074" s="261"/>
      <c r="K1074" s="261"/>
      <c r="L1074" s="261"/>
      <c r="M1074" s="261"/>
      <c r="N1074" s="261"/>
    </row>
    <row r="1075" spans="3:14" x14ac:dyDescent="0.2">
      <c r="C1075" s="261"/>
      <c r="D1075" s="261"/>
      <c r="E1075" s="261"/>
      <c r="F1075" s="261"/>
      <c r="G1075" s="261"/>
      <c r="H1075" s="261"/>
      <c r="I1075" s="261"/>
      <c r="J1075" s="261"/>
      <c r="K1075" s="261"/>
      <c r="L1075" s="261"/>
      <c r="M1075" s="261"/>
      <c r="N1075" s="261"/>
    </row>
    <row r="1076" spans="3:14" x14ac:dyDescent="0.2">
      <c r="C1076" s="261"/>
      <c r="D1076" s="261"/>
      <c r="E1076" s="261"/>
      <c r="F1076" s="261"/>
      <c r="G1076" s="261"/>
      <c r="H1076" s="261"/>
      <c r="I1076" s="261"/>
      <c r="J1076" s="261"/>
      <c r="K1076" s="261"/>
      <c r="L1076" s="261"/>
      <c r="M1076" s="261"/>
      <c r="N1076" s="261"/>
    </row>
    <row r="1077" spans="3:14" x14ac:dyDescent="0.2">
      <c r="C1077" s="261"/>
      <c r="D1077" s="261"/>
      <c r="E1077" s="261"/>
      <c r="F1077" s="261"/>
      <c r="G1077" s="261"/>
      <c r="H1077" s="261"/>
      <c r="I1077" s="261"/>
      <c r="J1077" s="261"/>
      <c r="K1077" s="261"/>
      <c r="L1077" s="261"/>
      <c r="M1077" s="261"/>
      <c r="N1077" s="261"/>
    </row>
    <row r="1078" spans="3:14" x14ac:dyDescent="0.2">
      <c r="C1078" s="261"/>
      <c r="D1078" s="261"/>
      <c r="E1078" s="261"/>
      <c r="F1078" s="261"/>
      <c r="G1078" s="261"/>
      <c r="H1078" s="261"/>
      <c r="I1078" s="261"/>
      <c r="J1078" s="261"/>
      <c r="K1078" s="261"/>
      <c r="L1078" s="261"/>
      <c r="M1078" s="261"/>
      <c r="N1078" s="261"/>
    </row>
    <row r="1079" spans="3:14" x14ac:dyDescent="0.2">
      <c r="C1079" s="261"/>
      <c r="D1079" s="261"/>
      <c r="E1079" s="261"/>
      <c r="F1079" s="261"/>
      <c r="G1079" s="261"/>
      <c r="H1079" s="261"/>
      <c r="I1079" s="261"/>
      <c r="J1079" s="261"/>
      <c r="K1079" s="261"/>
      <c r="L1079" s="261"/>
      <c r="M1079" s="261"/>
      <c r="N1079" s="261"/>
    </row>
    <row r="1080" spans="3:14" x14ac:dyDescent="0.2">
      <c r="C1080" s="261"/>
      <c r="D1080" s="261"/>
      <c r="E1080" s="261"/>
      <c r="F1080" s="261"/>
      <c r="G1080" s="261"/>
      <c r="H1080" s="261"/>
      <c r="I1080" s="261"/>
      <c r="J1080" s="261"/>
      <c r="K1080" s="261"/>
      <c r="L1080" s="261"/>
      <c r="M1080" s="261"/>
      <c r="N1080" s="261"/>
    </row>
    <row r="1081" spans="3:14" x14ac:dyDescent="0.2">
      <c r="C1081" s="261"/>
      <c r="D1081" s="261"/>
      <c r="E1081" s="261"/>
      <c r="F1081" s="261"/>
      <c r="G1081" s="261"/>
      <c r="H1081" s="261"/>
      <c r="I1081" s="261"/>
      <c r="J1081" s="261"/>
      <c r="K1081" s="261"/>
      <c r="L1081" s="261"/>
      <c r="M1081" s="261"/>
      <c r="N1081" s="261"/>
    </row>
    <row r="1082" spans="3:14" x14ac:dyDescent="0.2">
      <c r="C1082" s="261"/>
      <c r="D1082" s="261"/>
      <c r="E1082" s="261"/>
      <c r="F1082" s="261"/>
      <c r="G1082" s="261"/>
      <c r="H1082" s="261"/>
      <c r="I1082" s="261"/>
      <c r="J1082" s="261"/>
      <c r="K1082" s="261"/>
      <c r="L1082" s="261"/>
      <c r="M1082" s="261"/>
      <c r="N1082" s="261"/>
    </row>
    <row r="1083" spans="3:14" x14ac:dyDescent="0.2">
      <c r="C1083" s="261"/>
      <c r="D1083" s="261"/>
      <c r="E1083" s="261"/>
      <c r="F1083" s="261"/>
      <c r="G1083" s="261"/>
      <c r="H1083" s="261"/>
      <c r="I1083" s="261"/>
      <c r="J1083" s="261"/>
      <c r="K1083" s="261"/>
      <c r="L1083" s="261"/>
      <c r="M1083" s="261"/>
      <c r="N1083" s="261"/>
    </row>
    <row r="1084" spans="3:14" x14ac:dyDescent="0.2">
      <c r="C1084" s="261"/>
      <c r="D1084" s="261"/>
      <c r="E1084" s="261"/>
      <c r="F1084" s="261"/>
      <c r="G1084" s="261"/>
      <c r="H1084" s="261"/>
      <c r="I1084" s="261"/>
      <c r="J1084" s="261"/>
      <c r="K1084" s="261"/>
      <c r="L1084" s="261"/>
      <c r="M1084" s="261"/>
      <c r="N1084" s="261"/>
    </row>
    <row r="1085" spans="3:14" x14ac:dyDescent="0.2">
      <c r="C1085" s="261"/>
      <c r="D1085" s="261"/>
      <c r="E1085" s="261"/>
      <c r="F1085" s="261"/>
      <c r="G1085" s="261"/>
      <c r="H1085" s="261"/>
      <c r="I1085" s="261"/>
      <c r="J1085" s="261"/>
      <c r="K1085" s="261"/>
      <c r="L1085" s="261"/>
      <c r="M1085" s="261"/>
      <c r="N1085" s="261"/>
    </row>
    <row r="1086" spans="3:14" x14ac:dyDescent="0.2">
      <c r="C1086" s="261"/>
      <c r="D1086" s="261"/>
      <c r="E1086" s="261"/>
      <c r="F1086" s="261"/>
      <c r="G1086" s="261"/>
      <c r="H1086" s="261"/>
      <c r="I1086" s="261"/>
      <c r="J1086" s="261"/>
      <c r="K1086" s="261"/>
      <c r="L1086" s="261"/>
      <c r="M1086" s="261"/>
      <c r="N1086" s="261"/>
    </row>
    <row r="1087" spans="3:14" x14ac:dyDescent="0.2">
      <c r="C1087" s="261"/>
      <c r="D1087" s="261"/>
      <c r="E1087" s="261"/>
      <c r="F1087" s="261"/>
      <c r="G1087" s="261"/>
      <c r="H1087" s="261"/>
      <c r="I1087" s="261"/>
      <c r="J1087" s="261"/>
      <c r="K1087" s="261"/>
      <c r="L1087" s="261"/>
      <c r="M1087" s="261"/>
      <c r="N1087" s="261"/>
    </row>
    <row r="1088" spans="3:14" x14ac:dyDescent="0.2">
      <c r="C1088" s="261"/>
      <c r="D1088" s="261"/>
      <c r="E1088" s="261"/>
      <c r="F1088" s="261"/>
      <c r="G1088" s="261"/>
      <c r="H1088" s="261"/>
      <c r="I1088" s="261"/>
      <c r="J1088" s="261"/>
      <c r="K1088" s="261"/>
      <c r="L1088" s="261"/>
      <c r="M1088" s="261"/>
      <c r="N1088" s="261"/>
    </row>
    <row r="1089" spans="3:14" x14ac:dyDescent="0.2">
      <c r="C1089" s="261"/>
      <c r="D1089" s="261"/>
      <c r="E1089" s="261"/>
      <c r="F1089" s="261"/>
      <c r="G1089" s="261"/>
      <c r="H1089" s="261"/>
      <c r="I1089" s="261"/>
      <c r="J1089" s="261"/>
      <c r="K1089" s="261"/>
      <c r="L1089" s="261"/>
      <c r="M1089" s="261"/>
      <c r="N1089" s="261"/>
    </row>
    <row r="1090" spans="3:14" x14ac:dyDescent="0.2">
      <c r="C1090" s="261"/>
      <c r="D1090" s="261"/>
      <c r="E1090" s="261"/>
      <c r="F1090" s="261"/>
      <c r="G1090" s="261"/>
      <c r="H1090" s="261"/>
      <c r="I1090" s="261"/>
      <c r="J1090" s="261"/>
      <c r="K1090" s="261"/>
      <c r="L1090" s="261"/>
      <c r="M1090" s="261"/>
      <c r="N1090" s="261"/>
    </row>
    <row r="1091" spans="3:14" x14ac:dyDescent="0.2">
      <c r="C1091" s="261"/>
      <c r="D1091" s="261"/>
      <c r="E1091" s="261"/>
      <c r="F1091" s="261"/>
      <c r="G1091" s="261"/>
      <c r="H1091" s="261"/>
      <c r="I1091" s="261"/>
      <c r="J1091" s="261"/>
      <c r="K1091" s="261"/>
      <c r="L1091" s="261"/>
      <c r="M1091" s="261"/>
      <c r="N1091" s="261"/>
    </row>
    <row r="1092" spans="3:14" x14ac:dyDescent="0.2">
      <c r="C1092" s="261"/>
      <c r="D1092" s="261"/>
      <c r="E1092" s="261"/>
      <c r="F1092" s="261"/>
      <c r="G1092" s="261"/>
      <c r="H1092" s="261"/>
      <c r="I1092" s="261"/>
      <c r="J1092" s="261"/>
      <c r="K1092" s="261"/>
      <c r="L1092" s="261"/>
      <c r="M1092" s="261"/>
      <c r="N1092" s="261"/>
    </row>
    <row r="1093" spans="3:14" x14ac:dyDescent="0.2">
      <c r="C1093" s="261"/>
      <c r="D1093" s="261"/>
      <c r="E1093" s="261"/>
      <c r="F1093" s="261"/>
      <c r="G1093" s="261"/>
      <c r="H1093" s="261"/>
      <c r="I1093" s="261"/>
      <c r="J1093" s="261"/>
      <c r="K1093" s="261"/>
      <c r="L1093" s="261"/>
      <c r="M1093" s="261"/>
      <c r="N1093" s="261"/>
    </row>
    <row r="1094" spans="3:14" x14ac:dyDescent="0.2">
      <c r="C1094" s="261"/>
      <c r="D1094" s="261"/>
      <c r="E1094" s="261"/>
      <c r="F1094" s="261"/>
      <c r="G1094" s="261"/>
      <c r="H1094" s="261"/>
      <c r="I1094" s="261"/>
      <c r="J1094" s="261"/>
      <c r="K1094" s="261"/>
      <c r="L1094" s="261"/>
      <c r="M1094" s="261"/>
      <c r="N1094" s="261"/>
    </row>
    <row r="1095" spans="3:14" x14ac:dyDescent="0.2">
      <c r="C1095" s="261"/>
      <c r="D1095" s="261"/>
      <c r="E1095" s="261"/>
      <c r="F1095" s="261"/>
      <c r="G1095" s="261"/>
      <c r="H1095" s="261"/>
      <c r="I1095" s="261"/>
      <c r="J1095" s="261"/>
      <c r="K1095" s="261"/>
      <c r="L1095" s="261"/>
      <c r="M1095" s="261"/>
      <c r="N1095" s="261"/>
    </row>
    <row r="1096" spans="3:14" x14ac:dyDescent="0.2">
      <c r="C1096" s="261"/>
      <c r="D1096" s="261"/>
      <c r="E1096" s="261"/>
      <c r="F1096" s="261"/>
      <c r="G1096" s="261"/>
      <c r="H1096" s="261"/>
      <c r="I1096" s="261"/>
      <c r="J1096" s="261"/>
      <c r="K1096" s="261"/>
      <c r="L1096" s="261"/>
      <c r="M1096" s="261"/>
      <c r="N1096" s="261"/>
    </row>
    <row r="1097" spans="3:14" x14ac:dyDescent="0.2">
      <c r="C1097" s="261"/>
      <c r="D1097" s="261"/>
      <c r="E1097" s="261"/>
      <c r="F1097" s="261"/>
      <c r="G1097" s="261"/>
      <c r="H1097" s="261"/>
      <c r="I1097" s="261"/>
      <c r="J1097" s="261"/>
      <c r="K1097" s="261"/>
      <c r="L1097" s="261"/>
      <c r="M1097" s="261"/>
      <c r="N1097" s="261"/>
    </row>
    <row r="1098" spans="3:14" x14ac:dyDescent="0.2">
      <c r="C1098" s="261"/>
      <c r="D1098" s="261"/>
      <c r="E1098" s="261"/>
      <c r="F1098" s="261"/>
      <c r="G1098" s="261"/>
      <c r="H1098" s="261"/>
      <c r="I1098" s="261"/>
      <c r="J1098" s="261"/>
      <c r="K1098" s="261"/>
      <c r="L1098" s="261"/>
      <c r="M1098" s="261"/>
      <c r="N1098" s="261"/>
    </row>
    <row r="1099" spans="3:14" x14ac:dyDescent="0.2">
      <c r="C1099" s="261"/>
      <c r="D1099" s="261"/>
      <c r="E1099" s="261"/>
      <c r="F1099" s="261"/>
      <c r="G1099" s="261"/>
      <c r="H1099" s="261"/>
      <c r="I1099" s="261"/>
      <c r="J1099" s="261"/>
      <c r="K1099" s="261"/>
      <c r="L1099" s="261"/>
      <c r="M1099" s="261"/>
      <c r="N1099" s="261"/>
    </row>
    <row r="1100" spans="3:14" x14ac:dyDescent="0.2">
      <c r="C1100" s="261"/>
      <c r="D1100" s="261"/>
      <c r="E1100" s="261"/>
      <c r="F1100" s="261"/>
      <c r="G1100" s="261"/>
      <c r="H1100" s="261"/>
      <c r="I1100" s="261"/>
      <c r="J1100" s="261"/>
      <c r="K1100" s="261"/>
      <c r="L1100" s="261"/>
      <c r="M1100" s="261"/>
      <c r="N1100" s="261"/>
    </row>
    <row r="1101" spans="3:14" x14ac:dyDescent="0.2">
      <c r="C1101" s="261"/>
      <c r="D1101" s="261"/>
      <c r="E1101" s="261"/>
      <c r="F1101" s="261"/>
      <c r="G1101" s="261"/>
      <c r="H1101" s="261"/>
      <c r="I1101" s="261"/>
      <c r="J1101" s="261"/>
      <c r="K1101" s="261"/>
      <c r="L1101" s="261"/>
      <c r="M1101" s="261"/>
      <c r="N1101" s="261"/>
    </row>
    <row r="1102" spans="3:14" x14ac:dyDescent="0.2">
      <c r="C1102" s="261"/>
      <c r="D1102" s="261"/>
      <c r="E1102" s="261"/>
      <c r="F1102" s="261"/>
      <c r="G1102" s="261"/>
      <c r="H1102" s="261"/>
      <c r="I1102" s="261"/>
      <c r="J1102" s="261"/>
      <c r="K1102" s="261"/>
      <c r="L1102" s="261"/>
      <c r="M1102" s="261"/>
      <c r="N1102" s="261"/>
    </row>
    <row r="1103" spans="3:14" x14ac:dyDescent="0.2">
      <c r="C1103" s="261"/>
      <c r="D1103" s="261"/>
      <c r="E1103" s="261"/>
      <c r="F1103" s="261"/>
      <c r="G1103" s="261"/>
      <c r="H1103" s="261"/>
      <c r="I1103" s="261"/>
      <c r="J1103" s="261"/>
      <c r="K1103" s="261"/>
      <c r="L1103" s="261"/>
      <c r="M1103" s="261"/>
      <c r="N1103" s="261"/>
    </row>
    <row r="1104" spans="3:14" x14ac:dyDescent="0.2">
      <c r="C1104" s="261"/>
      <c r="D1104" s="261"/>
      <c r="E1104" s="261"/>
      <c r="F1104" s="261"/>
      <c r="G1104" s="261"/>
      <c r="H1104" s="261"/>
      <c r="I1104" s="261"/>
      <c r="J1104" s="261"/>
      <c r="K1104" s="261"/>
      <c r="L1104" s="261"/>
      <c r="M1104" s="261"/>
      <c r="N1104" s="261"/>
    </row>
    <row r="1105" spans="3:14" x14ac:dyDescent="0.2">
      <c r="C1105" s="261"/>
      <c r="D1105" s="261"/>
      <c r="E1105" s="261"/>
      <c r="F1105" s="261"/>
      <c r="G1105" s="261"/>
      <c r="H1105" s="261"/>
      <c r="I1105" s="261"/>
      <c r="J1105" s="261"/>
      <c r="K1105" s="261"/>
      <c r="L1105" s="261"/>
      <c r="M1105" s="261"/>
      <c r="N1105" s="261"/>
    </row>
    <row r="1106" spans="3:14" x14ac:dyDescent="0.2">
      <c r="C1106" s="261"/>
      <c r="D1106" s="261"/>
      <c r="E1106" s="261"/>
      <c r="F1106" s="261"/>
      <c r="G1106" s="261"/>
      <c r="H1106" s="261"/>
      <c r="I1106" s="261"/>
      <c r="J1106" s="261"/>
      <c r="K1106" s="261"/>
      <c r="L1106" s="261"/>
      <c r="M1106" s="261"/>
      <c r="N1106" s="261"/>
    </row>
    <row r="1107" spans="3:14" x14ac:dyDescent="0.2">
      <c r="C1107" s="261"/>
      <c r="D1107" s="261"/>
      <c r="E1107" s="261"/>
      <c r="F1107" s="261"/>
      <c r="G1107" s="261"/>
      <c r="H1107" s="261"/>
      <c r="I1107" s="261"/>
      <c r="J1107" s="261"/>
      <c r="K1107" s="261"/>
      <c r="L1107" s="261"/>
      <c r="M1107" s="261"/>
      <c r="N1107" s="261"/>
    </row>
    <row r="1108" spans="3:14" x14ac:dyDescent="0.2">
      <c r="C1108" s="261"/>
      <c r="D1108" s="261"/>
      <c r="E1108" s="261"/>
      <c r="F1108" s="261"/>
      <c r="G1108" s="261"/>
      <c r="H1108" s="261"/>
      <c r="I1108" s="261"/>
      <c r="J1108" s="261"/>
      <c r="K1108" s="261"/>
      <c r="L1108" s="261"/>
      <c r="M1108" s="261"/>
      <c r="N1108" s="261"/>
    </row>
    <row r="1109" spans="3:14" x14ac:dyDescent="0.2">
      <c r="C1109" s="261"/>
      <c r="D1109" s="261"/>
      <c r="E1109" s="261"/>
      <c r="F1109" s="261"/>
      <c r="G1109" s="261"/>
      <c r="H1109" s="261"/>
      <c r="I1109" s="261"/>
      <c r="J1109" s="261"/>
      <c r="K1109" s="261"/>
      <c r="L1109" s="261"/>
      <c r="M1109" s="261"/>
      <c r="N1109" s="261"/>
    </row>
    <row r="1110" spans="3:14" x14ac:dyDescent="0.2">
      <c r="C1110" s="261"/>
      <c r="D1110" s="261"/>
      <c r="E1110" s="261"/>
      <c r="F1110" s="261"/>
      <c r="G1110" s="261"/>
      <c r="H1110" s="261"/>
      <c r="I1110" s="261"/>
      <c r="J1110" s="261"/>
      <c r="K1110" s="261"/>
      <c r="L1110" s="261"/>
      <c r="M1110" s="261"/>
      <c r="N1110" s="261"/>
    </row>
    <row r="1111" spans="3:14" x14ac:dyDescent="0.2">
      <c r="C1111" s="261"/>
      <c r="D1111" s="261"/>
      <c r="E1111" s="261"/>
      <c r="F1111" s="261"/>
      <c r="G1111" s="261"/>
      <c r="H1111" s="261"/>
      <c r="I1111" s="261"/>
      <c r="J1111" s="261"/>
      <c r="K1111" s="261"/>
      <c r="L1111" s="261"/>
      <c r="M1111" s="261"/>
      <c r="N1111" s="261"/>
    </row>
    <row r="1112" spans="3:14" x14ac:dyDescent="0.2">
      <c r="C1112" s="261"/>
      <c r="D1112" s="261"/>
      <c r="E1112" s="261"/>
      <c r="F1112" s="261"/>
      <c r="G1112" s="261"/>
      <c r="H1112" s="261"/>
      <c r="I1112" s="261"/>
      <c r="J1112" s="261"/>
      <c r="K1112" s="261"/>
      <c r="L1112" s="261"/>
      <c r="M1112" s="261"/>
      <c r="N1112" s="261"/>
    </row>
    <row r="1113" spans="3:14" x14ac:dyDescent="0.2">
      <c r="C1113" s="261"/>
      <c r="D1113" s="261"/>
      <c r="E1113" s="261"/>
      <c r="F1113" s="261"/>
      <c r="G1113" s="261"/>
      <c r="H1113" s="261"/>
      <c r="I1113" s="261"/>
      <c r="J1113" s="261"/>
      <c r="K1113" s="261"/>
      <c r="L1113" s="261"/>
      <c r="M1113" s="261"/>
      <c r="N1113" s="261"/>
    </row>
    <row r="1114" spans="3:14" x14ac:dyDescent="0.2">
      <c r="C1114" s="261"/>
      <c r="D1114" s="261"/>
      <c r="E1114" s="261"/>
      <c r="F1114" s="261"/>
      <c r="G1114" s="261"/>
      <c r="H1114" s="261"/>
      <c r="I1114" s="261"/>
      <c r="J1114" s="261"/>
      <c r="K1114" s="261"/>
      <c r="L1114" s="261"/>
      <c r="M1114" s="261"/>
      <c r="N1114" s="261"/>
    </row>
    <row r="1115" spans="3:14" x14ac:dyDescent="0.2">
      <c r="C1115" s="261"/>
      <c r="D1115" s="261"/>
      <c r="E1115" s="261"/>
      <c r="F1115" s="261"/>
      <c r="G1115" s="261"/>
      <c r="H1115" s="261"/>
      <c r="I1115" s="261"/>
      <c r="J1115" s="261"/>
      <c r="K1115" s="261"/>
      <c r="L1115" s="261"/>
      <c r="M1115" s="261"/>
      <c r="N1115" s="261"/>
    </row>
    <row r="1116" spans="3:14" x14ac:dyDescent="0.2">
      <c r="C1116" s="261"/>
      <c r="D1116" s="261"/>
      <c r="E1116" s="261"/>
      <c r="F1116" s="261"/>
      <c r="G1116" s="261"/>
      <c r="H1116" s="261"/>
      <c r="I1116" s="261"/>
      <c r="J1116" s="261"/>
      <c r="K1116" s="261"/>
      <c r="L1116" s="261"/>
      <c r="M1116" s="261"/>
      <c r="N1116" s="261"/>
    </row>
    <row r="1117" spans="3:14" x14ac:dyDescent="0.2">
      <c r="C1117" s="261"/>
      <c r="D1117" s="261"/>
      <c r="E1117" s="261"/>
      <c r="F1117" s="261"/>
      <c r="G1117" s="261"/>
      <c r="H1117" s="261"/>
      <c r="I1117" s="261"/>
      <c r="J1117" s="261"/>
      <c r="K1117" s="261"/>
      <c r="L1117" s="261"/>
      <c r="M1117" s="261"/>
      <c r="N1117" s="261"/>
    </row>
    <row r="1118" spans="3:14" x14ac:dyDescent="0.2">
      <c r="C1118" s="261"/>
      <c r="D1118" s="261"/>
      <c r="E1118" s="261"/>
      <c r="F1118" s="261"/>
      <c r="G1118" s="261"/>
      <c r="H1118" s="261"/>
      <c r="I1118" s="261"/>
      <c r="J1118" s="261"/>
      <c r="K1118" s="261"/>
      <c r="L1118" s="261"/>
      <c r="M1118" s="261"/>
      <c r="N1118" s="261"/>
    </row>
    <row r="1119" spans="3:14" x14ac:dyDescent="0.2">
      <c r="C1119" s="261"/>
      <c r="D1119" s="261"/>
      <c r="E1119" s="261"/>
      <c r="F1119" s="261"/>
      <c r="G1119" s="261"/>
      <c r="H1119" s="261"/>
      <c r="I1119" s="261"/>
      <c r="J1119" s="261"/>
      <c r="K1119" s="261"/>
      <c r="L1119" s="261"/>
      <c r="M1119" s="261"/>
      <c r="N1119" s="261"/>
    </row>
    <row r="1120" spans="3:14" x14ac:dyDescent="0.2">
      <c r="C1120" s="261"/>
      <c r="D1120" s="261"/>
      <c r="E1120" s="261"/>
      <c r="F1120" s="261"/>
      <c r="G1120" s="261"/>
      <c r="H1120" s="261"/>
      <c r="I1120" s="261"/>
      <c r="J1120" s="261"/>
      <c r="K1120" s="261"/>
      <c r="L1120" s="261"/>
      <c r="M1120" s="261"/>
      <c r="N1120" s="261"/>
    </row>
    <row r="1121" spans="3:14" x14ac:dyDescent="0.2">
      <c r="C1121" s="261"/>
      <c r="D1121" s="261"/>
      <c r="E1121" s="261"/>
      <c r="F1121" s="261"/>
      <c r="G1121" s="261"/>
      <c r="H1121" s="261"/>
      <c r="I1121" s="261"/>
      <c r="J1121" s="261"/>
      <c r="K1121" s="261"/>
      <c r="L1121" s="261"/>
      <c r="M1121" s="261"/>
      <c r="N1121" s="261"/>
    </row>
    <row r="1122" spans="3:14" x14ac:dyDescent="0.2">
      <c r="C1122" s="261"/>
      <c r="D1122" s="261"/>
      <c r="E1122" s="261"/>
      <c r="F1122" s="261"/>
      <c r="G1122" s="261"/>
      <c r="H1122" s="261"/>
      <c r="I1122" s="261"/>
      <c r="J1122" s="261"/>
      <c r="K1122" s="261"/>
      <c r="L1122" s="261"/>
      <c r="M1122" s="261"/>
      <c r="N1122" s="261"/>
    </row>
    <row r="1123" spans="3:14" x14ac:dyDescent="0.2">
      <c r="C1123" s="261"/>
      <c r="D1123" s="261"/>
      <c r="E1123" s="261"/>
      <c r="F1123" s="261"/>
      <c r="G1123" s="261"/>
      <c r="H1123" s="261"/>
      <c r="I1123" s="261"/>
      <c r="J1123" s="261"/>
      <c r="K1123" s="261"/>
      <c r="L1123" s="261"/>
      <c r="M1123" s="261"/>
      <c r="N1123" s="261"/>
    </row>
    <row r="1124" spans="3:14" x14ac:dyDescent="0.2">
      <c r="C1124" s="261"/>
      <c r="D1124" s="261"/>
      <c r="E1124" s="261"/>
      <c r="F1124" s="261"/>
      <c r="G1124" s="261"/>
      <c r="H1124" s="261"/>
      <c r="I1124" s="261"/>
      <c r="J1124" s="261"/>
      <c r="K1124" s="261"/>
      <c r="L1124" s="261"/>
      <c r="M1124" s="261"/>
      <c r="N1124" s="261"/>
    </row>
    <row r="1125" spans="3:14" x14ac:dyDescent="0.2">
      <c r="C1125" s="261"/>
      <c r="D1125" s="261"/>
      <c r="E1125" s="261"/>
      <c r="F1125" s="261"/>
      <c r="G1125" s="261"/>
      <c r="H1125" s="261"/>
      <c r="I1125" s="261"/>
      <c r="J1125" s="261"/>
      <c r="K1125" s="261"/>
      <c r="L1125" s="261"/>
      <c r="M1125" s="261"/>
      <c r="N1125" s="261"/>
    </row>
    <row r="1126" spans="3:14" x14ac:dyDescent="0.2">
      <c r="C1126" s="261"/>
      <c r="D1126" s="261"/>
      <c r="E1126" s="261"/>
      <c r="F1126" s="261"/>
      <c r="G1126" s="261"/>
      <c r="H1126" s="261"/>
      <c r="I1126" s="261"/>
      <c r="J1126" s="261"/>
      <c r="K1126" s="261"/>
      <c r="L1126" s="261"/>
      <c r="M1126" s="261"/>
      <c r="N1126" s="261"/>
    </row>
    <row r="1127" spans="3:14" x14ac:dyDescent="0.2">
      <c r="C1127" s="261"/>
      <c r="D1127" s="261"/>
      <c r="E1127" s="261"/>
      <c r="F1127" s="261"/>
      <c r="G1127" s="261"/>
      <c r="H1127" s="261"/>
      <c r="I1127" s="261"/>
      <c r="J1127" s="261"/>
      <c r="K1127" s="261"/>
      <c r="L1127" s="261"/>
      <c r="M1127" s="261"/>
      <c r="N1127" s="261"/>
    </row>
    <row r="1128" spans="3:14" x14ac:dyDescent="0.2">
      <c r="C1128" s="261"/>
      <c r="D1128" s="261"/>
      <c r="E1128" s="261"/>
      <c r="F1128" s="261"/>
      <c r="G1128" s="261"/>
      <c r="H1128" s="261"/>
      <c r="I1128" s="261"/>
      <c r="J1128" s="261"/>
      <c r="K1128" s="261"/>
      <c r="L1128" s="261"/>
      <c r="M1128" s="261"/>
      <c r="N1128" s="261"/>
    </row>
    <row r="1129" spans="3:14" x14ac:dyDescent="0.2">
      <c r="C1129" s="261"/>
      <c r="D1129" s="261"/>
      <c r="E1129" s="261"/>
      <c r="F1129" s="261"/>
      <c r="G1129" s="261"/>
      <c r="H1129" s="261"/>
      <c r="I1129" s="261"/>
      <c r="J1129" s="261"/>
      <c r="K1129" s="261"/>
      <c r="L1129" s="261"/>
      <c r="M1129" s="261"/>
      <c r="N1129" s="261"/>
    </row>
    <row r="1130" spans="3:14" x14ac:dyDescent="0.2">
      <c r="C1130" s="261"/>
      <c r="D1130" s="261"/>
      <c r="E1130" s="261"/>
      <c r="F1130" s="261"/>
      <c r="G1130" s="261"/>
      <c r="H1130" s="261"/>
      <c r="I1130" s="261"/>
      <c r="J1130" s="261"/>
      <c r="K1130" s="261"/>
      <c r="L1130" s="261"/>
      <c r="M1130" s="261"/>
      <c r="N1130" s="261"/>
    </row>
    <row r="1131" spans="3:14" x14ac:dyDescent="0.2">
      <c r="C1131" s="261"/>
      <c r="D1131" s="261"/>
      <c r="E1131" s="261"/>
      <c r="F1131" s="261"/>
      <c r="G1131" s="261"/>
      <c r="H1131" s="261"/>
      <c r="I1131" s="261"/>
      <c r="J1131" s="261"/>
      <c r="K1131" s="261"/>
      <c r="L1131" s="261"/>
      <c r="M1131" s="261"/>
      <c r="N1131" s="261"/>
    </row>
    <row r="1132" spans="3:14" x14ac:dyDescent="0.2">
      <c r="C1132" s="261"/>
      <c r="D1132" s="261"/>
      <c r="E1132" s="261"/>
      <c r="F1132" s="261"/>
      <c r="G1132" s="261"/>
      <c r="H1132" s="261"/>
      <c r="I1132" s="261"/>
      <c r="J1132" s="261"/>
      <c r="K1132" s="261"/>
      <c r="L1132" s="261"/>
      <c r="M1132" s="261"/>
      <c r="N1132" s="261"/>
    </row>
    <row r="1133" spans="3:14" x14ac:dyDescent="0.2">
      <c r="C1133" s="261"/>
      <c r="D1133" s="261"/>
      <c r="E1133" s="261"/>
      <c r="F1133" s="261"/>
      <c r="G1133" s="261"/>
      <c r="H1133" s="261"/>
      <c r="I1133" s="261"/>
      <c r="J1133" s="261"/>
      <c r="K1133" s="261"/>
      <c r="L1133" s="261"/>
      <c r="M1133" s="261"/>
      <c r="N1133" s="261"/>
    </row>
    <row r="1134" spans="3:14" x14ac:dyDescent="0.2">
      <c r="C1134" s="261"/>
      <c r="D1134" s="261"/>
      <c r="E1134" s="261"/>
      <c r="F1134" s="261"/>
      <c r="G1134" s="261"/>
      <c r="H1134" s="261"/>
      <c r="I1134" s="261"/>
      <c r="J1134" s="261"/>
      <c r="K1134" s="261"/>
      <c r="L1134" s="261"/>
      <c r="M1134" s="261"/>
      <c r="N1134" s="261"/>
    </row>
    <row r="1135" spans="3:14" x14ac:dyDescent="0.2">
      <c r="C1135" s="261"/>
      <c r="D1135" s="261"/>
      <c r="E1135" s="261"/>
      <c r="F1135" s="261"/>
      <c r="G1135" s="261"/>
      <c r="H1135" s="261"/>
      <c r="I1135" s="261"/>
      <c r="J1135" s="261"/>
      <c r="K1135" s="261"/>
      <c r="L1135" s="261"/>
      <c r="M1135" s="261"/>
      <c r="N1135" s="261"/>
    </row>
    <row r="1136" spans="3:14" x14ac:dyDescent="0.2">
      <c r="C1136" s="261"/>
      <c r="D1136" s="261"/>
      <c r="E1136" s="261"/>
      <c r="F1136" s="261"/>
      <c r="G1136" s="261"/>
      <c r="H1136" s="261"/>
      <c r="I1136" s="261"/>
      <c r="J1136" s="261"/>
      <c r="K1136" s="261"/>
      <c r="L1136" s="261"/>
      <c r="M1136" s="261"/>
      <c r="N1136" s="261"/>
    </row>
    <row r="1137" spans="3:14" x14ac:dyDescent="0.2">
      <c r="C1137" s="261"/>
      <c r="D1137" s="261"/>
      <c r="E1137" s="261"/>
      <c r="F1137" s="261"/>
      <c r="G1137" s="261"/>
      <c r="H1137" s="261"/>
      <c r="I1137" s="261"/>
      <c r="J1137" s="261"/>
      <c r="K1137" s="261"/>
      <c r="L1137" s="261"/>
      <c r="M1137" s="261"/>
      <c r="N1137" s="261"/>
    </row>
    <row r="1138" spans="3:14" x14ac:dyDescent="0.2">
      <c r="C1138" s="261"/>
      <c r="D1138" s="261"/>
      <c r="E1138" s="261"/>
      <c r="F1138" s="261"/>
      <c r="G1138" s="261"/>
      <c r="H1138" s="261"/>
      <c r="I1138" s="261"/>
      <c r="J1138" s="261"/>
      <c r="K1138" s="261"/>
      <c r="L1138" s="261"/>
      <c r="M1138" s="261"/>
      <c r="N1138" s="261"/>
    </row>
    <row r="1139" spans="3:14" x14ac:dyDescent="0.2">
      <c r="C1139" s="261"/>
      <c r="D1139" s="261"/>
      <c r="E1139" s="261"/>
      <c r="F1139" s="261"/>
      <c r="G1139" s="261"/>
      <c r="H1139" s="261"/>
      <c r="I1139" s="261"/>
      <c r="J1139" s="261"/>
      <c r="K1139" s="261"/>
      <c r="L1139" s="261"/>
      <c r="M1139" s="261"/>
      <c r="N1139" s="261"/>
    </row>
    <row r="1140" spans="3:14" x14ac:dyDescent="0.2">
      <c r="C1140" s="261"/>
      <c r="D1140" s="261"/>
      <c r="E1140" s="261"/>
      <c r="F1140" s="261"/>
      <c r="G1140" s="261"/>
      <c r="H1140" s="261"/>
      <c r="I1140" s="261"/>
      <c r="J1140" s="261"/>
      <c r="K1140" s="261"/>
      <c r="L1140" s="261"/>
      <c r="M1140" s="261"/>
      <c r="N1140" s="261"/>
    </row>
    <row r="1141" spans="3:14" x14ac:dyDescent="0.2">
      <c r="C1141" s="261"/>
      <c r="D1141" s="261"/>
      <c r="E1141" s="261"/>
      <c r="F1141" s="261"/>
      <c r="G1141" s="261"/>
      <c r="H1141" s="261"/>
      <c r="I1141" s="261"/>
      <c r="J1141" s="261"/>
      <c r="K1141" s="261"/>
      <c r="L1141" s="261"/>
      <c r="M1141" s="261"/>
      <c r="N1141" s="261"/>
    </row>
    <row r="1142" spans="3:14" x14ac:dyDescent="0.2">
      <c r="C1142" s="261"/>
      <c r="D1142" s="261"/>
      <c r="E1142" s="261"/>
      <c r="F1142" s="261"/>
      <c r="G1142" s="261"/>
      <c r="H1142" s="261"/>
      <c r="I1142" s="261"/>
      <c r="J1142" s="261"/>
      <c r="K1142" s="261"/>
      <c r="L1142" s="261"/>
      <c r="M1142" s="261"/>
      <c r="N1142" s="261"/>
    </row>
    <row r="1143" spans="3:14" x14ac:dyDescent="0.2">
      <c r="C1143" s="261"/>
      <c r="D1143" s="261"/>
      <c r="E1143" s="261"/>
      <c r="F1143" s="261"/>
      <c r="G1143" s="261"/>
      <c r="H1143" s="261"/>
      <c r="I1143" s="261"/>
      <c r="J1143" s="261"/>
      <c r="K1143" s="261"/>
      <c r="L1143" s="261"/>
      <c r="M1143" s="261"/>
      <c r="N1143" s="261"/>
    </row>
    <row r="1144" spans="3:14" x14ac:dyDescent="0.2">
      <c r="C1144" s="261"/>
      <c r="D1144" s="261"/>
      <c r="E1144" s="261"/>
      <c r="F1144" s="261"/>
      <c r="G1144" s="261"/>
      <c r="H1144" s="261"/>
      <c r="I1144" s="261"/>
      <c r="J1144" s="261"/>
      <c r="K1144" s="261"/>
      <c r="L1144" s="261"/>
      <c r="M1144" s="261"/>
      <c r="N1144" s="261"/>
    </row>
    <row r="1145" spans="3:14" x14ac:dyDescent="0.2">
      <c r="C1145" s="261"/>
      <c r="D1145" s="261"/>
      <c r="E1145" s="261"/>
      <c r="F1145" s="261"/>
      <c r="G1145" s="261"/>
      <c r="H1145" s="261"/>
      <c r="I1145" s="261"/>
      <c r="J1145" s="261"/>
      <c r="K1145" s="261"/>
      <c r="L1145" s="261"/>
      <c r="M1145" s="261"/>
      <c r="N1145" s="261"/>
    </row>
    <row r="1146" spans="3:14" x14ac:dyDescent="0.2">
      <c r="C1146" s="261"/>
      <c r="D1146" s="261"/>
      <c r="E1146" s="261"/>
      <c r="F1146" s="261"/>
      <c r="G1146" s="261"/>
      <c r="H1146" s="261"/>
      <c r="I1146" s="261"/>
      <c r="J1146" s="261"/>
      <c r="K1146" s="261"/>
      <c r="L1146" s="261"/>
      <c r="M1146" s="261"/>
      <c r="N1146" s="261"/>
    </row>
    <row r="1147" spans="3:14" x14ac:dyDescent="0.2">
      <c r="C1147" s="261"/>
      <c r="D1147" s="261"/>
      <c r="E1147" s="261"/>
      <c r="F1147" s="261"/>
      <c r="G1147" s="261"/>
      <c r="H1147" s="261"/>
      <c r="I1147" s="261"/>
      <c r="J1147" s="261"/>
      <c r="K1147" s="261"/>
      <c r="L1147" s="261"/>
      <c r="M1147" s="261"/>
      <c r="N1147" s="261"/>
    </row>
    <row r="1148" spans="3:14" x14ac:dyDescent="0.2">
      <c r="C1148" s="261"/>
      <c r="D1148" s="261"/>
      <c r="E1148" s="261"/>
      <c r="F1148" s="261"/>
      <c r="G1148" s="261"/>
      <c r="H1148" s="261"/>
      <c r="I1148" s="261"/>
      <c r="J1148" s="261"/>
      <c r="K1148" s="261"/>
      <c r="L1148" s="261"/>
      <c r="M1148" s="261"/>
      <c r="N1148" s="261"/>
    </row>
    <row r="1149" spans="3:14" x14ac:dyDescent="0.2">
      <c r="C1149" s="261"/>
      <c r="D1149" s="261"/>
      <c r="E1149" s="261"/>
      <c r="F1149" s="261"/>
      <c r="G1149" s="261"/>
      <c r="H1149" s="261"/>
      <c r="I1149" s="261"/>
      <c r="J1149" s="261"/>
      <c r="K1149" s="261"/>
      <c r="L1149" s="261"/>
      <c r="M1149" s="261"/>
      <c r="N1149" s="261"/>
    </row>
    <row r="1150" spans="3:14" x14ac:dyDescent="0.2">
      <c r="C1150" s="261"/>
      <c r="D1150" s="261"/>
      <c r="E1150" s="261"/>
      <c r="F1150" s="261"/>
      <c r="G1150" s="261"/>
      <c r="H1150" s="261"/>
      <c r="I1150" s="261"/>
      <c r="J1150" s="261"/>
      <c r="K1150" s="261"/>
      <c r="L1150" s="261"/>
      <c r="M1150" s="261"/>
      <c r="N1150" s="261"/>
    </row>
    <row r="1151" spans="3:14" x14ac:dyDescent="0.2">
      <c r="C1151" s="261"/>
      <c r="D1151" s="261"/>
      <c r="E1151" s="261"/>
      <c r="F1151" s="261"/>
      <c r="G1151" s="261"/>
      <c r="H1151" s="261"/>
      <c r="I1151" s="261"/>
      <c r="J1151" s="261"/>
      <c r="K1151" s="261"/>
      <c r="L1151" s="261"/>
      <c r="M1151" s="261"/>
      <c r="N1151" s="261"/>
    </row>
    <row r="1152" spans="3:14" x14ac:dyDescent="0.2">
      <c r="C1152" s="261"/>
      <c r="D1152" s="261"/>
      <c r="E1152" s="261"/>
      <c r="F1152" s="261"/>
      <c r="G1152" s="261"/>
      <c r="H1152" s="261"/>
      <c r="I1152" s="261"/>
      <c r="J1152" s="261"/>
      <c r="K1152" s="261"/>
      <c r="L1152" s="261"/>
      <c r="M1152" s="261"/>
      <c r="N1152" s="261"/>
    </row>
    <row r="1153" spans="3:14" x14ac:dyDescent="0.2">
      <c r="C1153" s="261"/>
      <c r="D1153" s="261"/>
      <c r="E1153" s="261"/>
      <c r="F1153" s="261"/>
      <c r="G1153" s="261"/>
      <c r="H1153" s="261"/>
      <c r="I1153" s="261"/>
      <c r="J1153" s="261"/>
      <c r="K1153" s="261"/>
      <c r="L1153" s="261"/>
      <c r="M1153" s="261"/>
      <c r="N1153" s="261"/>
    </row>
    <row r="1154" spans="3:14" x14ac:dyDescent="0.2">
      <c r="C1154" s="261"/>
      <c r="D1154" s="261"/>
      <c r="E1154" s="261"/>
      <c r="F1154" s="261"/>
      <c r="G1154" s="261"/>
      <c r="H1154" s="261"/>
      <c r="I1154" s="261"/>
      <c r="J1154" s="261"/>
      <c r="K1154" s="261"/>
      <c r="L1154" s="261"/>
      <c r="M1154" s="261"/>
      <c r="N1154" s="261"/>
    </row>
    <row r="1155" spans="3:14" x14ac:dyDescent="0.2">
      <c r="C1155" s="261"/>
      <c r="D1155" s="261"/>
      <c r="E1155" s="261"/>
      <c r="F1155" s="261"/>
      <c r="G1155" s="261"/>
      <c r="H1155" s="261"/>
      <c r="I1155" s="261"/>
      <c r="J1155" s="261"/>
      <c r="K1155" s="261"/>
      <c r="L1155" s="261"/>
      <c r="M1155" s="261"/>
      <c r="N1155" s="261"/>
    </row>
    <row r="1156" spans="3:14" x14ac:dyDescent="0.2">
      <c r="C1156" s="261"/>
      <c r="D1156" s="261"/>
      <c r="E1156" s="261"/>
      <c r="F1156" s="261"/>
      <c r="G1156" s="261"/>
      <c r="H1156" s="261"/>
      <c r="I1156" s="261"/>
      <c r="J1156" s="261"/>
      <c r="K1156" s="261"/>
      <c r="L1156" s="261"/>
      <c r="M1156" s="261"/>
      <c r="N1156" s="261"/>
    </row>
    <row r="1157" spans="3:14" x14ac:dyDescent="0.2">
      <c r="C1157" s="261"/>
      <c r="D1157" s="261"/>
      <c r="E1157" s="261"/>
      <c r="F1157" s="261"/>
      <c r="G1157" s="261"/>
      <c r="H1157" s="261"/>
      <c r="I1157" s="261"/>
      <c r="J1157" s="261"/>
      <c r="K1157" s="261"/>
      <c r="L1157" s="261"/>
      <c r="M1157" s="261"/>
      <c r="N1157" s="261"/>
    </row>
    <row r="1158" spans="3:14" x14ac:dyDescent="0.2">
      <c r="C1158" s="261"/>
      <c r="D1158" s="261"/>
      <c r="E1158" s="261"/>
      <c r="F1158" s="261"/>
      <c r="G1158" s="261"/>
      <c r="H1158" s="261"/>
      <c r="I1158" s="261"/>
      <c r="J1158" s="261"/>
      <c r="K1158" s="261"/>
      <c r="L1158" s="261"/>
      <c r="M1158" s="261"/>
      <c r="N1158" s="261"/>
    </row>
    <row r="1159" spans="3:14" x14ac:dyDescent="0.2">
      <c r="C1159" s="261"/>
      <c r="D1159" s="261"/>
      <c r="E1159" s="261"/>
      <c r="F1159" s="261"/>
      <c r="G1159" s="261"/>
      <c r="H1159" s="261"/>
      <c r="I1159" s="261"/>
      <c r="J1159" s="261"/>
      <c r="K1159" s="261"/>
      <c r="L1159" s="261"/>
      <c r="M1159" s="261"/>
      <c r="N1159" s="261"/>
    </row>
    <row r="1160" spans="3:14" x14ac:dyDescent="0.2">
      <c r="C1160" s="261"/>
      <c r="D1160" s="261"/>
      <c r="E1160" s="261"/>
      <c r="F1160" s="261"/>
      <c r="G1160" s="261"/>
      <c r="H1160" s="261"/>
      <c r="I1160" s="261"/>
      <c r="J1160" s="261"/>
      <c r="K1160" s="261"/>
      <c r="L1160" s="261"/>
      <c r="M1160" s="261"/>
      <c r="N1160" s="261"/>
    </row>
    <row r="1161" spans="3:14" x14ac:dyDescent="0.2">
      <c r="C1161" s="261"/>
      <c r="D1161" s="261"/>
      <c r="E1161" s="261"/>
      <c r="F1161" s="261"/>
      <c r="G1161" s="261"/>
      <c r="H1161" s="261"/>
      <c r="I1161" s="261"/>
      <c r="J1161" s="261"/>
      <c r="K1161" s="261"/>
      <c r="L1161" s="261"/>
      <c r="M1161" s="261"/>
      <c r="N1161" s="261"/>
    </row>
    <row r="1162" spans="3:14" x14ac:dyDescent="0.2">
      <c r="C1162" s="261"/>
      <c r="D1162" s="261"/>
      <c r="E1162" s="261"/>
      <c r="F1162" s="261"/>
      <c r="G1162" s="261"/>
      <c r="H1162" s="261"/>
      <c r="I1162" s="261"/>
      <c r="J1162" s="261"/>
      <c r="K1162" s="261"/>
      <c r="L1162" s="261"/>
      <c r="M1162" s="261"/>
      <c r="N1162" s="261"/>
    </row>
    <row r="1163" spans="3:14" x14ac:dyDescent="0.2">
      <c r="C1163" s="261"/>
      <c r="D1163" s="261"/>
      <c r="E1163" s="261"/>
      <c r="F1163" s="261"/>
      <c r="G1163" s="261"/>
      <c r="H1163" s="261"/>
      <c r="I1163" s="261"/>
      <c r="J1163" s="261"/>
      <c r="K1163" s="261"/>
      <c r="L1163" s="261"/>
      <c r="M1163" s="261"/>
      <c r="N1163" s="261"/>
    </row>
    <row r="1164" spans="3:14" x14ac:dyDescent="0.2">
      <c r="C1164" s="261"/>
      <c r="D1164" s="261"/>
      <c r="E1164" s="261"/>
      <c r="F1164" s="261"/>
      <c r="G1164" s="261"/>
      <c r="H1164" s="261"/>
      <c r="I1164" s="261"/>
      <c r="J1164" s="261"/>
      <c r="K1164" s="261"/>
      <c r="L1164" s="261"/>
      <c r="M1164" s="261"/>
      <c r="N1164" s="261"/>
    </row>
    <row r="1165" spans="3:14" x14ac:dyDescent="0.2">
      <c r="C1165" s="261"/>
      <c r="D1165" s="261"/>
      <c r="E1165" s="261"/>
      <c r="F1165" s="261"/>
      <c r="G1165" s="261"/>
      <c r="H1165" s="261"/>
      <c r="I1165" s="261"/>
      <c r="J1165" s="261"/>
      <c r="K1165" s="261"/>
      <c r="L1165" s="261"/>
      <c r="M1165" s="261"/>
      <c r="N1165" s="261"/>
    </row>
    <row r="1166" spans="3:14" x14ac:dyDescent="0.2">
      <c r="C1166" s="261"/>
      <c r="D1166" s="261"/>
      <c r="E1166" s="261"/>
      <c r="F1166" s="261"/>
      <c r="G1166" s="261"/>
      <c r="H1166" s="261"/>
      <c r="I1166" s="261"/>
      <c r="J1166" s="261"/>
      <c r="K1166" s="261"/>
      <c r="L1166" s="261"/>
      <c r="M1166" s="261"/>
      <c r="N1166" s="261"/>
    </row>
    <row r="1167" spans="3:14" x14ac:dyDescent="0.2">
      <c r="C1167" s="261"/>
      <c r="D1167" s="261"/>
      <c r="E1167" s="261"/>
      <c r="F1167" s="261"/>
      <c r="G1167" s="261"/>
      <c r="H1167" s="261"/>
      <c r="I1167" s="261"/>
      <c r="J1167" s="261"/>
      <c r="K1167" s="261"/>
      <c r="L1167" s="261"/>
      <c r="M1167" s="261"/>
      <c r="N1167" s="261"/>
    </row>
    <row r="1168" spans="3:14" x14ac:dyDescent="0.2">
      <c r="C1168" s="261"/>
      <c r="D1168" s="261"/>
      <c r="E1168" s="261"/>
      <c r="F1168" s="261"/>
      <c r="G1168" s="261"/>
      <c r="H1168" s="261"/>
      <c r="I1168" s="261"/>
      <c r="J1168" s="261"/>
      <c r="K1168" s="261"/>
      <c r="L1168" s="261"/>
      <c r="M1168" s="261"/>
      <c r="N1168" s="261"/>
    </row>
    <row r="1169" spans="3:14" x14ac:dyDescent="0.2">
      <c r="C1169" s="261"/>
      <c r="D1169" s="261"/>
      <c r="E1169" s="261"/>
      <c r="F1169" s="261"/>
      <c r="G1169" s="261"/>
      <c r="H1169" s="261"/>
      <c r="I1169" s="261"/>
      <c r="J1169" s="261"/>
      <c r="K1169" s="261"/>
      <c r="L1169" s="261"/>
      <c r="M1169" s="261"/>
      <c r="N1169" s="261"/>
    </row>
    <row r="1170" spans="3:14" x14ac:dyDescent="0.2">
      <c r="C1170" s="261"/>
      <c r="D1170" s="261"/>
      <c r="E1170" s="261"/>
      <c r="F1170" s="261"/>
      <c r="G1170" s="261"/>
      <c r="H1170" s="261"/>
      <c r="I1170" s="261"/>
      <c r="J1170" s="261"/>
      <c r="K1170" s="261"/>
      <c r="L1170" s="261"/>
      <c r="M1170" s="261"/>
      <c r="N1170" s="261"/>
    </row>
    <row r="1171" spans="3:14" x14ac:dyDescent="0.2">
      <c r="C1171" s="261"/>
      <c r="D1171" s="261"/>
      <c r="E1171" s="261"/>
      <c r="F1171" s="261"/>
      <c r="G1171" s="261"/>
      <c r="H1171" s="261"/>
      <c r="I1171" s="261"/>
      <c r="J1171" s="261"/>
      <c r="K1171" s="261"/>
      <c r="L1171" s="261"/>
      <c r="M1171" s="261"/>
      <c r="N1171" s="261"/>
    </row>
    <row r="1172" spans="3:14" x14ac:dyDescent="0.2">
      <c r="C1172" s="261"/>
      <c r="D1172" s="261"/>
      <c r="E1172" s="261"/>
      <c r="F1172" s="261"/>
      <c r="G1172" s="261"/>
      <c r="H1172" s="261"/>
      <c r="I1172" s="261"/>
      <c r="J1172" s="261"/>
      <c r="K1172" s="261"/>
      <c r="L1172" s="261"/>
      <c r="M1172" s="261"/>
      <c r="N1172" s="261"/>
    </row>
    <row r="1173" spans="3:14" x14ac:dyDescent="0.2">
      <c r="C1173" s="261"/>
      <c r="D1173" s="261"/>
      <c r="E1173" s="261"/>
      <c r="F1173" s="261"/>
      <c r="G1173" s="261"/>
      <c r="H1173" s="261"/>
      <c r="I1173" s="261"/>
      <c r="J1173" s="261"/>
      <c r="K1173" s="261"/>
      <c r="L1173" s="261"/>
      <c r="M1173" s="261"/>
      <c r="N1173" s="261"/>
    </row>
    <row r="1174" spans="3:14" x14ac:dyDescent="0.2">
      <c r="C1174" s="261"/>
      <c r="D1174" s="261"/>
      <c r="E1174" s="261"/>
      <c r="F1174" s="261"/>
      <c r="G1174" s="261"/>
      <c r="H1174" s="261"/>
      <c r="I1174" s="261"/>
      <c r="J1174" s="261"/>
      <c r="K1174" s="261"/>
      <c r="L1174" s="261"/>
      <c r="M1174" s="261"/>
      <c r="N1174" s="261"/>
    </row>
    <row r="1175" spans="3:14" x14ac:dyDescent="0.2">
      <c r="C1175" s="261"/>
      <c r="D1175" s="261"/>
      <c r="E1175" s="261"/>
      <c r="F1175" s="261"/>
      <c r="G1175" s="261"/>
      <c r="H1175" s="261"/>
      <c r="I1175" s="261"/>
      <c r="J1175" s="261"/>
      <c r="K1175" s="261"/>
      <c r="L1175" s="261"/>
      <c r="M1175" s="261"/>
      <c r="N1175" s="261"/>
    </row>
    <row r="1176" spans="3:14" x14ac:dyDescent="0.2">
      <c r="C1176" s="261"/>
      <c r="D1176" s="261"/>
      <c r="E1176" s="261"/>
      <c r="F1176" s="261"/>
      <c r="G1176" s="261"/>
      <c r="H1176" s="261"/>
      <c r="I1176" s="261"/>
      <c r="J1176" s="261"/>
      <c r="K1176" s="261"/>
      <c r="L1176" s="261"/>
      <c r="M1176" s="261"/>
      <c r="N1176" s="261"/>
    </row>
    <row r="1177" spans="3:14" x14ac:dyDescent="0.2">
      <c r="C1177" s="261"/>
      <c r="D1177" s="261"/>
      <c r="E1177" s="261"/>
      <c r="F1177" s="261"/>
      <c r="G1177" s="261"/>
      <c r="H1177" s="261"/>
      <c r="I1177" s="261"/>
      <c r="J1177" s="261"/>
      <c r="K1177" s="261"/>
      <c r="L1177" s="261"/>
      <c r="M1177" s="261"/>
      <c r="N1177" s="261"/>
    </row>
    <row r="1178" spans="3:14" x14ac:dyDescent="0.2">
      <c r="C1178" s="261"/>
      <c r="D1178" s="261"/>
      <c r="E1178" s="261"/>
      <c r="F1178" s="261"/>
      <c r="G1178" s="261"/>
      <c r="H1178" s="261"/>
      <c r="I1178" s="261"/>
      <c r="J1178" s="261"/>
      <c r="K1178" s="261"/>
      <c r="L1178" s="261"/>
      <c r="M1178" s="261"/>
      <c r="N1178" s="261"/>
    </row>
    <row r="1179" spans="3:14" x14ac:dyDescent="0.2">
      <c r="C1179" s="261"/>
      <c r="D1179" s="261"/>
      <c r="E1179" s="261"/>
      <c r="F1179" s="261"/>
      <c r="G1179" s="261"/>
      <c r="H1179" s="261"/>
      <c r="I1179" s="261"/>
      <c r="J1179" s="261"/>
      <c r="K1179" s="261"/>
      <c r="L1179" s="261"/>
      <c r="M1179" s="261"/>
      <c r="N1179" s="261"/>
    </row>
    <row r="1180" spans="3:14" x14ac:dyDescent="0.2">
      <c r="C1180" s="261"/>
      <c r="D1180" s="261"/>
      <c r="E1180" s="261"/>
      <c r="F1180" s="261"/>
      <c r="G1180" s="261"/>
      <c r="H1180" s="261"/>
      <c r="I1180" s="261"/>
      <c r="J1180" s="261"/>
      <c r="K1180" s="261"/>
      <c r="L1180" s="261"/>
      <c r="M1180" s="261"/>
      <c r="N1180" s="261"/>
    </row>
    <row r="1181" spans="3:14" x14ac:dyDescent="0.2">
      <c r="C1181" s="261"/>
      <c r="D1181" s="261"/>
      <c r="E1181" s="261"/>
      <c r="F1181" s="261"/>
      <c r="G1181" s="261"/>
      <c r="H1181" s="261"/>
      <c r="I1181" s="261"/>
      <c r="J1181" s="261"/>
      <c r="K1181" s="261"/>
      <c r="L1181" s="261"/>
      <c r="M1181" s="261"/>
      <c r="N1181" s="261"/>
    </row>
    <row r="1182" spans="3:14" x14ac:dyDescent="0.2">
      <c r="C1182" s="261"/>
      <c r="D1182" s="261"/>
      <c r="E1182" s="261"/>
      <c r="F1182" s="261"/>
      <c r="G1182" s="261"/>
      <c r="H1182" s="261"/>
      <c r="I1182" s="261"/>
      <c r="J1182" s="261"/>
      <c r="K1182" s="261"/>
      <c r="L1182" s="261"/>
      <c r="M1182" s="261"/>
      <c r="N1182" s="261"/>
    </row>
    <row r="1183" spans="3:14" x14ac:dyDescent="0.2">
      <c r="C1183" s="261"/>
      <c r="D1183" s="261"/>
      <c r="E1183" s="261"/>
      <c r="F1183" s="261"/>
      <c r="G1183" s="261"/>
      <c r="H1183" s="261"/>
      <c r="I1183" s="261"/>
      <c r="J1183" s="261"/>
      <c r="K1183" s="261"/>
      <c r="L1183" s="261"/>
      <c r="M1183" s="261"/>
      <c r="N1183" s="261"/>
    </row>
    <row r="1184" spans="3:14" x14ac:dyDescent="0.2">
      <c r="C1184" s="261"/>
      <c r="D1184" s="261"/>
      <c r="E1184" s="261"/>
      <c r="F1184" s="261"/>
      <c r="G1184" s="261"/>
      <c r="H1184" s="261"/>
      <c r="I1184" s="261"/>
      <c r="J1184" s="261"/>
      <c r="K1184" s="261"/>
      <c r="L1184" s="261"/>
      <c r="M1184" s="261"/>
      <c r="N1184" s="261"/>
    </row>
    <row r="1185" spans="3:14" x14ac:dyDescent="0.2">
      <c r="C1185" s="261"/>
      <c r="D1185" s="261"/>
      <c r="E1185" s="261"/>
      <c r="F1185" s="261"/>
      <c r="G1185" s="261"/>
      <c r="H1185" s="261"/>
      <c r="I1185" s="261"/>
      <c r="J1185" s="261"/>
      <c r="K1185" s="261"/>
      <c r="L1185" s="261"/>
      <c r="M1185" s="261"/>
      <c r="N1185" s="261"/>
    </row>
    <row r="1186" spans="3:14" x14ac:dyDescent="0.2">
      <c r="C1186" s="261"/>
      <c r="D1186" s="261"/>
      <c r="E1186" s="261"/>
      <c r="F1186" s="261"/>
      <c r="G1186" s="261"/>
      <c r="H1186" s="261"/>
      <c r="I1186" s="261"/>
      <c r="J1186" s="261"/>
      <c r="K1186" s="261"/>
      <c r="L1186" s="261"/>
      <c r="M1186" s="261"/>
      <c r="N1186" s="261"/>
    </row>
    <row r="1187" spans="3:14" x14ac:dyDescent="0.2">
      <c r="C1187" s="261"/>
      <c r="D1187" s="261"/>
      <c r="E1187" s="261"/>
      <c r="F1187" s="261"/>
      <c r="G1187" s="261"/>
      <c r="H1187" s="261"/>
      <c r="I1187" s="261"/>
      <c r="J1187" s="261"/>
      <c r="K1187" s="261"/>
      <c r="L1187" s="261"/>
      <c r="M1187" s="261"/>
      <c r="N1187" s="261"/>
    </row>
    <row r="1188" spans="3:14" x14ac:dyDescent="0.2">
      <c r="C1188" s="261"/>
      <c r="D1188" s="261"/>
      <c r="E1188" s="261"/>
      <c r="F1188" s="261"/>
      <c r="G1188" s="261"/>
      <c r="H1188" s="261"/>
      <c r="I1188" s="261"/>
      <c r="J1188" s="261"/>
      <c r="K1188" s="261"/>
      <c r="L1188" s="261"/>
      <c r="M1188" s="261"/>
      <c r="N1188" s="261"/>
    </row>
    <row r="1189" spans="3:14" x14ac:dyDescent="0.2">
      <c r="C1189" s="261"/>
      <c r="D1189" s="261"/>
      <c r="E1189" s="261"/>
      <c r="F1189" s="261"/>
      <c r="G1189" s="261"/>
      <c r="H1189" s="261"/>
      <c r="I1189" s="261"/>
      <c r="J1189" s="261"/>
      <c r="K1189" s="261"/>
      <c r="L1189" s="261"/>
      <c r="M1189" s="261"/>
      <c r="N1189" s="261"/>
    </row>
    <row r="1190" spans="3:14" x14ac:dyDescent="0.2">
      <c r="C1190" s="261"/>
      <c r="D1190" s="261"/>
      <c r="E1190" s="261"/>
      <c r="F1190" s="261"/>
      <c r="G1190" s="261"/>
      <c r="H1190" s="261"/>
      <c r="I1190" s="261"/>
      <c r="J1190" s="261"/>
      <c r="K1190" s="261"/>
      <c r="L1190" s="261"/>
      <c r="M1190" s="261"/>
      <c r="N1190" s="261"/>
    </row>
    <row r="1191" spans="3:14" x14ac:dyDescent="0.2">
      <c r="C1191" s="261"/>
      <c r="D1191" s="261"/>
      <c r="E1191" s="261"/>
      <c r="F1191" s="261"/>
      <c r="G1191" s="261"/>
      <c r="H1191" s="261"/>
      <c r="I1191" s="261"/>
      <c r="J1191" s="261"/>
      <c r="K1191" s="261"/>
      <c r="L1191" s="261"/>
      <c r="M1191" s="261"/>
      <c r="N1191" s="261"/>
    </row>
    <row r="1192" spans="3:14" x14ac:dyDescent="0.2">
      <c r="C1192" s="261"/>
      <c r="D1192" s="261"/>
      <c r="E1192" s="261"/>
      <c r="F1192" s="261"/>
      <c r="G1192" s="261"/>
      <c r="H1192" s="261"/>
      <c r="I1192" s="261"/>
      <c r="J1192" s="261"/>
      <c r="K1192" s="261"/>
      <c r="L1192" s="261"/>
      <c r="M1192" s="261"/>
      <c r="N1192" s="261"/>
    </row>
    <row r="1193" spans="3:14" x14ac:dyDescent="0.2">
      <c r="C1193" s="261"/>
      <c r="D1193" s="261"/>
      <c r="E1193" s="261"/>
      <c r="F1193" s="261"/>
      <c r="G1193" s="261"/>
      <c r="H1193" s="261"/>
      <c r="I1193" s="261"/>
      <c r="J1193" s="261"/>
      <c r="K1193" s="261"/>
      <c r="L1193" s="261"/>
      <c r="M1193" s="261"/>
      <c r="N1193" s="261"/>
    </row>
    <row r="1194" spans="3:14" x14ac:dyDescent="0.2">
      <c r="C1194" s="261"/>
      <c r="D1194" s="261"/>
      <c r="E1194" s="261"/>
      <c r="F1194" s="261"/>
      <c r="G1194" s="261"/>
      <c r="H1194" s="261"/>
      <c r="I1194" s="261"/>
      <c r="J1194" s="261"/>
      <c r="K1194" s="261"/>
      <c r="L1194" s="261"/>
      <c r="M1194" s="261"/>
      <c r="N1194" s="261"/>
    </row>
    <row r="1195" spans="3:14" x14ac:dyDescent="0.2">
      <c r="C1195" s="261"/>
      <c r="D1195" s="261"/>
      <c r="E1195" s="261"/>
      <c r="F1195" s="261"/>
      <c r="G1195" s="261"/>
      <c r="H1195" s="261"/>
      <c r="I1195" s="261"/>
      <c r="J1195" s="261"/>
      <c r="K1195" s="261"/>
      <c r="L1195" s="261"/>
      <c r="M1195" s="261"/>
      <c r="N1195" s="261"/>
    </row>
    <row r="1196" spans="3:14" x14ac:dyDescent="0.2">
      <c r="C1196" s="261"/>
      <c r="D1196" s="261"/>
      <c r="E1196" s="261"/>
      <c r="F1196" s="261"/>
      <c r="G1196" s="261"/>
      <c r="H1196" s="261"/>
      <c r="I1196" s="261"/>
      <c r="J1196" s="261"/>
      <c r="K1196" s="261"/>
      <c r="L1196" s="261"/>
      <c r="M1196" s="261"/>
      <c r="N1196" s="261"/>
    </row>
    <row r="1197" spans="3:14" x14ac:dyDescent="0.2">
      <c r="C1197" s="261"/>
      <c r="D1197" s="261"/>
      <c r="E1197" s="261"/>
      <c r="F1197" s="261"/>
      <c r="G1197" s="261"/>
      <c r="H1197" s="261"/>
      <c r="I1197" s="261"/>
      <c r="J1197" s="261"/>
      <c r="K1197" s="261"/>
      <c r="L1197" s="261"/>
      <c r="M1197" s="261"/>
      <c r="N1197" s="261"/>
    </row>
    <row r="1198" spans="3:14" x14ac:dyDescent="0.2">
      <c r="C1198" s="261"/>
      <c r="D1198" s="261"/>
      <c r="E1198" s="261"/>
      <c r="F1198" s="261"/>
      <c r="G1198" s="261"/>
      <c r="H1198" s="261"/>
      <c r="I1198" s="261"/>
      <c r="J1198" s="261"/>
      <c r="K1198" s="261"/>
      <c r="L1198" s="261"/>
      <c r="M1198" s="261"/>
      <c r="N1198" s="261"/>
    </row>
    <row r="1199" spans="3:14" x14ac:dyDescent="0.2">
      <c r="C1199" s="261"/>
      <c r="D1199" s="261"/>
      <c r="E1199" s="261"/>
      <c r="F1199" s="261"/>
      <c r="G1199" s="261"/>
      <c r="H1199" s="261"/>
      <c r="I1199" s="261"/>
      <c r="J1199" s="261"/>
      <c r="K1199" s="261"/>
      <c r="L1199" s="261"/>
      <c r="M1199" s="261"/>
      <c r="N1199" s="261"/>
    </row>
    <row r="1200" spans="3:14" x14ac:dyDescent="0.2">
      <c r="C1200" s="261"/>
      <c r="D1200" s="261"/>
      <c r="E1200" s="261"/>
      <c r="F1200" s="261"/>
      <c r="G1200" s="261"/>
      <c r="H1200" s="261"/>
      <c r="I1200" s="261"/>
      <c r="J1200" s="261"/>
      <c r="K1200" s="261"/>
      <c r="L1200" s="261"/>
      <c r="M1200" s="261"/>
      <c r="N1200" s="261"/>
    </row>
    <row r="1201" spans="3:14" x14ac:dyDescent="0.2">
      <c r="C1201" s="261"/>
      <c r="D1201" s="261"/>
      <c r="E1201" s="261"/>
      <c r="F1201" s="261"/>
      <c r="G1201" s="261"/>
      <c r="H1201" s="261"/>
      <c r="I1201" s="261"/>
      <c r="J1201" s="261"/>
      <c r="K1201" s="261"/>
      <c r="L1201" s="261"/>
      <c r="M1201" s="261"/>
      <c r="N1201" s="261"/>
    </row>
    <row r="1202" spans="3:14" x14ac:dyDescent="0.2">
      <c r="C1202" s="261"/>
      <c r="D1202" s="261"/>
      <c r="E1202" s="261"/>
      <c r="F1202" s="261"/>
      <c r="G1202" s="261"/>
      <c r="H1202" s="261"/>
      <c r="I1202" s="261"/>
      <c r="J1202" s="261"/>
      <c r="K1202" s="261"/>
      <c r="L1202" s="261"/>
      <c r="M1202" s="261"/>
      <c r="N1202" s="261"/>
    </row>
    <row r="1203" spans="3:14" x14ac:dyDescent="0.2">
      <c r="C1203" s="261"/>
      <c r="D1203" s="261"/>
      <c r="E1203" s="261"/>
      <c r="F1203" s="261"/>
      <c r="G1203" s="261"/>
      <c r="H1203" s="261"/>
      <c r="I1203" s="261"/>
      <c r="J1203" s="261"/>
      <c r="K1203" s="261"/>
      <c r="L1203" s="261"/>
      <c r="M1203" s="261"/>
      <c r="N1203" s="261"/>
    </row>
    <row r="1204" spans="3:14" x14ac:dyDescent="0.2">
      <c r="C1204" s="261"/>
      <c r="D1204" s="261"/>
      <c r="E1204" s="261"/>
      <c r="F1204" s="261"/>
      <c r="G1204" s="261"/>
      <c r="H1204" s="261"/>
      <c r="I1204" s="261"/>
      <c r="J1204" s="261"/>
      <c r="K1204" s="261"/>
      <c r="L1204" s="261"/>
      <c r="M1204" s="261"/>
      <c r="N1204" s="261"/>
    </row>
    <row r="1205" spans="3:14" x14ac:dyDescent="0.2">
      <c r="C1205" s="261"/>
      <c r="D1205" s="261"/>
      <c r="E1205" s="261"/>
      <c r="F1205" s="261"/>
      <c r="G1205" s="261"/>
      <c r="H1205" s="261"/>
      <c r="I1205" s="261"/>
      <c r="J1205" s="261"/>
      <c r="K1205" s="261"/>
      <c r="L1205" s="261"/>
      <c r="M1205" s="261"/>
      <c r="N1205" s="261"/>
    </row>
    <row r="1206" spans="3:14" x14ac:dyDescent="0.2">
      <c r="C1206" s="261"/>
      <c r="D1206" s="261"/>
      <c r="E1206" s="261"/>
      <c r="F1206" s="261"/>
      <c r="G1206" s="261"/>
      <c r="H1206" s="261"/>
      <c r="I1206" s="261"/>
      <c r="J1206" s="261"/>
      <c r="K1206" s="261"/>
      <c r="L1206" s="261"/>
      <c r="M1206" s="261"/>
      <c r="N1206" s="261"/>
    </row>
    <row r="1207" spans="3:14" x14ac:dyDescent="0.2">
      <c r="C1207" s="261"/>
      <c r="D1207" s="261"/>
      <c r="E1207" s="261"/>
      <c r="F1207" s="261"/>
      <c r="G1207" s="261"/>
      <c r="H1207" s="261"/>
      <c r="I1207" s="261"/>
      <c r="J1207" s="261"/>
      <c r="K1207" s="261"/>
      <c r="L1207" s="261"/>
      <c r="M1207" s="261"/>
      <c r="N1207" s="261"/>
    </row>
    <row r="1208" spans="3:14" x14ac:dyDescent="0.2">
      <c r="C1208" s="261"/>
      <c r="D1208" s="261"/>
      <c r="E1208" s="261"/>
      <c r="F1208" s="261"/>
      <c r="G1208" s="261"/>
      <c r="H1208" s="261"/>
      <c r="I1208" s="261"/>
      <c r="J1208" s="261"/>
      <c r="K1208" s="261"/>
      <c r="L1208" s="261"/>
      <c r="M1208" s="261"/>
      <c r="N1208" s="261"/>
    </row>
    <row r="1209" spans="3:14" x14ac:dyDescent="0.2">
      <c r="C1209" s="261"/>
      <c r="D1209" s="261"/>
      <c r="E1209" s="261"/>
      <c r="F1209" s="261"/>
      <c r="G1209" s="261"/>
      <c r="H1209" s="261"/>
      <c r="I1209" s="261"/>
      <c r="J1209" s="261"/>
      <c r="K1209" s="261"/>
      <c r="L1209" s="261"/>
      <c r="M1209" s="261"/>
      <c r="N1209" s="261"/>
    </row>
    <row r="1210" spans="3:14" x14ac:dyDescent="0.2">
      <c r="C1210" s="261"/>
      <c r="D1210" s="261"/>
      <c r="E1210" s="261"/>
      <c r="F1210" s="261"/>
      <c r="G1210" s="261"/>
      <c r="H1210" s="261"/>
      <c r="I1210" s="261"/>
      <c r="J1210" s="261"/>
      <c r="K1210" s="261"/>
      <c r="L1210" s="261"/>
      <c r="M1210" s="261"/>
      <c r="N1210" s="261"/>
    </row>
    <row r="1211" spans="3:14" x14ac:dyDescent="0.2">
      <c r="C1211" s="261"/>
      <c r="D1211" s="261"/>
      <c r="E1211" s="261"/>
      <c r="F1211" s="261"/>
      <c r="G1211" s="261"/>
      <c r="H1211" s="261"/>
      <c r="I1211" s="261"/>
      <c r="J1211" s="261"/>
      <c r="K1211" s="261"/>
      <c r="L1211" s="261"/>
      <c r="M1211" s="261"/>
      <c r="N1211" s="261"/>
    </row>
    <row r="1212" spans="3:14" x14ac:dyDescent="0.2">
      <c r="C1212" s="261"/>
      <c r="D1212" s="261"/>
      <c r="E1212" s="261"/>
      <c r="F1212" s="261"/>
      <c r="G1212" s="261"/>
      <c r="H1212" s="261"/>
      <c r="I1212" s="261"/>
      <c r="J1212" s="261"/>
      <c r="K1212" s="261"/>
      <c r="L1212" s="261"/>
      <c r="M1212" s="261"/>
      <c r="N1212" s="261"/>
    </row>
    <row r="1213" spans="3:14" x14ac:dyDescent="0.2">
      <c r="C1213" s="261"/>
      <c r="D1213" s="261"/>
      <c r="E1213" s="261"/>
      <c r="F1213" s="261"/>
      <c r="G1213" s="261"/>
      <c r="H1213" s="261"/>
      <c r="I1213" s="261"/>
      <c r="J1213" s="261"/>
      <c r="K1213" s="261"/>
      <c r="L1213" s="261"/>
      <c r="M1213" s="261"/>
      <c r="N1213" s="261"/>
    </row>
    <row r="1214" spans="3:14" x14ac:dyDescent="0.2">
      <c r="C1214" s="261"/>
      <c r="D1214" s="261"/>
      <c r="E1214" s="261"/>
      <c r="F1214" s="261"/>
      <c r="G1214" s="261"/>
      <c r="H1214" s="261"/>
      <c r="I1214" s="261"/>
      <c r="J1214" s="261"/>
      <c r="K1214" s="261"/>
      <c r="L1214" s="261"/>
      <c r="M1214" s="261"/>
      <c r="N1214" s="261"/>
    </row>
    <row r="1215" spans="3:14" x14ac:dyDescent="0.2">
      <c r="C1215" s="261"/>
      <c r="D1215" s="261"/>
      <c r="E1215" s="261"/>
      <c r="F1215" s="261"/>
      <c r="G1215" s="261"/>
      <c r="H1215" s="261"/>
      <c r="I1215" s="261"/>
      <c r="J1215" s="261"/>
      <c r="K1215" s="261"/>
      <c r="L1215" s="261"/>
      <c r="M1215" s="261"/>
      <c r="N1215" s="261"/>
    </row>
    <row r="1216" spans="3:14" x14ac:dyDescent="0.2">
      <c r="C1216" s="261"/>
      <c r="D1216" s="261"/>
      <c r="E1216" s="261"/>
      <c r="F1216" s="261"/>
      <c r="G1216" s="261"/>
      <c r="H1216" s="261"/>
      <c r="I1216" s="261"/>
      <c r="J1216" s="261"/>
      <c r="K1216" s="261"/>
      <c r="L1216" s="261"/>
      <c r="M1216" s="261"/>
      <c r="N1216" s="261"/>
    </row>
    <row r="1217" spans="3:14" x14ac:dyDescent="0.2">
      <c r="C1217" s="261"/>
      <c r="D1217" s="261"/>
      <c r="E1217" s="261"/>
      <c r="F1217" s="261"/>
      <c r="G1217" s="261"/>
      <c r="H1217" s="261"/>
      <c r="I1217" s="261"/>
      <c r="J1217" s="261"/>
      <c r="K1217" s="261"/>
      <c r="L1217" s="261"/>
      <c r="M1217" s="261"/>
      <c r="N1217" s="261"/>
    </row>
    <row r="1218" spans="3:14" x14ac:dyDescent="0.2">
      <c r="C1218" s="261"/>
      <c r="D1218" s="261"/>
      <c r="E1218" s="261"/>
      <c r="F1218" s="261"/>
      <c r="G1218" s="261"/>
      <c r="H1218" s="261"/>
      <c r="I1218" s="261"/>
      <c r="J1218" s="261"/>
      <c r="K1218" s="261"/>
      <c r="L1218" s="261"/>
      <c r="M1218" s="261"/>
      <c r="N1218" s="261"/>
    </row>
    <row r="1219" spans="3:14" x14ac:dyDescent="0.2">
      <c r="C1219" s="261"/>
      <c r="D1219" s="261"/>
      <c r="E1219" s="261"/>
      <c r="F1219" s="261"/>
      <c r="G1219" s="261"/>
      <c r="H1219" s="261"/>
      <c r="I1219" s="261"/>
      <c r="J1219" s="261"/>
      <c r="K1219" s="261"/>
      <c r="L1219" s="261"/>
      <c r="M1219" s="261"/>
      <c r="N1219" s="261"/>
    </row>
    <row r="1220" spans="3:14" x14ac:dyDescent="0.2">
      <c r="C1220" s="261"/>
      <c r="D1220" s="261"/>
      <c r="E1220" s="261"/>
      <c r="F1220" s="261"/>
      <c r="G1220" s="261"/>
      <c r="H1220" s="261"/>
      <c r="I1220" s="261"/>
      <c r="J1220" s="261"/>
      <c r="K1220" s="261"/>
      <c r="L1220" s="261"/>
      <c r="M1220" s="261"/>
      <c r="N1220" s="261"/>
    </row>
    <row r="1221" spans="3:14" x14ac:dyDescent="0.2">
      <c r="C1221" s="261"/>
      <c r="D1221" s="261"/>
      <c r="E1221" s="261"/>
      <c r="F1221" s="261"/>
      <c r="G1221" s="261"/>
      <c r="H1221" s="261"/>
      <c r="I1221" s="261"/>
      <c r="J1221" s="261"/>
      <c r="K1221" s="261"/>
      <c r="L1221" s="261"/>
      <c r="M1221" s="261"/>
      <c r="N1221" s="261"/>
    </row>
    <row r="1222" spans="3:14" x14ac:dyDescent="0.2">
      <c r="C1222" s="261"/>
      <c r="D1222" s="261"/>
      <c r="E1222" s="261"/>
      <c r="F1222" s="261"/>
      <c r="G1222" s="261"/>
      <c r="H1222" s="261"/>
      <c r="I1222" s="261"/>
      <c r="J1222" s="261"/>
      <c r="K1222" s="261"/>
      <c r="L1222" s="261"/>
      <c r="M1222" s="261"/>
      <c r="N1222" s="261"/>
    </row>
    <row r="1223" spans="3:14" x14ac:dyDescent="0.2">
      <c r="C1223" s="261"/>
      <c r="D1223" s="261"/>
      <c r="E1223" s="261"/>
      <c r="F1223" s="261"/>
      <c r="G1223" s="261"/>
      <c r="H1223" s="261"/>
      <c r="I1223" s="261"/>
      <c r="J1223" s="261"/>
      <c r="K1223" s="261"/>
      <c r="L1223" s="261"/>
      <c r="M1223" s="261"/>
      <c r="N1223" s="261"/>
    </row>
    <row r="1224" spans="3:14" x14ac:dyDescent="0.2">
      <c r="C1224" s="261"/>
      <c r="D1224" s="261"/>
      <c r="E1224" s="261"/>
      <c r="F1224" s="261"/>
      <c r="G1224" s="261"/>
      <c r="H1224" s="261"/>
      <c r="I1224" s="261"/>
      <c r="J1224" s="261"/>
      <c r="K1224" s="261"/>
      <c r="L1224" s="261"/>
      <c r="M1224" s="261"/>
      <c r="N1224" s="261"/>
    </row>
    <row r="1225" spans="3:14" x14ac:dyDescent="0.2">
      <c r="C1225" s="261"/>
      <c r="D1225" s="261"/>
      <c r="E1225" s="261"/>
      <c r="F1225" s="261"/>
      <c r="G1225" s="261"/>
      <c r="H1225" s="261"/>
      <c r="I1225" s="261"/>
      <c r="J1225" s="261"/>
      <c r="K1225" s="261"/>
      <c r="L1225" s="261"/>
      <c r="M1225" s="261"/>
      <c r="N1225" s="261"/>
    </row>
    <row r="1226" spans="3:14" x14ac:dyDescent="0.2">
      <c r="C1226" s="261"/>
      <c r="D1226" s="261"/>
      <c r="E1226" s="261"/>
      <c r="F1226" s="261"/>
      <c r="G1226" s="261"/>
      <c r="H1226" s="261"/>
      <c r="I1226" s="261"/>
      <c r="J1226" s="261"/>
      <c r="K1226" s="261"/>
      <c r="L1226" s="261"/>
      <c r="M1226" s="261"/>
      <c r="N1226" s="261"/>
    </row>
    <row r="1227" spans="3:14" x14ac:dyDescent="0.2">
      <c r="C1227" s="261"/>
      <c r="D1227" s="261"/>
      <c r="E1227" s="261"/>
      <c r="F1227" s="261"/>
      <c r="G1227" s="261"/>
      <c r="H1227" s="261"/>
      <c r="I1227" s="261"/>
      <c r="J1227" s="261"/>
      <c r="K1227" s="261"/>
      <c r="L1227" s="261"/>
      <c r="M1227" s="261"/>
      <c r="N1227" s="261"/>
    </row>
    <row r="1228" spans="3:14" x14ac:dyDescent="0.2">
      <c r="C1228" s="261"/>
      <c r="D1228" s="261"/>
      <c r="E1228" s="261"/>
      <c r="F1228" s="261"/>
      <c r="G1228" s="261"/>
      <c r="H1228" s="261"/>
      <c r="I1228" s="261"/>
      <c r="J1228" s="261"/>
      <c r="K1228" s="261"/>
      <c r="L1228" s="261"/>
      <c r="M1228" s="261"/>
      <c r="N1228" s="261"/>
    </row>
    <row r="1229" spans="3:14" x14ac:dyDescent="0.2">
      <c r="C1229" s="261"/>
      <c r="D1229" s="261"/>
      <c r="E1229" s="261"/>
      <c r="F1229" s="261"/>
      <c r="G1229" s="261"/>
      <c r="H1229" s="261"/>
      <c r="I1229" s="261"/>
      <c r="J1229" s="261"/>
      <c r="K1229" s="261"/>
      <c r="L1229" s="261"/>
      <c r="M1229" s="261"/>
      <c r="N1229" s="261"/>
    </row>
    <row r="1230" spans="3:14" x14ac:dyDescent="0.2">
      <c r="C1230" s="261"/>
      <c r="D1230" s="261"/>
      <c r="E1230" s="261"/>
      <c r="F1230" s="261"/>
      <c r="G1230" s="261"/>
      <c r="H1230" s="261"/>
      <c r="I1230" s="261"/>
      <c r="J1230" s="261"/>
      <c r="K1230" s="261"/>
      <c r="L1230" s="261"/>
      <c r="M1230" s="261"/>
      <c r="N1230" s="261"/>
    </row>
    <row r="1231" spans="3:14" x14ac:dyDescent="0.2">
      <c r="C1231" s="261"/>
      <c r="D1231" s="261"/>
      <c r="E1231" s="261"/>
      <c r="F1231" s="261"/>
      <c r="G1231" s="261"/>
      <c r="H1231" s="261"/>
      <c r="I1231" s="261"/>
      <c r="J1231" s="261"/>
      <c r="K1231" s="261"/>
      <c r="L1231" s="261"/>
      <c r="M1231" s="261"/>
      <c r="N1231" s="261"/>
    </row>
    <row r="1232" spans="3:14" x14ac:dyDescent="0.2">
      <c r="C1232" s="261"/>
      <c r="D1232" s="261"/>
      <c r="E1232" s="261"/>
      <c r="F1232" s="261"/>
      <c r="G1232" s="261"/>
      <c r="H1232" s="261"/>
      <c r="I1232" s="261"/>
      <c r="J1232" s="261"/>
      <c r="K1232" s="261"/>
      <c r="L1232" s="261"/>
      <c r="M1232" s="261"/>
      <c r="N1232" s="261"/>
    </row>
    <row r="1233" spans="3:14" x14ac:dyDescent="0.2">
      <c r="C1233" s="261"/>
      <c r="D1233" s="261"/>
      <c r="E1233" s="261"/>
      <c r="F1233" s="261"/>
      <c r="G1233" s="261"/>
      <c r="H1233" s="261"/>
      <c r="I1233" s="261"/>
      <c r="J1233" s="261"/>
      <c r="K1233" s="261"/>
      <c r="L1233" s="261"/>
      <c r="M1233" s="261"/>
      <c r="N1233" s="261"/>
    </row>
    <row r="1234" spans="3:14" x14ac:dyDescent="0.2">
      <c r="C1234" s="261"/>
      <c r="D1234" s="261"/>
      <c r="E1234" s="261"/>
      <c r="F1234" s="261"/>
      <c r="G1234" s="261"/>
      <c r="H1234" s="261"/>
      <c r="I1234" s="261"/>
      <c r="J1234" s="261"/>
      <c r="K1234" s="261"/>
      <c r="L1234" s="261"/>
      <c r="M1234" s="261"/>
      <c r="N1234" s="261"/>
    </row>
    <row r="1235" spans="3:14" x14ac:dyDescent="0.2">
      <c r="C1235" s="261"/>
      <c r="D1235" s="261"/>
      <c r="E1235" s="261"/>
      <c r="F1235" s="261"/>
      <c r="G1235" s="261"/>
      <c r="H1235" s="261"/>
      <c r="I1235" s="261"/>
      <c r="J1235" s="261"/>
      <c r="K1235" s="261"/>
      <c r="L1235" s="261"/>
      <c r="M1235" s="261"/>
      <c r="N1235" s="261"/>
    </row>
    <row r="1236" spans="3:14" x14ac:dyDescent="0.2">
      <c r="C1236" s="261"/>
      <c r="D1236" s="261"/>
      <c r="E1236" s="261"/>
      <c r="F1236" s="261"/>
      <c r="G1236" s="261"/>
      <c r="H1236" s="261"/>
      <c r="I1236" s="261"/>
      <c r="J1236" s="261"/>
      <c r="K1236" s="261"/>
      <c r="L1236" s="261"/>
      <c r="M1236" s="261"/>
      <c r="N1236" s="261"/>
    </row>
    <row r="1237" spans="3:14" x14ac:dyDescent="0.2">
      <c r="C1237" s="261"/>
      <c r="D1237" s="261"/>
      <c r="E1237" s="261"/>
      <c r="F1237" s="261"/>
      <c r="G1237" s="261"/>
      <c r="H1237" s="261"/>
      <c r="I1237" s="261"/>
      <c r="J1237" s="261"/>
      <c r="K1237" s="261"/>
      <c r="L1237" s="261"/>
      <c r="M1237" s="261"/>
      <c r="N1237" s="261"/>
    </row>
    <row r="1238" spans="3:14" x14ac:dyDescent="0.2">
      <c r="C1238" s="261"/>
      <c r="D1238" s="261"/>
      <c r="E1238" s="261"/>
      <c r="F1238" s="261"/>
      <c r="G1238" s="261"/>
      <c r="H1238" s="261"/>
      <c r="I1238" s="261"/>
      <c r="J1238" s="261"/>
      <c r="K1238" s="261"/>
      <c r="L1238" s="261"/>
      <c r="M1238" s="261"/>
      <c r="N1238" s="261"/>
    </row>
    <row r="1239" spans="3:14" x14ac:dyDescent="0.2">
      <c r="C1239" s="261"/>
      <c r="D1239" s="261"/>
      <c r="E1239" s="261"/>
      <c r="F1239" s="261"/>
      <c r="G1239" s="261"/>
      <c r="H1239" s="261"/>
      <c r="I1239" s="261"/>
      <c r="J1239" s="261"/>
      <c r="K1239" s="261"/>
      <c r="L1239" s="261"/>
      <c r="M1239" s="261"/>
      <c r="N1239" s="261"/>
    </row>
    <row r="1240" spans="3:14" x14ac:dyDescent="0.2">
      <c r="C1240" s="261"/>
      <c r="D1240" s="261"/>
      <c r="E1240" s="261"/>
      <c r="F1240" s="261"/>
      <c r="G1240" s="261"/>
      <c r="H1240" s="261"/>
      <c r="I1240" s="261"/>
      <c r="J1240" s="261"/>
      <c r="K1240" s="261"/>
      <c r="L1240" s="261"/>
      <c r="M1240" s="261"/>
      <c r="N1240" s="261"/>
    </row>
    <row r="1241" spans="3:14" x14ac:dyDescent="0.2">
      <c r="C1241" s="261"/>
      <c r="D1241" s="261"/>
      <c r="E1241" s="261"/>
      <c r="F1241" s="261"/>
      <c r="G1241" s="261"/>
      <c r="H1241" s="261"/>
      <c r="I1241" s="261"/>
      <c r="J1241" s="261"/>
      <c r="K1241" s="261"/>
      <c r="L1241" s="261"/>
      <c r="M1241" s="261"/>
      <c r="N1241" s="261"/>
    </row>
    <row r="1242" spans="3:14" x14ac:dyDescent="0.2">
      <c r="C1242" s="261"/>
      <c r="D1242" s="261"/>
      <c r="E1242" s="261"/>
      <c r="F1242" s="261"/>
      <c r="G1242" s="261"/>
      <c r="H1242" s="261"/>
      <c r="I1242" s="261"/>
      <c r="J1242" s="261"/>
      <c r="K1242" s="261"/>
      <c r="L1242" s="261"/>
      <c r="M1242" s="261"/>
      <c r="N1242" s="261"/>
    </row>
    <row r="1243" spans="3:14" x14ac:dyDescent="0.2">
      <c r="C1243" s="261"/>
      <c r="D1243" s="261"/>
      <c r="E1243" s="261"/>
      <c r="F1243" s="261"/>
      <c r="G1243" s="261"/>
      <c r="H1243" s="261"/>
      <c r="I1243" s="261"/>
      <c r="J1243" s="261"/>
      <c r="K1243" s="261"/>
      <c r="L1243" s="261"/>
      <c r="M1243" s="261"/>
      <c r="N1243" s="261"/>
    </row>
    <row r="1244" spans="3:14" x14ac:dyDescent="0.2">
      <c r="C1244" s="261"/>
      <c r="D1244" s="261"/>
      <c r="E1244" s="261"/>
      <c r="F1244" s="261"/>
      <c r="G1244" s="261"/>
      <c r="H1244" s="261"/>
      <c r="I1244" s="261"/>
      <c r="J1244" s="261"/>
      <c r="K1244" s="261"/>
      <c r="L1244" s="261"/>
      <c r="M1244" s="261"/>
      <c r="N1244" s="261"/>
    </row>
    <row r="1245" spans="3:14" x14ac:dyDescent="0.2">
      <c r="C1245" s="261"/>
      <c r="D1245" s="261"/>
      <c r="E1245" s="261"/>
      <c r="F1245" s="261"/>
      <c r="G1245" s="261"/>
      <c r="H1245" s="261"/>
      <c r="I1245" s="261"/>
      <c r="J1245" s="261"/>
      <c r="K1245" s="261"/>
      <c r="L1245" s="261"/>
      <c r="M1245" s="261"/>
      <c r="N1245" s="261"/>
    </row>
    <row r="1246" spans="3:14" x14ac:dyDescent="0.2">
      <c r="C1246" s="261"/>
      <c r="D1246" s="261"/>
      <c r="E1246" s="261"/>
      <c r="F1246" s="261"/>
      <c r="G1246" s="261"/>
      <c r="H1246" s="261"/>
      <c r="I1246" s="261"/>
      <c r="J1246" s="261"/>
      <c r="K1246" s="261"/>
      <c r="L1246" s="261"/>
      <c r="M1246" s="261"/>
      <c r="N1246" s="261"/>
    </row>
    <row r="1247" spans="3:14" x14ac:dyDescent="0.2">
      <c r="C1247" s="261"/>
      <c r="D1247" s="261"/>
      <c r="E1247" s="261"/>
      <c r="F1247" s="261"/>
      <c r="G1247" s="261"/>
      <c r="H1247" s="261"/>
      <c r="I1247" s="261"/>
      <c r="J1247" s="261"/>
      <c r="K1247" s="261"/>
      <c r="L1247" s="261"/>
      <c r="M1247" s="261"/>
      <c r="N1247" s="261"/>
    </row>
    <row r="1248" spans="3:14" x14ac:dyDescent="0.2">
      <c r="C1248" s="261"/>
      <c r="D1248" s="261"/>
      <c r="E1248" s="261"/>
      <c r="F1248" s="261"/>
      <c r="G1248" s="261"/>
      <c r="H1248" s="261"/>
      <c r="I1248" s="261"/>
      <c r="J1248" s="261"/>
      <c r="K1248" s="261"/>
      <c r="L1248" s="261"/>
      <c r="M1248" s="261"/>
      <c r="N1248" s="261"/>
    </row>
    <row r="1249" spans="3:14" x14ac:dyDescent="0.2">
      <c r="C1249" s="261"/>
      <c r="D1249" s="261"/>
      <c r="E1249" s="261"/>
      <c r="F1249" s="261"/>
      <c r="G1249" s="261"/>
      <c r="H1249" s="261"/>
      <c r="I1249" s="261"/>
      <c r="J1249" s="261"/>
      <c r="K1249" s="261"/>
      <c r="L1249" s="261"/>
      <c r="M1249" s="261"/>
      <c r="N1249" s="261"/>
    </row>
    <row r="1250" spans="3:14" x14ac:dyDescent="0.2">
      <c r="C1250" s="261"/>
      <c r="D1250" s="261"/>
      <c r="E1250" s="261"/>
      <c r="F1250" s="261"/>
      <c r="G1250" s="261"/>
      <c r="H1250" s="261"/>
      <c r="I1250" s="261"/>
      <c r="J1250" s="261"/>
      <c r="K1250" s="261"/>
      <c r="L1250" s="261"/>
      <c r="M1250" s="261"/>
      <c r="N1250" s="261"/>
    </row>
    <row r="1251" spans="3:14" x14ac:dyDescent="0.2">
      <c r="C1251" s="261"/>
      <c r="D1251" s="261"/>
      <c r="E1251" s="261"/>
      <c r="F1251" s="261"/>
      <c r="G1251" s="261"/>
      <c r="H1251" s="261"/>
      <c r="I1251" s="261"/>
      <c r="J1251" s="261"/>
      <c r="K1251" s="261"/>
      <c r="L1251" s="261"/>
      <c r="M1251" s="261"/>
      <c r="N1251" s="261"/>
    </row>
    <row r="1252" spans="3:14" x14ac:dyDescent="0.2">
      <c r="C1252" s="261"/>
      <c r="D1252" s="261"/>
      <c r="E1252" s="261"/>
      <c r="F1252" s="261"/>
      <c r="G1252" s="261"/>
      <c r="H1252" s="261"/>
      <c r="I1252" s="261"/>
      <c r="J1252" s="261"/>
      <c r="K1252" s="261"/>
      <c r="L1252" s="261"/>
      <c r="M1252" s="261"/>
      <c r="N1252" s="261"/>
    </row>
    <row r="1253" spans="3:14" x14ac:dyDescent="0.2">
      <c r="C1253" s="261"/>
      <c r="D1253" s="261"/>
      <c r="E1253" s="261"/>
      <c r="F1253" s="261"/>
      <c r="G1253" s="261"/>
      <c r="H1253" s="261"/>
      <c r="I1253" s="261"/>
      <c r="J1253" s="261"/>
      <c r="K1253" s="261"/>
      <c r="L1253" s="261"/>
      <c r="M1253" s="261"/>
      <c r="N1253" s="261"/>
    </row>
    <row r="1254" spans="3:14" x14ac:dyDescent="0.2">
      <c r="C1254" s="261"/>
      <c r="D1254" s="261"/>
      <c r="E1254" s="261"/>
      <c r="F1254" s="261"/>
      <c r="G1254" s="261"/>
      <c r="H1254" s="261"/>
      <c r="I1254" s="261"/>
      <c r="J1254" s="261"/>
      <c r="K1254" s="261"/>
      <c r="L1254" s="261"/>
      <c r="M1254" s="261"/>
      <c r="N1254" s="261"/>
    </row>
    <row r="1255" spans="3:14" x14ac:dyDescent="0.2">
      <c r="C1255" s="261"/>
      <c r="D1255" s="261"/>
      <c r="E1255" s="261"/>
      <c r="F1255" s="261"/>
      <c r="G1255" s="261"/>
      <c r="H1255" s="261"/>
      <c r="I1255" s="261"/>
      <c r="J1255" s="261"/>
      <c r="K1255" s="261"/>
      <c r="L1255" s="261"/>
      <c r="M1255" s="261"/>
      <c r="N1255" s="261"/>
    </row>
    <row r="1256" spans="3:14" x14ac:dyDescent="0.2">
      <c r="C1256" s="261"/>
      <c r="D1256" s="261"/>
      <c r="E1256" s="261"/>
      <c r="F1256" s="261"/>
      <c r="G1256" s="261"/>
      <c r="H1256" s="261"/>
      <c r="I1256" s="261"/>
      <c r="J1256" s="261"/>
      <c r="K1256" s="261"/>
      <c r="L1256" s="261"/>
      <c r="M1256" s="261"/>
      <c r="N1256" s="261"/>
    </row>
    <row r="1257" spans="3:14" x14ac:dyDescent="0.2">
      <c r="C1257" s="261"/>
      <c r="D1257" s="261"/>
      <c r="E1257" s="261"/>
      <c r="F1257" s="261"/>
      <c r="G1257" s="261"/>
      <c r="H1257" s="261"/>
      <c r="I1257" s="261"/>
      <c r="J1257" s="261"/>
      <c r="K1257" s="261"/>
      <c r="L1257" s="261"/>
      <c r="M1257" s="261"/>
      <c r="N1257" s="261"/>
    </row>
    <row r="1258" spans="3:14" x14ac:dyDescent="0.2">
      <c r="C1258" s="261"/>
      <c r="D1258" s="261"/>
      <c r="E1258" s="261"/>
      <c r="F1258" s="261"/>
      <c r="G1258" s="261"/>
      <c r="H1258" s="261"/>
      <c r="I1258" s="261"/>
      <c r="J1258" s="261"/>
      <c r="K1258" s="261"/>
      <c r="L1258" s="261"/>
      <c r="M1258" s="261"/>
      <c r="N1258" s="261"/>
    </row>
    <row r="1259" spans="3:14" x14ac:dyDescent="0.2">
      <c r="C1259" s="261"/>
      <c r="D1259" s="261"/>
      <c r="E1259" s="261"/>
      <c r="F1259" s="261"/>
      <c r="G1259" s="261"/>
      <c r="H1259" s="261"/>
      <c r="I1259" s="261"/>
      <c r="J1259" s="261"/>
      <c r="K1259" s="261"/>
      <c r="L1259" s="261"/>
      <c r="M1259" s="261"/>
      <c r="N1259" s="261"/>
    </row>
    <row r="1260" spans="3:14" x14ac:dyDescent="0.2">
      <c r="C1260" s="261"/>
      <c r="D1260" s="261"/>
      <c r="E1260" s="261"/>
      <c r="F1260" s="261"/>
      <c r="G1260" s="261"/>
      <c r="H1260" s="261"/>
      <c r="I1260" s="261"/>
      <c r="J1260" s="261"/>
      <c r="K1260" s="261"/>
      <c r="L1260" s="261"/>
      <c r="M1260" s="261"/>
      <c r="N1260" s="261"/>
    </row>
    <row r="1261" spans="3:14" x14ac:dyDescent="0.2">
      <c r="C1261" s="261"/>
      <c r="D1261" s="261"/>
      <c r="E1261" s="261"/>
      <c r="F1261" s="261"/>
      <c r="G1261" s="261"/>
      <c r="H1261" s="261"/>
      <c r="I1261" s="261"/>
      <c r="J1261" s="261"/>
      <c r="K1261" s="261"/>
      <c r="L1261" s="261"/>
      <c r="M1261" s="261"/>
      <c r="N1261" s="261"/>
    </row>
    <row r="1262" spans="3:14" x14ac:dyDescent="0.2">
      <c r="C1262" s="261"/>
      <c r="D1262" s="261"/>
      <c r="E1262" s="261"/>
      <c r="F1262" s="261"/>
      <c r="G1262" s="261"/>
      <c r="H1262" s="261"/>
      <c r="I1262" s="261"/>
      <c r="J1262" s="261"/>
      <c r="K1262" s="261"/>
      <c r="L1262" s="261"/>
      <c r="M1262" s="261"/>
      <c r="N1262" s="261"/>
    </row>
    <row r="1263" spans="3:14" x14ac:dyDescent="0.2">
      <c r="C1263" s="261"/>
      <c r="D1263" s="261"/>
      <c r="E1263" s="261"/>
      <c r="F1263" s="261"/>
      <c r="G1263" s="261"/>
      <c r="H1263" s="261"/>
      <c r="I1263" s="261"/>
      <c r="J1263" s="261"/>
      <c r="K1263" s="261"/>
      <c r="L1263" s="261"/>
      <c r="M1263" s="261"/>
      <c r="N1263" s="261"/>
    </row>
    <row r="1264" spans="3:14" x14ac:dyDescent="0.2">
      <c r="C1264" s="261"/>
      <c r="D1264" s="261"/>
      <c r="E1264" s="261"/>
      <c r="F1264" s="261"/>
      <c r="G1264" s="261"/>
      <c r="H1264" s="261"/>
      <c r="I1264" s="261"/>
      <c r="J1264" s="261"/>
      <c r="K1264" s="261"/>
      <c r="L1264" s="261"/>
      <c r="M1264" s="261"/>
      <c r="N1264" s="261"/>
    </row>
    <row r="1265" spans="3:14" x14ac:dyDescent="0.2">
      <c r="C1265" s="261"/>
      <c r="D1265" s="261"/>
      <c r="E1265" s="261"/>
      <c r="F1265" s="261"/>
      <c r="G1265" s="261"/>
      <c r="H1265" s="261"/>
      <c r="I1265" s="261"/>
      <c r="J1265" s="261"/>
      <c r="K1265" s="261"/>
      <c r="L1265" s="261"/>
      <c r="M1265" s="261"/>
      <c r="N1265" s="261"/>
    </row>
    <row r="1266" spans="3:14" x14ac:dyDescent="0.2">
      <c r="C1266" s="261"/>
      <c r="D1266" s="261"/>
      <c r="E1266" s="261"/>
      <c r="F1266" s="261"/>
      <c r="G1266" s="261"/>
      <c r="H1266" s="261"/>
      <c r="I1266" s="261"/>
      <c r="J1266" s="261"/>
      <c r="K1266" s="261"/>
      <c r="L1266" s="261"/>
      <c r="M1266" s="261"/>
      <c r="N1266" s="261"/>
    </row>
    <row r="1267" spans="3:14" x14ac:dyDescent="0.2">
      <c r="C1267" s="261"/>
      <c r="D1267" s="261"/>
      <c r="E1267" s="261"/>
      <c r="F1267" s="261"/>
      <c r="G1267" s="261"/>
      <c r="H1267" s="261"/>
      <c r="I1267" s="261"/>
      <c r="J1267" s="261"/>
      <c r="K1267" s="261"/>
      <c r="L1267" s="261"/>
      <c r="M1267" s="261"/>
      <c r="N1267" s="261"/>
    </row>
    <row r="1268" spans="3:14" x14ac:dyDescent="0.2">
      <c r="C1268" s="261"/>
      <c r="D1268" s="261"/>
      <c r="E1268" s="261"/>
      <c r="F1268" s="261"/>
      <c r="G1268" s="261"/>
      <c r="H1268" s="261"/>
      <c r="I1268" s="261"/>
      <c r="J1268" s="261"/>
      <c r="K1268" s="261"/>
      <c r="L1268" s="261"/>
      <c r="M1268" s="261"/>
      <c r="N1268" s="261"/>
    </row>
    <row r="1269" spans="3:14" x14ac:dyDescent="0.2">
      <c r="C1269" s="261"/>
      <c r="D1269" s="261"/>
      <c r="E1269" s="261"/>
      <c r="F1269" s="261"/>
      <c r="G1269" s="261"/>
      <c r="H1269" s="261"/>
      <c r="I1269" s="261"/>
      <c r="J1269" s="261"/>
      <c r="K1269" s="261"/>
      <c r="L1269" s="261"/>
      <c r="M1269" s="261"/>
      <c r="N1269" s="261"/>
    </row>
    <row r="1270" spans="3:14" x14ac:dyDescent="0.2">
      <c r="C1270" s="261"/>
      <c r="D1270" s="261"/>
      <c r="E1270" s="261"/>
      <c r="F1270" s="261"/>
      <c r="G1270" s="261"/>
      <c r="H1270" s="261"/>
      <c r="I1270" s="261"/>
      <c r="J1270" s="261"/>
      <c r="K1270" s="261"/>
      <c r="L1270" s="261"/>
      <c r="M1270" s="261"/>
      <c r="N1270" s="261"/>
    </row>
    <row r="1271" spans="3:14" x14ac:dyDescent="0.2">
      <c r="C1271" s="261"/>
      <c r="D1271" s="261"/>
      <c r="E1271" s="261"/>
      <c r="F1271" s="261"/>
      <c r="G1271" s="261"/>
      <c r="H1271" s="261"/>
      <c r="I1271" s="261"/>
      <c r="J1271" s="261"/>
      <c r="K1271" s="261"/>
      <c r="L1271" s="261"/>
      <c r="M1271" s="261"/>
      <c r="N1271" s="261"/>
    </row>
    <row r="1272" spans="3:14" x14ac:dyDescent="0.2">
      <c r="C1272" s="261"/>
      <c r="D1272" s="261"/>
      <c r="E1272" s="261"/>
      <c r="F1272" s="261"/>
      <c r="G1272" s="261"/>
      <c r="H1272" s="261"/>
      <c r="I1272" s="261"/>
      <c r="J1272" s="261"/>
      <c r="K1272" s="261"/>
      <c r="L1272" s="261"/>
      <c r="M1272" s="261"/>
      <c r="N1272" s="261"/>
    </row>
    <row r="1273" spans="3:14" x14ac:dyDescent="0.2">
      <c r="C1273" s="261"/>
      <c r="D1273" s="261"/>
      <c r="E1273" s="261"/>
      <c r="F1273" s="261"/>
      <c r="G1273" s="261"/>
      <c r="H1273" s="261"/>
      <c r="I1273" s="261"/>
      <c r="J1273" s="261"/>
      <c r="K1273" s="261"/>
      <c r="L1273" s="261"/>
      <c r="M1273" s="261"/>
      <c r="N1273" s="261"/>
    </row>
    <row r="1274" spans="3:14" x14ac:dyDescent="0.2">
      <c r="C1274" s="261"/>
      <c r="D1274" s="261"/>
      <c r="E1274" s="261"/>
      <c r="F1274" s="261"/>
      <c r="G1274" s="261"/>
      <c r="H1274" s="261"/>
      <c r="I1274" s="261"/>
      <c r="J1274" s="261"/>
      <c r="K1274" s="261"/>
      <c r="L1274" s="261"/>
      <c r="M1274" s="261"/>
      <c r="N1274" s="261"/>
    </row>
    <row r="1275" spans="3:14" x14ac:dyDescent="0.2">
      <c r="C1275" s="261"/>
      <c r="D1275" s="261"/>
      <c r="E1275" s="261"/>
      <c r="F1275" s="261"/>
      <c r="G1275" s="261"/>
      <c r="H1275" s="261"/>
      <c r="I1275" s="261"/>
      <c r="J1275" s="261"/>
      <c r="K1275" s="261"/>
      <c r="L1275" s="261"/>
      <c r="M1275" s="261"/>
      <c r="N1275" s="261"/>
    </row>
    <row r="1276" spans="3:14" x14ac:dyDescent="0.2">
      <c r="C1276" s="261"/>
      <c r="D1276" s="261"/>
      <c r="E1276" s="261"/>
      <c r="F1276" s="261"/>
      <c r="G1276" s="261"/>
      <c r="H1276" s="261"/>
      <c r="I1276" s="261"/>
      <c r="J1276" s="261"/>
      <c r="K1276" s="261"/>
      <c r="L1276" s="261"/>
      <c r="M1276" s="261"/>
      <c r="N1276" s="261"/>
    </row>
    <row r="1277" spans="3:14" x14ac:dyDescent="0.2">
      <c r="C1277" s="261"/>
      <c r="D1277" s="261"/>
      <c r="E1277" s="261"/>
      <c r="F1277" s="261"/>
      <c r="G1277" s="261"/>
      <c r="H1277" s="261"/>
      <c r="I1277" s="261"/>
      <c r="J1277" s="261"/>
      <c r="K1277" s="261"/>
      <c r="L1277" s="261"/>
      <c r="M1277" s="261"/>
      <c r="N1277" s="261"/>
    </row>
    <row r="1278" spans="3:14" x14ac:dyDescent="0.2">
      <c r="C1278" s="261"/>
      <c r="D1278" s="261"/>
      <c r="E1278" s="261"/>
      <c r="F1278" s="261"/>
      <c r="G1278" s="261"/>
      <c r="H1278" s="261"/>
      <c r="I1278" s="261"/>
      <c r="J1278" s="261"/>
      <c r="K1278" s="261"/>
      <c r="L1278" s="261"/>
      <c r="M1278" s="261"/>
      <c r="N1278" s="261"/>
    </row>
    <row r="1279" spans="3:14" x14ac:dyDescent="0.2">
      <c r="C1279" s="261"/>
      <c r="D1279" s="261"/>
      <c r="E1279" s="261"/>
      <c r="F1279" s="261"/>
      <c r="G1279" s="261"/>
      <c r="H1279" s="261"/>
      <c r="I1279" s="261"/>
      <c r="J1279" s="261"/>
      <c r="K1279" s="261"/>
      <c r="L1279" s="261"/>
      <c r="M1279" s="261"/>
      <c r="N1279" s="261"/>
    </row>
    <row r="1280" spans="3:14" x14ac:dyDescent="0.2">
      <c r="C1280" s="261"/>
      <c r="D1280" s="261"/>
      <c r="E1280" s="261"/>
      <c r="F1280" s="261"/>
      <c r="G1280" s="261"/>
      <c r="H1280" s="261"/>
      <c r="I1280" s="261"/>
      <c r="J1280" s="261"/>
      <c r="K1280" s="261"/>
      <c r="L1280" s="261"/>
      <c r="M1280" s="261"/>
      <c r="N1280" s="261"/>
    </row>
    <row r="1281" spans="3:14" x14ac:dyDescent="0.2">
      <c r="C1281" s="261"/>
      <c r="D1281" s="261"/>
      <c r="E1281" s="261"/>
      <c r="F1281" s="261"/>
      <c r="G1281" s="261"/>
      <c r="H1281" s="261"/>
      <c r="I1281" s="261"/>
      <c r="J1281" s="261"/>
      <c r="K1281" s="261"/>
      <c r="L1281" s="261"/>
      <c r="M1281" s="261"/>
      <c r="N1281" s="261"/>
    </row>
    <row r="1282" spans="3:14" x14ac:dyDescent="0.2">
      <c r="C1282" s="261"/>
      <c r="D1282" s="261"/>
      <c r="E1282" s="261"/>
      <c r="F1282" s="261"/>
      <c r="G1282" s="261"/>
      <c r="H1282" s="261"/>
      <c r="I1282" s="261"/>
      <c r="J1282" s="261"/>
      <c r="K1282" s="261"/>
      <c r="L1282" s="261"/>
      <c r="M1282" s="261"/>
      <c r="N1282" s="261"/>
    </row>
    <row r="1283" spans="3:14" x14ac:dyDescent="0.2">
      <c r="C1283" s="261"/>
      <c r="D1283" s="261"/>
      <c r="E1283" s="261"/>
      <c r="F1283" s="261"/>
      <c r="G1283" s="261"/>
      <c r="H1283" s="261"/>
      <c r="I1283" s="261"/>
      <c r="J1283" s="261"/>
      <c r="K1283" s="261"/>
      <c r="L1283" s="261"/>
      <c r="M1283" s="261"/>
      <c r="N1283" s="261"/>
    </row>
    <row r="1284" spans="3:14" x14ac:dyDescent="0.2">
      <c r="C1284" s="261"/>
      <c r="D1284" s="261"/>
      <c r="E1284" s="261"/>
      <c r="F1284" s="261"/>
      <c r="G1284" s="261"/>
      <c r="H1284" s="261"/>
      <c r="I1284" s="261"/>
      <c r="J1284" s="261"/>
      <c r="K1284" s="261"/>
      <c r="L1284" s="261"/>
      <c r="M1284" s="261"/>
      <c r="N1284" s="261"/>
    </row>
    <row r="1285" spans="3:14" x14ac:dyDescent="0.2">
      <c r="C1285" s="261"/>
      <c r="D1285" s="261"/>
      <c r="E1285" s="261"/>
      <c r="F1285" s="261"/>
      <c r="G1285" s="261"/>
      <c r="H1285" s="261"/>
      <c r="I1285" s="261"/>
      <c r="J1285" s="261"/>
      <c r="K1285" s="261"/>
      <c r="L1285" s="261"/>
      <c r="M1285" s="261"/>
      <c r="N1285" s="261"/>
    </row>
    <row r="1286" spans="3:14" x14ac:dyDescent="0.2">
      <c r="C1286" s="261"/>
      <c r="D1286" s="261"/>
      <c r="E1286" s="261"/>
      <c r="F1286" s="261"/>
      <c r="G1286" s="261"/>
      <c r="H1286" s="261"/>
      <c r="I1286" s="261"/>
      <c r="J1286" s="261"/>
      <c r="K1286" s="261"/>
      <c r="L1286" s="261"/>
      <c r="M1286" s="261"/>
      <c r="N1286" s="261"/>
    </row>
    <row r="1287" spans="3:14" x14ac:dyDescent="0.2">
      <c r="C1287" s="261"/>
      <c r="D1287" s="261"/>
      <c r="E1287" s="261"/>
      <c r="F1287" s="261"/>
      <c r="G1287" s="261"/>
      <c r="H1287" s="261"/>
      <c r="I1287" s="261"/>
      <c r="J1287" s="261"/>
      <c r="K1287" s="261"/>
      <c r="L1287" s="261"/>
      <c r="M1287" s="261"/>
      <c r="N1287" s="261"/>
    </row>
    <row r="1288" spans="3:14" x14ac:dyDescent="0.2">
      <c r="C1288" s="261"/>
      <c r="D1288" s="261"/>
      <c r="E1288" s="261"/>
      <c r="F1288" s="261"/>
      <c r="G1288" s="261"/>
      <c r="H1288" s="261"/>
      <c r="I1288" s="261"/>
      <c r="J1288" s="261"/>
      <c r="K1288" s="261"/>
      <c r="L1288" s="261"/>
      <c r="M1288" s="261"/>
      <c r="N1288" s="261"/>
    </row>
    <row r="1289" spans="3:14" x14ac:dyDescent="0.2">
      <c r="C1289" s="261"/>
      <c r="D1289" s="261"/>
      <c r="E1289" s="261"/>
      <c r="F1289" s="261"/>
      <c r="G1289" s="261"/>
      <c r="H1289" s="261"/>
      <c r="I1289" s="261"/>
      <c r="J1289" s="261"/>
      <c r="K1289" s="261"/>
      <c r="L1289" s="261"/>
      <c r="M1289" s="261"/>
      <c r="N1289" s="261"/>
    </row>
    <row r="1290" spans="3:14" x14ac:dyDescent="0.2">
      <c r="C1290" s="261"/>
      <c r="D1290" s="261"/>
      <c r="E1290" s="261"/>
      <c r="F1290" s="261"/>
      <c r="G1290" s="261"/>
      <c r="H1290" s="261"/>
      <c r="I1290" s="261"/>
      <c r="J1290" s="261"/>
      <c r="K1290" s="261"/>
      <c r="L1290" s="261"/>
      <c r="M1290" s="261"/>
      <c r="N1290" s="261"/>
    </row>
    <row r="1291" spans="3:14" x14ac:dyDescent="0.2">
      <c r="C1291" s="261"/>
      <c r="D1291" s="261"/>
      <c r="E1291" s="261"/>
      <c r="F1291" s="261"/>
      <c r="G1291" s="261"/>
      <c r="H1291" s="261"/>
      <c r="I1291" s="261"/>
      <c r="J1291" s="261"/>
      <c r="K1291" s="261"/>
      <c r="L1291" s="261"/>
      <c r="M1291" s="261"/>
      <c r="N1291" s="261"/>
    </row>
    <row r="1292" spans="3:14" x14ac:dyDescent="0.2">
      <c r="C1292" s="261"/>
      <c r="D1292" s="261"/>
      <c r="E1292" s="261"/>
      <c r="F1292" s="261"/>
      <c r="G1292" s="261"/>
      <c r="H1292" s="261"/>
      <c r="I1292" s="261"/>
      <c r="J1292" s="261"/>
      <c r="K1292" s="261"/>
      <c r="L1292" s="261"/>
      <c r="M1292" s="261"/>
      <c r="N1292" s="261"/>
    </row>
    <row r="1293" spans="3:14" x14ac:dyDescent="0.2">
      <c r="C1293" s="261"/>
      <c r="D1293" s="261"/>
      <c r="E1293" s="261"/>
      <c r="F1293" s="261"/>
      <c r="G1293" s="261"/>
      <c r="H1293" s="261"/>
      <c r="I1293" s="261"/>
      <c r="J1293" s="261"/>
      <c r="K1293" s="261"/>
      <c r="L1293" s="261"/>
      <c r="M1293" s="261"/>
      <c r="N1293" s="261"/>
    </row>
    <row r="1294" spans="3:14" x14ac:dyDescent="0.2">
      <c r="C1294" s="261"/>
      <c r="D1294" s="261"/>
      <c r="E1294" s="261"/>
      <c r="F1294" s="261"/>
      <c r="G1294" s="261"/>
      <c r="H1294" s="261"/>
      <c r="I1294" s="261"/>
      <c r="J1294" s="261"/>
      <c r="K1294" s="261"/>
      <c r="L1294" s="261"/>
      <c r="M1294" s="261"/>
      <c r="N1294" s="261"/>
    </row>
    <row r="1295" spans="3:14" x14ac:dyDescent="0.2">
      <c r="C1295" s="261"/>
      <c r="D1295" s="261"/>
      <c r="E1295" s="261"/>
      <c r="F1295" s="261"/>
      <c r="G1295" s="261"/>
      <c r="H1295" s="261"/>
      <c r="I1295" s="261"/>
      <c r="J1295" s="261"/>
      <c r="K1295" s="261"/>
      <c r="L1295" s="261"/>
      <c r="M1295" s="261"/>
      <c r="N1295" s="261"/>
    </row>
    <row r="1296" spans="3:14" x14ac:dyDescent="0.2">
      <c r="C1296" s="261"/>
      <c r="D1296" s="261"/>
      <c r="E1296" s="261"/>
      <c r="F1296" s="261"/>
      <c r="G1296" s="261"/>
      <c r="H1296" s="261"/>
      <c r="I1296" s="261"/>
      <c r="J1296" s="261"/>
      <c r="K1296" s="261"/>
      <c r="L1296" s="261"/>
      <c r="M1296" s="261"/>
      <c r="N1296" s="261"/>
    </row>
    <row r="1297" spans="3:14" x14ac:dyDescent="0.2">
      <c r="C1297" s="261"/>
      <c r="D1297" s="261"/>
      <c r="E1297" s="261"/>
      <c r="F1297" s="261"/>
      <c r="G1297" s="261"/>
      <c r="H1297" s="261"/>
      <c r="I1297" s="261"/>
      <c r="J1297" s="261"/>
      <c r="K1297" s="261"/>
      <c r="L1297" s="261"/>
      <c r="M1297" s="261"/>
      <c r="N1297" s="261"/>
    </row>
    <row r="1298" spans="3:14" x14ac:dyDescent="0.2">
      <c r="C1298" s="261"/>
      <c r="D1298" s="261"/>
      <c r="E1298" s="261"/>
      <c r="F1298" s="261"/>
      <c r="G1298" s="261"/>
      <c r="H1298" s="261"/>
      <c r="I1298" s="261"/>
      <c r="J1298" s="261"/>
      <c r="K1298" s="261"/>
      <c r="L1298" s="261"/>
      <c r="M1298" s="261"/>
      <c r="N1298" s="261"/>
    </row>
    <row r="1299" spans="3:14" x14ac:dyDescent="0.2">
      <c r="C1299" s="261"/>
      <c r="D1299" s="261"/>
      <c r="E1299" s="261"/>
      <c r="F1299" s="261"/>
      <c r="G1299" s="261"/>
      <c r="H1299" s="261"/>
      <c r="I1299" s="261"/>
      <c r="J1299" s="261"/>
      <c r="K1299" s="261"/>
      <c r="L1299" s="261"/>
      <c r="M1299" s="261"/>
      <c r="N1299" s="261"/>
    </row>
    <row r="1300" spans="3:14" x14ac:dyDescent="0.2">
      <c r="C1300" s="261"/>
      <c r="D1300" s="261"/>
      <c r="E1300" s="261"/>
      <c r="F1300" s="261"/>
      <c r="G1300" s="261"/>
      <c r="H1300" s="261"/>
      <c r="I1300" s="261"/>
      <c r="J1300" s="261"/>
      <c r="K1300" s="261"/>
      <c r="L1300" s="261"/>
      <c r="M1300" s="261"/>
      <c r="N1300" s="261"/>
    </row>
    <row r="1301" spans="3:14" x14ac:dyDescent="0.2">
      <c r="C1301" s="261"/>
      <c r="D1301" s="261"/>
      <c r="E1301" s="261"/>
      <c r="F1301" s="261"/>
      <c r="G1301" s="261"/>
      <c r="H1301" s="261"/>
      <c r="I1301" s="261"/>
      <c r="J1301" s="261"/>
      <c r="K1301" s="261"/>
      <c r="L1301" s="261"/>
      <c r="M1301" s="261"/>
      <c r="N1301" s="261"/>
    </row>
    <row r="1302" spans="3:14" x14ac:dyDescent="0.2">
      <c r="C1302" s="261"/>
      <c r="D1302" s="261"/>
      <c r="E1302" s="261"/>
      <c r="F1302" s="261"/>
      <c r="G1302" s="261"/>
      <c r="H1302" s="261"/>
      <c r="I1302" s="261"/>
      <c r="J1302" s="261"/>
      <c r="K1302" s="261"/>
      <c r="L1302" s="261"/>
      <c r="M1302" s="261"/>
      <c r="N1302" s="261"/>
    </row>
    <row r="1303" spans="3:14" x14ac:dyDescent="0.2">
      <c r="C1303" s="261"/>
      <c r="D1303" s="261"/>
      <c r="E1303" s="261"/>
      <c r="F1303" s="261"/>
      <c r="G1303" s="261"/>
      <c r="H1303" s="261"/>
      <c r="I1303" s="261"/>
      <c r="J1303" s="261"/>
      <c r="K1303" s="261"/>
      <c r="L1303" s="261"/>
      <c r="M1303" s="261"/>
      <c r="N1303" s="261"/>
    </row>
    <row r="1304" spans="3:14" x14ac:dyDescent="0.2">
      <c r="C1304" s="261"/>
      <c r="D1304" s="261"/>
      <c r="E1304" s="261"/>
      <c r="F1304" s="261"/>
      <c r="G1304" s="261"/>
      <c r="H1304" s="261"/>
      <c r="I1304" s="261"/>
      <c r="J1304" s="261"/>
      <c r="K1304" s="261"/>
      <c r="L1304" s="261"/>
      <c r="M1304" s="261"/>
      <c r="N1304" s="261"/>
    </row>
    <row r="1305" spans="3:14" x14ac:dyDescent="0.2">
      <c r="C1305" s="261"/>
      <c r="D1305" s="261"/>
      <c r="E1305" s="261"/>
      <c r="F1305" s="261"/>
      <c r="G1305" s="261"/>
      <c r="H1305" s="261"/>
      <c r="I1305" s="261"/>
      <c r="J1305" s="261"/>
      <c r="K1305" s="261"/>
      <c r="L1305" s="261"/>
      <c r="M1305" s="261"/>
      <c r="N1305" s="261"/>
    </row>
    <row r="1306" spans="3:14" x14ac:dyDescent="0.2">
      <c r="C1306" s="261"/>
      <c r="D1306" s="261"/>
      <c r="E1306" s="261"/>
      <c r="F1306" s="261"/>
      <c r="G1306" s="261"/>
      <c r="H1306" s="261"/>
      <c r="I1306" s="261"/>
      <c r="J1306" s="261"/>
      <c r="K1306" s="261"/>
      <c r="L1306" s="261"/>
      <c r="M1306" s="261"/>
      <c r="N1306" s="261"/>
    </row>
    <row r="1307" spans="3:14" x14ac:dyDescent="0.2">
      <c r="C1307" s="261"/>
      <c r="D1307" s="261"/>
      <c r="E1307" s="261"/>
      <c r="F1307" s="261"/>
      <c r="G1307" s="261"/>
      <c r="H1307" s="261"/>
      <c r="I1307" s="261"/>
      <c r="J1307" s="261"/>
      <c r="K1307" s="261"/>
      <c r="L1307" s="261"/>
      <c r="M1307" s="261"/>
      <c r="N1307" s="261"/>
    </row>
    <row r="1308" spans="3:14" x14ac:dyDescent="0.2">
      <c r="C1308" s="261"/>
      <c r="D1308" s="261"/>
      <c r="E1308" s="261"/>
      <c r="F1308" s="261"/>
      <c r="G1308" s="261"/>
      <c r="H1308" s="261"/>
      <c r="I1308" s="261"/>
      <c r="J1308" s="261"/>
      <c r="K1308" s="261"/>
      <c r="L1308" s="261"/>
      <c r="M1308" s="261"/>
      <c r="N1308" s="261"/>
    </row>
    <row r="1309" spans="3:14" x14ac:dyDescent="0.2">
      <c r="C1309" s="261"/>
      <c r="D1309" s="261"/>
      <c r="E1309" s="261"/>
      <c r="F1309" s="261"/>
      <c r="G1309" s="261"/>
      <c r="H1309" s="261"/>
      <c r="I1309" s="261"/>
      <c r="J1309" s="261"/>
      <c r="K1309" s="261"/>
      <c r="L1309" s="261"/>
      <c r="M1309" s="261"/>
      <c r="N1309" s="261"/>
    </row>
    <row r="1310" spans="3:14" x14ac:dyDescent="0.2">
      <c r="C1310" s="261"/>
      <c r="D1310" s="261"/>
      <c r="E1310" s="261"/>
      <c r="F1310" s="261"/>
      <c r="G1310" s="261"/>
      <c r="H1310" s="261"/>
      <c r="I1310" s="261"/>
      <c r="J1310" s="261"/>
      <c r="K1310" s="261"/>
      <c r="L1310" s="261"/>
      <c r="M1310" s="261"/>
      <c r="N1310" s="261"/>
    </row>
    <row r="1311" spans="3:14" x14ac:dyDescent="0.2">
      <c r="C1311" s="261"/>
      <c r="D1311" s="261"/>
      <c r="E1311" s="261"/>
      <c r="F1311" s="261"/>
      <c r="G1311" s="261"/>
      <c r="H1311" s="261"/>
      <c r="I1311" s="261"/>
      <c r="J1311" s="261"/>
      <c r="K1311" s="261"/>
      <c r="L1311" s="261"/>
      <c r="M1311" s="261"/>
      <c r="N1311" s="261"/>
    </row>
    <row r="1312" spans="3:14" x14ac:dyDescent="0.2">
      <c r="C1312" s="261"/>
      <c r="D1312" s="261"/>
      <c r="E1312" s="261"/>
      <c r="F1312" s="261"/>
      <c r="G1312" s="261"/>
      <c r="H1312" s="261"/>
      <c r="I1312" s="261"/>
      <c r="J1312" s="261"/>
      <c r="K1312" s="261"/>
      <c r="L1312" s="261"/>
      <c r="M1312" s="261"/>
      <c r="N1312" s="261"/>
    </row>
    <row r="1313" spans="3:14" x14ac:dyDescent="0.2">
      <c r="C1313" s="261"/>
      <c r="D1313" s="261"/>
      <c r="E1313" s="261"/>
      <c r="F1313" s="261"/>
      <c r="G1313" s="261"/>
      <c r="H1313" s="261"/>
      <c r="I1313" s="261"/>
      <c r="J1313" s="261"/>
      <c r="K1313" s="261"/>
      <c r="L1313" s="261"/>
      <c r="M1313" s="261"/>
      <c r="N1313" s="261"/>
    </row>
    <row r="1314" spans="3:14" x14ac:dyDescent="0.2">
      <c r="C1314" s="261"/>
      <c r="D1314" s="261"/>
      <c r="E1314" s="261"/>
      <c r="F1314" s="261"/>
      <c r="G1314" s="261"/>
      <c r="H1314" s="261"/>
      <c r="I1314" s="261"/>
      <c r="J1314" s="261"/>
      <c r="K1314" s="261"/>
      <c r="L1314" s="261"/>
      <c r="M1314" s="261"/>
      <c r="N1314" s="261"/>
    </row>
    <row r="1315" spans="3:14" x14ac:dyDescent="0.2">
      <c r="C1315" s="261"/>
      <c r="D1315" s="261"/>
      <c r="E1315" s="261"/>
      <c r="F1315" s="261"/>
      <c r="G1315" s="261"/>
      <c r="H1315" s="261"/>
      <c r="I1315" s="261"/>
      <c r="J1315" s="261"/>
      <c r="K1315" s="261"/>
      <c r="L1315" s="261"/>
      <c r="M1315" s="261"/>
      <c r="N1315" s="261"/>
    </row>
    <row r="1316" spans="3:14" x14ac:dyDescent="0.2">
      <c r="C1316" s="261"/>
      <c r="D1316" s="261"/>
      <c r="E1316" s="261"/>
      <c r="F1316" s="261"/>
      <c r="G1316" s="261"/>
      <c r="H1316" s="261"/>
      <c r="I1316" s="261"/>
      <c r="J1316" s="261"/>
      <c r="K1316" s="261"/>
      <c r="L1316" s="261"/>
      <c r="M1316" s="261"/>
      <c r="N1316" s="261"/>
    </row>
    <row r="1317" spans="3:14" x14ac:dyDescent="0.2">
      <c r="C1317" s="261"/>
      <c r="D1317" s="261"/>
      <c r="E1317" s="261"/>
      <c r="F1317" s="261"/>
      <c r="G1317" s="261"/>
      <c r="H1317" s="261"/>
      <c r="I1317" s="261"/>
      <c r="J1317" s="261"/>
      <c r="K1317" s="261"/>
      <c r="L1317" s="261"/>
      <c r="M1317" s="261"/>
      <c r="N1317" s="261"/>
    </row>
    <row r="1318" spans="3:14" x14ac:dyDescent="0.2">
      <c r="C1318" s="261"/>
      <c r="D1318" s="261"/>
      <c r="E1318" s="261"/>
      <c r="F1318" s="261"/>
      <c r="G1318" s="261"/>
      <c r="H1318" s="261"/>
      <c r="I1318" s="261"/>
      <c r="J1318" s="261"/>
      <c r="K1318" s="261"/>
      <c r="L1318" s="261"/>
      <c r="M1318" s="261"/>
      <c r="N1318" s="261"/>
    </row>
    <row r="1319" spans="3:14" x14ac:dyDescent="0.2">
      <c r="C1319" s="261"/>
      <c r="D1319" s="261"/>
      <c r="E1319" s="261"/>
      <c r="F1319" s="261"/>
      <c r="G1319" s="261"/>
      <c r="H1319" s="261"/>
      <c r="I1319" s="261"/>
      <c r="J1319" s="261"/>
      <c r="K1319" s="261"/>
      <c r="L1319" s="261"/>
      <c r="M1319" s="261"/>
      <c r="N1319" s="261"/>
    </row>
    <row r="1320" spans="3:14" x14ac:dyDescent="0.2">
      <c r="C1320" s="261"/>
      <c r="D1320" s="261"/>
      <c r="E1320" s="261"/>
      <c r="F1320" s="261"/>
      <c r="G1320" s="261"/>
      <c r="H1320" s="261"/>
      <c r="I1320" s="261"/>
      <c r="J1320" s="261"/>
      <c r="K1320" s="261"/>
      <c r="L1320" s="261"/>
      <c r="M1320" s="261"/>
      <c r="N1320" s="261"/>
    </row>
    <row r="1321" spans="3:14" x14ac:dyDescent="0.2">
      <c r="C1321" s="261"/>
      <c r="D1321" s="261"/>
      <c r="E1321" s="261"/>
      <c r="F1321" s="261"/>
      <c r="G1321" s="261"/>
      <c r="H1321" s="261"/>
      <c r="I1321" s="261"/>
      <c r="J1321" s="261"/>
      <c r="K1321" s="261"/>
      <c r="L1321" s="261"/>
      <c r="M1321" s="261"/>
      <c r="N1321" s="261"/>
    </row>
    <row r="1322" spans="3:14" x14ac:dyDescent="0.2">
      <c r="C1322" s="261"/>
      <c r="D1322" s="261"/>
      <c r="E1322" s="261"/>
      <c r="F1322" s="261"/>
      <c r="G1322" s="261"/>
      <c r="H1322" s="261"/>
      <c r="I1322" s="261"/>
      <c r="J1322" s="261"/>
      <c r="K1322" s="261"/>
      <c r="L1322" s="261"/>
      <c r="M1322" s="261"/>
      <c r="N1322" s="261"/>
    </row>
    <row r="1323" spans="3:14" x14ac:dyDescent="0.2">
      <c r="C1323" s="261"/>
      <c r="D1323" s="261"/>
      <c r="E1323" s="261"/>
      <c r="F1323" s="261"/>
      <c r="G1323" s="261"/>
      <c r="H1323" s="261"/>
      <c r="I1323" s="261"/>
      <c r="J1323" s="261"/>
      <c r="K1323" s="261"/>
      <c r="L1323" s="261"/>
      <c r="M1323" s="261"/>
      <c r="N1323" s="261"/>
    </row>
    <row r="1324" spans="3:14" x14ac:dyDescent="0.2">
      <c r="C1324" s="261"/>
      <c r="D1324" s="261"/>
      <c r="E1324" s="261"/>
      <c r="F1324" s="261"/>
      <c r="G1324" s="261"/>
      <c r="H1324" s="261"/>
      <c r="I1324" s="261"/>
      <c r="J1324" s="261"/>
      <c r="K1324" s="261"/>
      <c r="L1324" s="261"/>
      <c r="M1324" s="261"/>
      <c r="N1324" s="261"/>
    </row>
    <row r="1325" spans="3:14" x14ac:dyDescent="0.2">
      <c r="C1325" s="261"/>
      <c r="D1325" s="261"/>
      <c r="E1325" s="261"/>
      <c r="F1325" s="261"/>
      <c r="G1325" s="261"/>
      <c r="H1325" s="261"/>
      <c r="I1325" s="261"/>
      <c r="J1325" s="261"/>
      <c r="K1325" s="261"/>
      <c r="L1325" s="261"/>
      <c r="M1325" s="261"/>
      <c r="N1325" s="261"/>
    </row>
    <row r="1326" spans="3:14" x14ac:dyDescent="0.2">
      <c r="C1326" s="261"/>
      <c r="D1326" s="261"/>
      <c r="E1326" s="261"/>
      <c r="F1326" s="261"/>
      <c r="G1326" s="261"/>
      <c r="H1326" s="261"/>
      <c r="I1326" s="261"/>
      <c r="J1326" s="261"/>
      <c r="K1326" s="261"/>
      <c r="L1326" s="261"/>
      <c r="M1326" s="261"/>
      <c r="N1326" s="261"/>
    </row>
    <row r="1327" spans="3:14" x14ac:dyDescent="0.2">
      <c r="C1327" s="261"/>
      <c r="D1327" s="261"/>
      <c r="E1327" s="261"/>
      <c r="F1327" s="261"/>
      <c r="G1327" s="261"/>
      <c r="H1327" s="261"/>
      <c r="I1327" s="261"/>
      <c r="J1327" s="261"/>
      <c r="K1327" s="261"/>
      <c r="L1327" s="261"/>
      <c r="M1327" s="261"/>
      <c r="N1327" s="261"/>
    </row>
    <row r="1328" spans="3:14" x14ac:dyDescent="0.2">
      <c r="C1328" s="261"/>
      <c r="D1328" s="261"/>
      <c r="E1328" s="261"/>
      <c r="F1328" s="261"/>
      <c r="G1328" s="261"/>
      <c r="H1328" s="261"/>
      <c r="I1328" s="261"/>
      <c r="J1328" s="261"/>
      <c r="K1328" s="261"/>
      <c r="L1328" s="261"/>
      <c r="M1328" s="261"/>
      <c r="N1328" s="261"/>
    </row>
    <row r="1329" spans="3:14" x14ac:dyDescent="0.2">
      <c r="C1329" s="261"/>
      <c r="D1329" s="261"/>
      <c r="E1329" s="261"/>
      <c r="F1329" s="261"/>
      <c r="G1329" s="261"/>
      <c r="H1329" s="261"/>
      <c r="I1329" s="261"/>
      <c r="J1329" s="261"/>
      <c r="K1329" s="261"/>
      <c r="L1329" s="261"/>
      <c r="M1329" s="261"/>
      <c r="N1329" s="261"/>
    </row>
    <row r="1330" spans="3:14" x14ac:dyDescent="0.2">
      <c r="C1330" s="261"/>
      <c r="D1330" s="261"/>
      <c r="E1330" s="261"/>
      <c r="F1330" s="261"/>
      <c r="G1330" s="261"/>
      <c r="H1330" s="261"/>
      <c r="I1330" s="261"/>
      <c r="J1330" s="261"/>
      <c r="K1330" s="261"/>
      <c r="L1330" s="261"/>
      <c r="M1330" s="261"/>
      <c r="N1330" s="261"/>
    </row>
    <row r="1331" spans="3:14" x14ac:dyDescent="0.2">
      <c r="C1331" s="261"/>
      <c r="D1331" s="261"/>
      <c r="E1331" s="261"/>
      <c r="F1331" s="261"/>
      <c r="G1331" s="261"/>
      <c r="H1331" s="261"/>
      <c r="I1331" s="261"/>
      <c r="J1331" s="261"/>
      <c r="K1331" s="261"/>
      <c r="L1331" s="261"/>
      <c r="M1331" s="261"/>
      <c r="N1331" s="261"/>
    </row>
    <row r="1332" spans="3:14" x14ac:dyDescent="0.2">
      <c r="C1332" s="261"/>
      <c r="D1332" s="261"/>
      <c r="E1332" s="261"/>
      <c r="F1332" s="261"/>
      <c r="G1332" s="261"/>
      <c r="H1332" s="261"/>
      <c r="I1332" s="261"/>
      <c r="J1332" s="261"/>
      <c r="K1332" s="261"/>
      <c r="L1332" s="261"/>
      <c r="M1332" s="261"/>
      <c r="N1332" s="261"/>
    </row>
    <row r="1333" spans="3:14" x14ac:dyDescent="0.2">
      <c r="C1333" s="261"/>
      <c r="D1333" s="261"/>
      <c r="E1333" s="261"/>
      <c r="F1333" s="261"/>
      <c r="G1333" s="261"/>
      <c r="H1333" s="261"/>
      <c r="I1333" s="261"/>
      <c r="J1333" s="261"/>
      <c r="K1333" s="261"/>
      <c r="L1333" s="261"/>
      <c r="M1333" s="261"/>
      <c r="N1333" s="261"/>
    </row>
    <row r="1334" spans="3:14" x14ac:dyDescent="0.2">
      <c r="C1334" s="261"/>
      <c r="D1334" s="261"/>
      <c r="E1334" s="261"/>
      <c r="F1334" s="261"/>
      <c r="G1334" s="261"/>
      <c r="H1334" s="261"/>
      <c r="I1334" s="261"/>
      <c r="J1334" s="261"/>
      <c r="K1334" s="261"/>
      <c r="L1334" s="261"/>
      <c r="M1334" s="261"/>
      <c r="N1334" s="261"/>
    </row>
    <row r="1335" spans="3:14" x14ac:dyDescent="0.2">
      <c r="C1335" s="261"/>
      <c r="D1335" s="261"/>
      <c r="E1335" s="261"/>
      <c r="F1335" s="261"/>
      <c r="G1335" s="261"/>
      <c r="H1335" s="261"/>
      <c r="I1335" s="261"/>
      <c r="J1335" s="261"/>
      <c r="K1335" s="261"/>
      <c r="L1335" s="261"/>
      <c r="M1335" s="261"/>
      <c r="N1335" s="261"/>
    </row>
    <row r="1336" spans="3:14" x14ac:dyDescent="0.2">
      <c r="C1336" s="261"/>
      <c r="D1336" s="261"/>
      <c r="E1336" s="261"/>
      <c r="F1336" s="261"/>
      <c r="G1336" s="261"/>
      <c r="H1336" s="261"/>
      <c r="I1336" s="261"/>
      <c r="J1336" s="261"/>
      <c r="K1336" s="261"/>
      <c r="L1336" s="261"/>
      <c r="M1336" s="261"/>
      <c r="N1336" s="261"/>
    </row>
    <row r="1337" spans="3:14" x14ac:dyDescent="0.2">
      <c r="C1337" s="261"/>
      <c r="D1337" s="261"/>
      <c r="E1337" s="261"/>
      <c r="F1337" s="261"/>
      <c r="G1337" s="261"/>
      <c r="H1337" s="261"/>
      <c r="I1337" s="261"/>
      <c r="J1337" s="261"/>
      <c r="K1337" s="261"/>
      <c r="L1337" s="261"/>
      <c r="M1337" s="261"/>
      <c r="N1337" s="261"/>
    </row>
    <row r="1338" spans="3:14" x14ac:dyDescent="0.2">
      <c r="C1338" s="261"/>
      <c r="D1338" s="261"/>
      <c r="E1338" s="261"/>
      <c r="F1338" s="261"/>
      <c r="G1338" s="261"/>
      <c r="H1338" s="261"/>
      <c r="I1338" s="261"/>
      <c r="J1338" s="261"/>
      <c r="K1338" s="261"/>
      <c r="L1338" s="261"/>
      <c r="M1338" s="261"/>
      <c r="N1338" s="261"/>
    </row>
    <row r="1339" spans="3:14" x14ac:dyDescent="0.2">
      <c r="C1339" s="261"/>
      <c r="D1339" s="261"/>
      <c r="E1339" s="261"/>
      <c r="F1339" s="261"/>
      <c r="G1339" s="261"/>
      <c r="H1339" s="261"/>
      <c r="I1339" s="261"/>
      <c r="J1339" s="261"/>
      <c r="K1339" s="261"/>
      <c r="L1339" s="261"/>
      <c r="M1339" s="261"/>
      <c r="N1339" s="261"/>
    </row>
    <row r="1340" spans="3:14" x14ac:dyDescent="0.2">
      <c r="C1340" s="261"/>
      <c r="D1340" s="261"/>
      <c r="E1340" s="261"/>
      <c r="F1340" s="261"/>
      <c r="G1340" s="261"/>
      <c r="H1340" s="261"/>
      <c r="I1340" s="261"/>
      <c r="J1340" s="261"/>
      <c r="K1340" s="261"/>
      <c r="L1340" s="261"/>
      <c r="M1340" s="261"/>
      <c r="N1340" s="261"/>
    </row>
    <row r="1341" spans="3:14" x14ac:dyDescent="0.2">
      <c r="C1341" s="261"/>
      <c r="D1341" s="261"/>
      <c r="E1341" s="261"/>
      <c r="F1341" s="261"/>
      <c r="G1341" s="261"/>
      <c r="H1341" s="261"/>
      <c r="I1341" s="261"/>
      <c r="J1341" s="261"/>
      <c r="K1341" s="261"/>
      <c r="L1341" s="261"/>
      <c r="M1341" s="261"/>
      <c r="N1341" s="261"/>
    </row>
    <row r="1342" spans="3:14" x14ac:dyDescent="0.2">
      <c r="C1342" s="261"/>
      <c r="D1342" s="261"/>
      <c r="E1342" s="261"/>
      <c r="F1342" s="261"/>
      <c r="G1342" s="261"/>
      <c r="H1342" s="261"/>
      <c r="I1342" s="261"/>
      <c r="J1342" s="261"/>
      <c r="K1342" s="261"/>
      <c r="L1342" s="261"/>
      <c r="M1342" s="261"/>
      <c r="N1342" s="261"/>
    </row>
    <row r="1343" spans="3:14" x14ac:dyDescent="0.2">
      <c r="C1343" s="261"/>
      <c r="D1343" s="261"/>
      <c r="E1343" s="261"/>
      <c r="F1343" s="261"/>
      <c r="G1343" s="261"/>
      <c r="H1343" s="261"/>
      <c r="I1343" s="261"/>
      <c r="J1343" s="261"/>
      <c r="K1343" s="261"/>
      <c r="L1343" s="261"/>
      <c r="M1343" s="261"/>
      <c r="N1343" s="261"/>
    </row>
    <row r="1344" spans="3:14" x14ac:dyDescent="0.2">
      <c r="C1344" s="261"/>
      <c r="D1344" s="261"/>
      <c r="E1344" s="261"/>
      <c r="F1344" s="261"/>
      <c r="G1344" s="261"/>
      <c r="H1344" s="261"/>
      <c r="I1344" s="261"/>
      <c r="J1344" s="261"/>
      <c r="K1344" s="261"/>
      <c r="L1344" s="261"/>
      <c r="M1344" s="261"/>
      <c r="N1344" s="261"/>
    </row>
    <row r="1345" spans="3:14" x14ac:dyDescent="0.2">
      <c r="C1345" s="261"/>
      <c r="D1345" s="261"/>
      <c r="E1345" s="261"/>
      <c r="F1345" s="261"/>
      <c r="G1345" s="261"/>
      <c r="H1345" s="261"/>
      <c r="I1345" s="261"/>
      <c r="J1345" s="261"/>
      <c r="K1345" s="261"/>
      <c r="L1345" s="261"/>
      <c r="M1345" s="261"/>
      <c r="N1345" s="261"/>
    </row>
    <row r="1346" spans="3:14" x14ac:dyDescent="0.2">
      <c r="C1346" s="261"/>
      <c r="D1346" s="261"/>
      <c r="E1346" s="261"/>
      <c r="F1346" s="261"/>
      <c r="G1346" s="261"/>
      <c r="H1346" s="261"/>
      <c r="I1346" s="261"/>
      <c r="J1346" s="261"/>
      <c r="K1346" s="261"/>
      <c r="L1346" s="261"/>
      <c r="M1346" s="261"/>
      <c r="N1346" s="261"/>
    </row>
    <row r="1347" spans="3:14" x14ac:dyDescent="0.2">
      <c r="C1347" s="261"/>
      <c r="D1347" s="261"/>
      <c r="E1347" s="261"/>
      <c r="F1347" s="261"/>
      <c r="G1347" s="261"/>
      <c r="H1347" s="261"/>
      <c r="I1347" s="261"/>
      <c r="J1347" s="261"/>
      <c r="K1347" s="261"/>
      <c r="L1347" s="261"/>
      <c r="M1347" s="261"/>
      <c r="N1347" s="261"/>
    </row>
    <row r="1348" spans="3:14" x14ac:dyDescent="0.2">
      <c r="C1348" s="261"/>
      <c r="D1348" s="261"/>
      <c r="E1348" s="261"/>
      <c r="F1348" s="261"/>
      <c r="G1348" s="261"/>
      <c r="H1348" s="261"/>
      <c r="I1348" s="261"/>
      <c r="J1348" s="261"/>
      <c r="K1348" s="261"/>
      <c r="L1348" s="261"/>
      <c r="M1348" s="261"/>
      <c r="N1348" s="261"/>
    </row>
    <row r="1349" spans="3:14" x14ac:dyDescent="0.2">
      <c r="C1349" s="261"/>
      <c r="D1349" s="261"/>
      <c r="E1349" s="261"/>
      <c r="F1349" s="261"/>
      <c r="G1349" s="261"/>
      <c r="H1349" s="261"/>
      <c r="I1349" s="261"/>
      <c r="J1349" s="261"/>
      <c r="K1349" s="261"/>
      <c r="L1349" s="261"/>
      <c r="M1349" s="261"/>
      <c r="N1349" s="261"/>
    </row>
    <row r="1350" spans="3:14" x14ac:dyDescent="0.2">
      <c r="C1350" s="261"/>
      <c r="D1350" s="261"/>
      <c r="E1350" s="261"/>
      <c r="F1350" s="261"/>
      <c r="G1350" s="261"/>
      <c r="H1350" s="261"/>
      <c r="I1350" s="261"/>
      <c r="J1350" s="261"/>
      <c r="K1350" s="261"/>
      <c r="L1350" s="261"/>
      <c r="M1350" s="261"/>
      <c r="N1350" s="261"/>
    </row>
    <row r="1351" spans="3:14" x14ac:dyDescent="0.2">
      <c r="C1351" s="261"/>
      <c r="D1351" s="261"/>
      <c r="E1351" s="261"/>
      <c r="F1351" s="261"/>
      <c r="G1351" s="261"/>
      <c r="H1351" s="261"/>
      <c r="I1351" s="261"/>
      <c r="J1351" s="261"/>
      <c r="K1351" s="261"/>
      <c r="L1351" s="261"/>
      <c r="M1351" s="261"/>
      <c r="N1351" s="261"/>
    </row>
    <row r="1352" spans="3:14" x14ac:dyDescent="0.2">
      <c r="C1352" s="261"/>
      <c r="D1352" s="261"/>
      <c r="E1352" s="261"/>
      <c r="F1352" s="261"/>
      <c r="G1352" s="261"/>
      <c r="H1352" s="261"/>
      <c r="I1352" s="261"/>
      <c r="J1352" s="261"/>
      <c r="K1352" s="261"/>
      <c r="L1352" s="261"/>
      <c r="M1352" s="261"/>
      <c r="N1352" s="261"/>
    </row>
    <row r="1353" spans="3:14" x14ac:dyDescent="0.2">
      <c r="C1353" s="261"/>
      <c r="D1353" s="261"/>
      <c r="E1353" s="261"/>
      <c r="F1353" s="261"/>
      <c r="G1353" s="261"/>
      <c r="H1353" s="261"/>
      <c r="I1353" s="261"/>
      <c r="J1353" s="261"/>
      <c r="K1353" s="261"/>
      <c r="L1353" s="261"/>
      <c r="M1353" s="261"/>
      <c r="N1353" s="261"/>
    </row>
    <row r="1354" spans="3:14" x14ac:dyDescent="0.2">
      <c r="C1354" s="261"/>
      <c r="D1354" s="261"/>
      <c r="E1354" s="261"/>
      <c r="F1354" s="261"/>
      <c r="G1354" s="261"/>
      <c r="H1354" s="261"/>
      <c r="I1354" s="261"/>
      <c r="J1354" s="261"/>
      <c r="K1354" s="261"/>
      <c r="L1354" s="261"/>
      <c r="M1354" s="261"/>
      <c r="N1354" s="261"/>
    </row>
    <row r="1355" spans="3:14" x14ac:dyDescent="0.2">
      <c r="C1355" s="261"/>
      <c r="D1355" s="261"/>
      <c r="E1355" s="261"/>
      <c r="F1355" s="261"/>
      <c r="G1355" s="261"/>
      <c r="H1355" s="261"/>
      <c r="I1355" s="261"/>
      <c r="J1355" s="261"/>
      <c r="K1355" s="261"/>
      <c r="L1355" s="261"/>
      <c r="M1355" s="261"/>
      <c r="N1355" s="261"/>
    </row>
    <row r="1356" spans="3:14" x14ac:dyDescent="0.2">
      <c r="C1356" s="261"/>
      <c r="D1356" s="261"/>
      <c r="E1356" s="261"/>
      <c r="F1356" s="261"/>
      <c r="G1356" s="261"/>
      <c r="H1356" s="261"/>
      <c r="I1356" s="261"/>
      <c r="J1356" s="261"/>
      <c r="K1356" s="261"/>
      <c r="L1356" s="261"/>
      <c r="M1356" s="261"/>
      <c r="N1356" s="261"/>
    </row>
    <row r="1357" spans="3:14" x14ac:dyDescent="0.2">
      <c r="C1357" s="261"/>
      <c r="D1357" s="261"/>
      <c r="E1357" s="261"/>
      <c r="F1357" s="261"/>
      <c r="G1357" s="261"/>
      <c r="H1357" s="261"/>
      <c r="I1357" s="261"/>
      <c r="J1357" s="261"/>
      <c r="K1357" s="261"/>
      <c r="L1357" s="261"/>
      <c r="M1357" s="261"/>
      <c r="N1357" s="261"/>
    </row>
    <row r="1358" spans="3:14" x14ac:dyDescent="0.2">
      <c r="C1358" s="261"/>
      <c r="D1358" s="261"/>
      <c r="E1358" s="261"/>
      <c r="F1358" s="261"/>
      <c r="G1358" s="261"/>
      <c r="H1358" s="261"/>
      <c r="I1358" s="261"/>
      <c r="J1358" s="261"/>
      <c r="K1358" s="261"/>
      <c r="L1358" s="261"/>
      <c r="M1358" s="261"/>
      <c r="N1358" s="261"/>
    </row>
    <row r="1359" spans="3:14" x14ac:dyDescent="0.2">
      <c r="C1359" s="261"/>
      <c r="D1359" s="261"/>
      <c r="E1359" s="261"/>
      <c r="F1359" s="261"/>
      <c r="G1359" s="261"/>
      <c r="H1359" s="261"/>
      <c r="I1359" s="261"/>
      <c r="J1359" s="261"/>
      <c r="K1359" s="261"/>
      <c r="L1359" s="261"/>
      <c r="M1359" s="261"/>
      <c r="N1359" s="261"/>
    </row>
    <row r="1360" spans="3:14" x14ac:dyDescent="0.2">
      <c r="C1360" s="261"/>
      <c r="D1360" s="261"/>
      <c r="E1360" s="261"/>
      <c r="F1360" s="261"/>
      <c r="G1360" s="261"/>
      <c r="H1360" s="261"/>
      <c r="I1360" s="261"/>
      <c r="J1360" s="261"/>
      <c r="K1360" s="261"/>
      <c r="L1360" s="261"/>
      <c r="M1360" s="261"/>
      <c r="N1360" s="261"/>
    </row>
    <row r="1361" spans="3:14" x14ac:dyDescent="0.2">
      <c r="C1361" s="261"/>
      <c r="D1361" s="261"/>
      <c r="E1361" s="261"/>
      <c r="F1361" s="261"/>
      <c r="G1361" s="261"/>
      <c r="H1361" s="261"/>
      <c r="I1361" s="261"/>
      <c r="J1361" s="261"/>
      <c r="K1361" s="261"/>
      <c r="L1361" s="261"/>
      <c r="M1361" s="261"/>
      <c r="N1361" s="261"/>
    </row>
    <row r="1362" spans="3:14" x14ac:dyDescent="0.2">
      <c r="C1362" s="261"/>
      <c r="D1362" s="261"/>
      <c r="E1362" s="261"/>
      <c r="F1362" s="261"/>
      <c r="G1362" s="261"/>
      <c r="H1362" s="261"/>
      <c r="I1362" s="261"/>
      <c r="J1362" s="261"/>
      <c r="K1362" s="261"/>
      <c r="L1362" s="261"/>
      <c r="M1362" s="261"/>
      <c r="N1362" s="261"/>
    </row>
    <row r="1363" spans="3:14" x14ac:dyDescent="0.2">
      <c r="C1363" s="261"/>
      <c r="D1363" s="261"/>
      <c r="E1363" s="261"/>
      <c r="F1363" s="261"/>
      <c r="G1363" s="261"/>
      <c r="H1363" s="261"/>
      <c r="I1363" s="261"/>
      <c r="J1363" s="261"/>
      <c r="K1363" s="261"/>
      <c r="L1363" s="261"/>
      <c r="M1363" s="261"/>
      <c r="N1363" s="261"/>
    </row>
    <row r="1364" spans="3:14" x14ac:dyDescent="0.2">
      <c r="C1364" s="261"/>
      <c r="D1364" s="261"/>
      <c r="E1364" s="261"/>
      <c r="F1364" s="261"/>
      <c r="G1364" s="261"/>
      <c r="H1364" s="261"/>
      <c r="I1364" s="261"/>
      <c r="J1364" s="261"/>
      <c r="K1364" s="261"/>
      <c r="L1364" s="261"/>
      <c r="M1364" s="261"/>
      <c r="N1364" s="261"/>
    </row>
    <row r="1365" spans="3:14" x14ac:dyDescent="0.2">
      <c r="C1365" s="261"/>
      <c r="D1365" s="261"/>
      <c r="E1365" s="261"/>
      <c r="F1365" s="261"/>
      <c r="G1365" s="261"/>
      <c r="H1365" s="261"/>
      <c r="I1365" s="261"/>
      <c r="J1365" s="261"/>
      <c r="K1365" s="261"/>
      <c r="L1365" s="261"/>
      <c r="M1365" s="261"/>
      <c r="N1365" s="261"/>
    </row>
    <row r="1366" spans="3:14" x14ac:dyDescent="0.2">
      <c r="C1366" s="261"/>
      <c r="D1366" s="261"/>
      <c r="E1366" s="261"/>
      <c r="F1366" s="261"/>
      <c r="G1366" s="261"/>
      <c r="H1366" s="261"/>
      <c r="I1366" s="261"/>
      <c r="J1366" s="261"/>
      <c r="K1366" s="261"/>
      <c r="L1366" s="261"/>
      <c r="M1366" s="261"/>
      <c r="N1366" s="261"/>
    </row>
    <row r="1367" spans="3:14" x14ac:dyDescent="0.2">
      <c r="C1367" s="261"/>
      <c r="D1367" s="261"/>
      <c r="E1367" s="261"/>
      <c r="F1367" s="261"/>
      <c r="G1367" s="261"/>
      <c r="H1367" s="261"/>
      <c r="I1367" s="261"/>
      <c r="J1367" s="261"/>
      <c r="K1367" s="261"/>
      <c r="L1367" s="261"/>
      <c r="M1367" s="261"/>
      <c r="N1367" s="261"/>
    </row>
    <row r="1368" spans="3:14" x14ac:dyDescent="0.2">
      <c r="C1368" s="261"/>
      <c r="D1368" s="261"/>
      <c r="E1368" s="261"/>
      <c r="F1368" s="261"/>
      <c r="G1368" s="261"/>
      <c r="H1368" s="261"/>
      <c r="I1368" s="261"/>
      <c r="J1368" s="261"/>
      <c r="K1368" s="261"/>
      <c r="L1368" s="261"/>
      <c r="M1368" s="261"/>
      <c r="N1368" s="261"/>
    </row>
    <row r="1369" spans="3:14" x14ac:dyDescent="0.2">
      <c r="C1369" s="261"/>
      <c r="D1369" s="261"/>
      <c r="E1369" s="261"/>
      <c r="F1369" s="261"/>
      <c r="G1369" s="261"/>
      <c r="H1369" s="261"/>
      <c r="I1369" s="261"/>
      <c r="J1369" s="261"/>
      <c r="K1369" s="261"/>
      <c r="L1369" s="261"/>
      <c r="M1369" s="261"/>
      <c r="N1369" s="261"/>
    </row>
    <row r="1370" spans="3:14" x14ac:dyDescent="0.2">
      <c r="C1370" s="261"/>
      <c r="D1370" s="261"/>
      <c r="E1370" s="261"/>
      <c r="F1370" s="261"/>
      <c r="G1370" s="261"/>
      <c r="H1370" s="261"/>
      <c r="I1370" s="261"/>
      <c r="J1370" s="261"/>
      <c r="K1370" s="261"/>
      <c r="L1370" s="261"/>
      <c r="M1370" s="261"/>
      <c r="N1370" s="261"/>
    </row>
    <row r="1371" spans="3:14" x14ac:dyDescent="0.2">
      <c r="C1371" s="261"/>
      <c r="D1371" s="261"/>
      <c r="E1371" s="261"/>
      <c r="F1371" s="261"/>
      <c r="G1371" s="261"/>
      <c r="H1371" s="261"/>
      <c r="I1371" s="261"/>
      <c r="J1371" s="261"/>
      <c r="K1371" s="261"/>
      <c r="L1371" s="261"/>
      <c r="M1371" s="261"/>
      <c r="N1371" s="261"/>
    </row>
    <row r="1372" spans="3:14" x14ac:dyDescent="0.2">
      <c r="C1372" s="261"/>
      <c r="D1372" s="261"/>
      <c r="E1372" s="261"/>
      <c r="F1372" s="261"/>
      <c r="G1372" s="261"/>
      <c r="H1372" s="261"/>
      <c r="I1372" s="261"/>
      <c r="J1372" s="261"/>
      <c r="K1372" s="261"/>
      <c r="L1372" s="261"/>
      <c r="M1372" s="261"/>
      <c r="N1372" s="261"/>
    </row>
    <row r="1373" spans="3:14" x14ac:dyDescent="0.2">
      <c r="C1373" s="261"/>
      <c r="D1373" s="261"/>
      <c r="E1373" s="261"/>
      <c r="F1373" s="261"/>
      <c r="G1373" s="261"/>
      <c r="H1373" s="261"/>
      <c r="I1373" s="261"/>
      <c r="J1373" s="261"/>
      <c r="K1373" s="261"/>
      <c r="L1373" s="261"/>
      <c r="M1373" s="261"/>
      <c r="N1373" s="261"/>
    </row>
    <row r="1374" spans="3:14" x14ac:dyDescent="0.2">
      <c r="C1374" s="261"/>
      <c r="D1374" s="261"/>
      <c r="E1374" s="261"/>
      <c r="F1374" s="261"/>
      <c r="G1374" s="261"/>
      <c r="H1374" s="261"/>
      <c r="I1374" s="261"/>
      <c r="J1374" s="261"/>
      <c r="K1374" s="261"/>
      <c r="L1374" s="261"/>
      <c r="M1374" s="261"/>
      <c r="N1374" s="261"/>
    </row>
    <row r="1375" spans="3:14" x14ac:dyDescent="0.2">
      <c r="C1375" s="261"/>
      <c r="D1375" s="261"/>
      <c r="E1375" s="261"/>
      <c r="F1375" s="261"/>
      <c r="G1375" s="261"/>
      <c r="H1375" s="261"/>
      <c r="I1375" s="261"/>
      <c r="J1375" s="261"/>
      <c r="K1375" s="261"/>
      <c r="L1375" s="261"/>
      <c r="M1375" s="261"/>
      <c r="N1375" s="261"/>
    </row>
    <row r="1376" spans="3:14" x14ac:dyDescent="0.2">
      <c r="C1376" s="261"/>
      <c r="D1376" s="261"/>
      <c r="E1376" s="261"/>
      <c r="F1376" s="261"/>
      <c r="G1376" s="261"/>
      <c r="H1376" s="261"/>
      <c r="I1376" s="261"/>
      <c r="J1376" s="261"/>
      <c r="K1376" s="261"/>
      <c r="L1376" s="261"/>
      <c r="M1376" s="261"/>
      <c r="N1376" s="261"/>
    </row>
    <row r="1377" spans="3:14" x14ac:dyDescent="0.2">
      <c r="C1377" s="261"/>
      <c r="D1377" s="261"/>
      <c r="E1377" s="261"/>
      <c r="F1377" s="261"/>
      <c r="G1377" s="261"/>
      <c r="H1377" s="261"/>
      <c r="I1377" s="261"/>
      <c r="J1377" s="261"/>
      <c r="K1377" s="261"/>
      <c r="L1377" s="261"/>
      <c r="M1377" s="261"/>
      <c r="N1377" s="261"/>
    </row>
    <row r="1378" spans="3:14" x14ac:dyDescent="0.2">
      <c r="C1378" s="261"/>
      <c r="D1378" s="261"/>
      <c r="E1378" s="261"/>
      <c r="F1378" s="261"/>
      <c r="G1378" s="261"/>
      <c r="H1378" s="261"/>
      <c r="I1378" s="261"/>
      <c r="J1378" s="261"/>
      <c r="K1378" s="261"/>
      <c r="L1378" s="261"/>
      <c r="M1378" s="261"/>
      <c r="N1378" s="261"/>
    </row>
    <row r="1379" spans="3:14" x14ac:dyDescent="0.2">
      <c r="C1379" s="261"/>
      <c r="D1379" s="261"/>
      <c r="E1379" s="261"/>
      <c r="F1379" s="261"/>
      <c r="G1379" s="261"/>
      <c r="H1379" s="261"/>
      <c r="I1379" s="261"/>
      <c r="J1379" s="261"/>
      <c r="K1379" s="261"/>
      <c r="L1379" s="261"/>
      <c r="M1379" s="261"/>
      <c r="N1379" s="261"/>
    </row>
    <row r="1380" spans="3:14" x14ac:dyDescent="0.2">
      <c r="C1380" s="261"/>
      <c r="D1380" s="261"/>
      <c r="E1380" s="261"/>
      <c r="F1380" s="261"/>
      <c r="G1380" s="261"/>
      <c r="H1380" s="261"/>
      <c r="I1380" s="261"/>
      <c r="J1380" s="261"/>
      <c r="K1380" s="261"/>
      <c r="L1380" s="261"/>
      <c r="M1380" s="261"/>
      <c r="N1380" s="261"/>
    </row>
    <row r="1381" spans="3:14" x14ac:dyDescent="0.2">
      <c r="C1381" s="261"/>
      <c r="D1381" s="261"/>
      <c r="E1381" s="261"/>
      <c r="F1381" s="261"/>
      <c r="G1381" s="261"/>
      <c r="H1381" s="261"/>
      <c r="I1381" s="261"/>
      <c r="J1381" s="261"/>
      <c r="K1381" s="261"/>
      <c r="L1381" s="261"/>
      <c r="M1381" s="261"/>
      <c r="N1381" s="261"/>
    </row>
    <row r="1382" spans="3:14" x14ac:dyDescent="0.2">
      <c r="C1382" s="261"/>
      <c r="D1382" s="261"/>
      <c r="E1382" s="261"/>
      <c r="F1382" s="261"/>
      <c r="G1382" s="261"/>
      <c r="H1382" s="261"/>
      <c r="I1382" s="261"/>
      <c r="J1382" s="261"/>
      <c r="K1382" s="261"/>
      <c r="L1382" s="261"/>
      <c r="M1382" s="261"/>
      <c r="N1382" s="261"/>
    </row>
    <row r="1383" spans="3:14" x14ac:dyDescent="0.2">
      <c r="C1383" s="261"/>
      <c r="D1383" s="261"/>
      <c r="E1383" s="261"/>
      <c r="F1383" s="261"/>
      <c r="G1383" s="261"/>
      <c r="H1383" s="261"/>
      <c r="I1383" s="261"/>
      <c r="J1383" s="261"/>
      <c r="K1383" s="261"/>
      <c r="L1383" s="261"/>
      <c r="M1383" s="261"/>
      <c r="N1383" s="261"/>
    </row>
    <row r="1384" spans="3:14" x14ac:dyDescent="0.2">
      <c r="C1384" s="261"/>
      <c r="D1384" s="261"/>
      <c r="E1384" s="261"/>
      <c r="F1384" s="261"/>
      <c r="G1384" s="261"/>
      <c r="H1384" s="261"/>
      <c r="I1384" s="261"/>
      <c r="J1384" s="261"/>
      <c r="K1384" s="261"/>
      <c r="L1384" s="261"/>
      <c r="M1384" s="261"/>
      <c r="N1384" s="261"/>
    </row>
    <row r="1385" spans="3:14" x14ac:dyDescent="0.2">
      <c r="C1385" s="261"/>
      <c r="D1385" s="261"/>
      <c r="E1385" s="261"/>
      <c r="F1385" s="261"/>
      <c r="G1385" s="261"/>
      <c r="H1385" s="261"/>
      <c r="I1385" s="261"/>
      <c r="J1385" s="261"/>
      <c r="K1385" s="261"/>
      <c r="L1385" s="261"/>
      <c r="M1385" s="261"/>
      <c r="N1385" s="261"/>
    </row>
    <row r="1386" spans="3:14" x14ac:dyDescent="0.2">
      <c r="C1386" s="261"/>
      <c r="D1386" s="261"/>
      <c r="E1386" s="261"/>
      <c r="F1386" s="261"/>
      <c r="G1386" s="261"/>
      <c r="H1386" s="261"/>
      <c r="I1386" s="261"/>
      <c r="J1386" s="261"/>
      <c r="K1386" s="261"/>
      <c r="L1386" s="261"/>
      <c r="M1386" s="261"/>
      <c r="N1386" s="261"/>
    </row>
    <row r="1387" spans="3:14" x14ac:dyDescent="0.2">
      <c r="C1387" s="261"/>
      <c r="D1387" s="261"/>
      <c r="E1387" s="261"/>
      <c r="F1387" s="261"/>
      <c r="G1387" s="261"/>
      <c r="H1387" s="261"/>
      <c r="I1387" s="261"/>
      <c r="J1387" s="261"/>
      <c r="K1387" s="261"/>
      <c r="L1387" s="261"/>
      <c r="M1387" s="261"/>
      <c r="N1387" s="261"/>
    </row>
    <row r="1388" spans="3:14" x14ac:dyDescent="0.2">
      <c r="C1388" s="261"/>
      <c r="D1388" s="261"/>
      <c r="E1388" s="261"/>
      <c r="F1388" s="261"/>
      <c r="G1388" s="261"/>
      <c r="H1388" s="261"/>
      <c r="I1388" s="261"/>
      <c r="J1388" s="261"/>
      <c r="K1388" s="261"/>
      <c r="L1388" s="261"/>
      <c r="M1388" s="261"/>
      <c r="N1388" s="261"/>
    </row>
    <row r="1389" spans="3:14" x14ac:dyDescent="0.2">
      <c r="C1389" s="261"/>
      <c r="D1389" s="261"/>
      <c r="E1389" s="261"/>
      <c r="F1389" s="261"/>
      <c r="G1389" s="261"/>
      <c r="H1389" s="261"/>
      <c r="I1389" s="261"/>
      <c r="J1389" s="261"/>
      <c r="K1389" s="261"/>
      <c r="L1389" s="261"/>
      <c r="M1389" s="261"/>
      <c r="N1389" s="261"/>
    </row>
    <row r="1390" spans="3:14" x14ac:dyDescent="0.2">
      <c r="C1390" s="261"/>
      <c r="D1390" s="261"/>
      <c r="E1390" s="261"/>
      <c r="F1390" s="261"/>
      <c r="G1390" s="261"/>
      <c r="H1390" s="261"/>
      <c r="I1390" s="261"/>
      <c r="J1390" s="261"/>
      <c r="K1390" s="261"/>
      <c r="L1390" s="261"/>
      <c r="M1390" s="261"/>
      <c r="N1390" s="261"/>
    </row>
    <row r="1391" spans="3:14" x14ac:dyDescent="0.2">
      <c r="C1391" s="261"/>
      <c r="D1391" s="261"/>
      <c r="E1391" s="261"/>
      <c r="F1391" s="261"/>
      <c r="G1391" s="261"/>
      <c r="H1391" s="261"/>
      <c r="I1391" s="261"/>
      <c r="J1391" s="261"/>
      <c r="K1391" s="261"/>
      <c r="L1391" s="261"/>
      <c r="M1391" s="261"/>
      <c r="N1391" s="261"/>
    </row>
    <row r="1392" spans="3:14" x14ac:dyDescent="0.2">
      <c r="C1392" s="261"/>
      <c r="D1392" s="261"/>
      <c r="E1392" s="261"/>
      <c r="F1392" s="261"/>
      <c r="G1392" s="261"/>
      <c r="H1392" s="261"/>
      <c r="I1392" s="261"/>
      <c r="J1392" s="261"/>
      <c r="K1392" s="261"/>
      <c r="L1392" s="261"/>
      <c r="M1392" s="261"/>
      <c r="N1392" s="261"/>
    </row>
    <row r="1393" spans="3:14" x14ac:dyDescent="0.2">
      <c r="C1393" s="261"/>
      <c r="D1393" s="261"/>
      <c r="E1393" s="261"/>
      <c r="F1393" s="261"/>
      <c r="G1393" s="261"/>
      <c r="H1393" s="261"/>
      <c r="I1393" s="261"/>
      <c r="J1393" s="261"/>
      <c r="K1393" s="261"/>
      <c r="L1393" s="261"/>
      <c r="M1393" s="261"/>
      <c r="N1393" s="261"/>
    </row>
    <row r="1394" spans="3:14" x14ac:dyDescent="0.2">
      <c r="C1394" s="261"/>
      <c r="D1394" s="261"/>
      <c r="E1394" s="261"/>
      <c r="F1394" s="261"/>
      <c r="G1394" s="261"/>
      <c r="H1394" s="261"/>
      <c r="I1394" s="261"/>
      <c r="J1394" s="261"/>
      <c r="K1394" s="261"/>
      <c r="L1394" s="261"/>
      <c r="M1394" s="261"/>
      <c r="N1394" s="261"/>
    </row>
    <row r="1395" spans="3:14" x14ac:dyDescent="0.2">
      <c r="C1395" s="261"/>
      <c r="D1395" s="261"/>
      <c r="E1395" s="261"/>
      <c r="F1395" s="261"/>
      <c r="G1395" s="261"/>
      <c r="H1395" s="261"/>
      <c r="I1395" s="261"/>
      <c r="J1395" s="261"/>
      <c r="K1395" s="261"/>
      <c r="L1395" s="261"/>
      <c r="M1395" s="261"/>
      <c r="N1395" s="261"/>
    </row>
    <row r="1396" spans="3:14" x14ac:dyDescent="0.2">
      <c r="C1396" s="261"/>
      <c r="D1396" s="261"/>
      <c r="E1396" s="261"/>
      <c r="F1396" s="261"/>
      <c r="G1396" s="261"/>
      <c r="H1396" s="261"/>
      <c r="I1396" s="261"/>
      <c r="J1396" s="261"/>
      <c r="K1396" s="261"/>
      <c r="L1396" s="261"/>
      <c r="M1396" s="261"/>
      <c r="N1396" s="261"/>
    </row>
    <row r="1397" spans="3:14" x14ac:dyDescent="0.2">
      <c r="C1397" s="261"/>
      <c r="D1397" s="261"/>
      <c r="E1397" s="261"/>
      <c r="F1397" s="261"/>
      <c r="G1397" s="261"/>
      <c r="H1397" s="261"/>
      <c r="I1397" s="261"/>
      <c r="J1397" s="261"/>
      <c r="K1397" s="261"/>
      <c r="L1397" s="261"/>
      <c r="M1397" s="261"/>
      <c r="N1397" s="261"/>
    </row>
    <row r="1398" spans="3:14" x14ac:dyDescent="0.2">
      <c r="C1398" s="261"/>
      <c r="D1398" s="261"/>
      <c r="E1398" s="261"/>
      <c r="F1398" s="261"/>
      <c r="G1398" s="261"/>
      <c r="H1398" s="261"/>
      <c r="I1398" s="261"/>
      <c r="J1398" s="261"/>
      <c r="K1398" s="261"/>
      <c r="L1398" s="261"/>
      <c r="M1398" s="261"/>
      <c r="N1398" s="261"/>
    </row>
    <row r="1399" spans="3:14" x14ac:dyDescent="0.2">
      <c r="C1399" s="261"/>
      <c r="D1399" s="261"/>
      <c r="E1399" s="261"/>
      <c r="F1399" s="261"/>
      <c r="G1399" s="261"/>
      <c r="H1399" s="261"/>
      <c r="I1399" s="261"/>
      <c r="J1399" s="261"/>
      <c r="K1399" s="261"/>
      <c r="L1399" s="261"/>
      <c r="M1399" s="261"/>
      <c r="N1399" s="261"/>
    </row>
    <row r="1400" spans="3:14" x14ac:dyDescent="0.2">
      <c r="C1400" s="261"/>
      <c r="D1400" s="261"/>
      <c r="E1400" s="261"/>
      <c r="F1400" s="261"/>
      <c r="G1400" s="261"/>
      <c r="H1400" s="261"/>
      <c r="I1400" s="261"/>
      <c r="J1400" s="261"/>
      <c r="K1400" s="261"/>
      <c r="L1400" s="261"/>
      <c r="M1400" s="261"/>
      <c r="N1400" s="261"/>
    </row>
    <row r="1401" spans="3:14" x14ac:dyDescent="0.2">
      <c r="C1401" s="261"/>
      <c r="D1401" s="261"/>
      <c r="E1401" s="261"/>
      <c r="F1401" s="261"/>
      <c r="G1401" s="261"/>
      <c r="H1401" s="261"/>
      <c r="I1401" s="261"/>
      <c r="J1401" s="261"/>
      <c r="K1401" s="261"/>
      <c r="L1401" s="261"/>
      <c r="M1401" s="261"/>
      <c r="N1401" s="261"/>
    </row>
    <row r="1402" spans="3:14" x14ac:dyDescent="0.2">
      <c r="C1402" s="261"/>
      <c r="D1402" s="261"/>
      <c r="E1402" s="261"/>
      <c r="F1402" s="261"/>
      <c r="G1402" s="261"/>
      <c r="H1402" s="261"/>
      <c r="I1402" s="261"/>
      <c r="J1402" s="261"/>
      <c r="K1402" s="261"/>
      <c r="L1402" s="261"/>
      <c r="M1402" s="261"/>
      <c r="N1402" s="261"/>
    </row>
    <row r="1403" spans="3:14" x14ac:dyDescent="0.2">
      <c r="C1403" s="261"/>
      <c r="D1403" s="261"/>
      <c r="E1403" s="261"/>
      <c r="F1403" s="261"/>
      <c r="G1403" s="261"/>
      <c r="H1403" s="261"/>
      <c r="I1403" s="261"/>
      <c r="J1403" s="261"/>
      <c r="K1403" s="261"/>
      <c r="L1403" s="261"/>
      <c r="M1403" s="261"/>
      <c r="N1403" s="261"/>
    </row>
    <row r="1404" spans="3:14" x14ac:dyDescent="0.2">
      <c r="C1404" s="261"/>
      <c r="D1404" s="261"/>
      <c r="E1404" s="261"/>
      <c r="F1404" s="261"/>
      <c r="G1404" s="261"/>
      <c r="H1404" s="261"/>
      <c r="I1404" s="261"/>
      <c r="J1404" s="261"/>
      <c r="K1404" s="261"/>
      <c r="L1404" s="261"/>
      <c r="M1404" s="261"/>
      <c r="N1404" s="261"/>
    </row>
    <row r="1405" spans="3:14" x14ac:dyDescent="0.2">
      <c r="C1405" s="261"/>
      <c r="D1405" s="261"/>
      <c r="E1405" s="261"/>
      <c r="F1405" s="261"/>
      <c r="G1405" s="261"/>
      <c r="H1405" s="261"/>
      <c r="I1405" s="261"/>
      <c r="J1405" s="261"/>
      <c r="K1405" s="261"/>
      <c r="L1405" s="261"/>
      <c r="M1405" s="261"/>
      <c r="N1405" s="261"/>
    </row>
    <row r="1406" spans="3:14" x14ac:dyDescent="0.2">
      <c r="C1406" s="261"/>
      <c r="D1406" s="261"/>
      <c r="E1406" s="261"/>
      <c r="F1406" s="261"/>
      <c r="G1406" s="261"/>
      <c r="H1406" s="261"/>
      <c r="I1406" s="261"/>
      <c r="J1406" s="261"/>
      <c r="K1406" s="261"/>
      <c r="L1406" s="261"/>
      <c r="M1406" s="261"/>
      <c r="N1406" s="261"/>
    </row>
    <row r="1407" spans="3:14" x14ac:dyDescent="0.2">
      <c r="C1407" s="261"/>
      <c r="D1407" s="261"/>
      <c r="E1407" s="261"/>
      <c r="F1407" s="261"/>
      <c r="G1407" s="261"/>
      <c r="H1407" s="261"/>
      <c r="I1407" s="261"/>
      <c r="J1407" s="261"/>
      <c r="K1407" s="261"/>
      <c r="L1407" s="261"/>
      <c r="M1407" s="261"/>
      <c r="N1407" s="261"/>
    </row>
    <row r="1408" spans="3:14" x14ac:dyDescent="0.2">
      <c r="C1408" s="261"/>
      <c r="D1408" s="261"/>
      <c r="E1408" s="261"/>
      <c r="F1408" s="261"/>
      <c r="G1408" s="261"/>
      <c r="H1408" s="261"/>
      <c r="I1408" s="261"/>
      <c r="J1408" s="261"/>
      <c r="K1408" s="261"/>
      <c r="L1408" s="261"/>
      <c r="M1408" s="261"/>
      <c r="N1408" s="261"/>
    </row>
    <row r="1409" spans="3:14" x14ac:dyDescent="0.2">
      <c r="C1409" s="261"/>
      <c r="D1409" s="261"/>
      <c r="E1409" s="261"/>
      <c r="F1409" s="261"/>
      <c r="G1409" s="261"/>
      <c r="H1409" s="261"/>
      <c r="I1409" s="261"/>
      <c r="J1409" s="261"/>
      <c r="K1409" s="261"/>
      <c r="L1409" s="261"/>
      <c r="M1409" s="261"/>
      <c r="N1409" s="261"/>
    </row>
    <row r="1410" spans="3:14" x14ac:dyDescent="0.2">
      <c r="C1410" s="261"/>
      <c r="D1410" s="261"/>
      <c r="E1410" s="261"/>
      <c r="F1410" s="261"/>
      <c r="G1410" s="261"/>
      <c r="H1410" s="261"/>
      <c r="I1410" s="261"/>
      <c r="J1410" s="261"/>
      <c r="K1410" s="261"/>
      <c r="L1410" s="261"/>
      <c r="M1410" s="261"/>
      <c r="N1410" s="261"/>
    </row>
    <row r="1411" spans="3:14" x14ac:dyDescent="0.2">
      <c r="C1411" s="261"/>
      <c r="D1411" s="261"/>
      <c r="E1411" s="261"/>
      <c r="F1411" s="261"/>
      <c r="G1411" s="261"/>
      <c r="H1411" s="261"/>
      <c r="I1411" s="261"/>
      <c r="J1411" s="261"/>
      <c r="K1411" s="261"/>
      <c r="L1411" s="261"/>
      <c r="M1411" s="261"/>
      <c r="N1411" s="261"/>
    </row>
    <row r="1412" spans="3:14" x14ac:dyDescent="0.2">
      <c r="C1412" s="261"/>
      <c r="D1412" s="261"/>
      <c r="E1412" s="261"/>
      <c r="F1412" s="261"/>
      <c r="G1412" s="261"/>
      <c r="H1412" s="261"/>
      <c r="I1412" s="261"/>
      <c r="J1412" s="261"/>
      <c r="K1412" s="261"/>
      <c r="L1412" s="261"/>
      <c r="M1412" s="261"/>
      <c r="N1412" s="261"/>
    </row>
    <row r="1413" spans="3:14" x14ac:dyDescent="0.2">
      <c r="C1413" s="261"/>
      <c r="D1413" s="261"/>
      <c r="E1413" s="261"/>
      <c r="F1413" s="261"/>
      <c r="G1413" s="261"/>
      <c r="H1413" s="261"/>
      <c r="I1413" s="261"/>
      <c r="J1413" s="261"/>
      <c r="K1413" s="261"/>
      <c r="L1413" s="261"/>
      <c r="M1413" s="261"/>
      <c r="N1413" s="261"/>
    </row>
    <row r="1414" spans="3:14" x14ac:dyDescent="0.2">
      <c r="C1414" s="261"/>
      <c r="D1414" s="261"/>
      <c r="E1414" s="261"/>
      <c r="F1414" s="261"/>
      <c r="G1414" s="261"/>
      <c r="H1414" s="261"/>
      <c r="I1414" s="261"/>
      <c r="J1414" s="261"/>
      <c r="K1414" s="261"/>
      <c r="L1414" s="261"/>
      <c r="M1414" s="261"/>
      <c r="N1414" s="261"/>
    </row>
    <row r="1415" spans="3:14" x14ac:dyDescent="0.2">
      <c r="C1415" s="261"/>
      <c r="D1415" s="261"/>
      <c r="E1415" s="261"/>
      <c r="F1415" s="261"/>
      <c r="G1415" s="261"/>
      <c r="H1415" s="261"/>
      <c r="I1415" s="261"/>
      <c r="J1415" s="261"/>
      <c r="K1415" s="261"/>
      <c r="L1415" s="261"/>
      <c r="M1415" s="261"/>
      <c r="N1415" s="261"/>
    </row>
    <row r="1416" spans="3:14" x14ac:dyDescent="0.2">
      <c r="C1416" s="261"/>
      <c r="D1416" s="261"/>
      <c r="E1416" s="261"/>
      <c r="F1416" s="261"/>
      <c r="G1416" s="261"/>
      <c r="H1416" s="261"/>
      <c r="I1416" s="261"/>
      <c r="J1416" s="261"/>
      <c r="K1416" s="261"/>
      <c r="L1416" s="261"/>
      <c r="M1416" s="261"/>
      <c r="N1416" s="261"/>
    </row>
    <row r="1417" spans="3:14" x14ac:dyDescent="0.2">
      <c r="C1417" s="261"/>
      <c r="D1417" s="261"/>
      <c r="E1417" s="261"/>
      <c r="F1417" s="261"/>
      <c r="G1417" s="261"/>
      <c r="H1417" s="261"/>
      <c r="I1417" s="261"/>
      <c r="J1417" s="261"/>
      <c r="K1417" s="261"/>
      <c r="L1417" s="261"/>
      <c r="M1417" s="261"/>
      <c r="N1417" s="261"/>
    </row>
    <row r="1418" spans="3:14" x14ac:dyDescent="0.2">
      <c r="C1418" s="261"/>
      <c r="D1418" s="261"/>
      <c r="E1418" s="261"/>
      <c r="F1418" s="261"/>
      <c r="G1418" s="261"/>
      <c r="H1418" s="261"/>
      <c r="I1418" s="261"/>
      <c r="J1418" s="261"/>
      <c r="K1418" s="261"/>
      <c r="L1418" s="261"/>
      <c r="M1418" s="261"/>
      <c r="N1418" s="261"/>
    </row>
    <row r="1419" spans="3:14" x14ac:dyDescent="0.2">
      <c r="C1419" s="261"/>
      <c r="D1419" s="261"/>
      <c r="E1419" s="261"/>
      <c r="F1419" s="261"/>
      <c r="G1419" s="261"/>
      <c r="H1419" s="261"/>
      <c r="I1419" s="261"/>
      <c r="J1419" s="261"/>
      <c r="K1419" s="261"/>
      <c r="L1419" s="261"/>
      <c r="M1419" s="261"/>
      <c r="N1419" s="261"/>
    </row>
    <row r="1420" spans="3:14" x14ac:dyDescent="0.2">
      <c r="C1420" s="261"/>
      <c r="D1420" s="261"/>
      <c r="E1420" s="261"/>
      <c r="F1420" s="261"/>
      <c r="G1420" s="261"/>
      <c r="H1420" s="261"/>
      <c r="I1420" s="261"/>
      <c r="J1420" s="261"/>
      <c r="K1420" s="261"/>
      <c r="L1420" s="261"/>
      <c r="M1420" s="261"/>
      <c r="N1420" s="261"/>
    </row>
    <row r="1421" spans="3:14" x14ac:dyDescent="0.2">
      <c r="C1421" s="261"/>
      <c r="D1421" s="261"/>
      <c r="E1421" s="261"/>
      <c r="F1421" s="261"/>
      <c r="G1421" s="261"/>
      <c r="H1421" s="261"/>
      <c r="I1421" s="261"/>
      <c r="J1421" s="261"/>
      <c r="K1421" s="261"/>
      <c r="L1421" s="261"/>
      <c r="M1421" s="261"/>
      <c r="N1421" s="261"/>
    </row>
    <row r="1422" spans="3:14" x14ac:dyDescent="0.2">
      <c r="C1422" s="261"/>
      <c r="D1422" s="261"/>
      <c r="E1422" s="261"/>
      <c r="F1422" s="261"/>
      <c r="G1422" s="261"/>
      <c r="H1422" s="261"/>
      <c r="I1422" s="261"/>
      <c r="J1422" s="261"/>
      <c r="K1422" s="261"/>
      <c r="L1422" s="261"/>
      <c r="M1422" s="261"/>
      <c r="N1422" s="261"/>
    </row>
    <row r="1423" spans="3:14" x14ac:dyDescent="0.2">
      <c r="C1423" s="261"/>
      <c r="D1423" s="261"/>
      <c r="E1423" s="261"/>
      <c r="F1423" s="261"/>
      <c r="G1423" s="261"/>
      <c r="H1423" s="261"/>
      <c r="I1423" s="261"/>
      <c r="J1423" s="261"/>
      <c r="K1423" s="261"/>
      <c r="L1423" s="261"/>
      <c r="M1423" s="261"/>
      <c r="N1423" s="261"/>
    </row>
    <row r="1424" spans="3:14" x14ac:dyDescent="0.2">
      <c r="C1424" s="261"/>
      <c r="D1424" s="261"/>
      <c r="E1424" s="261"/>
      <c r="F1424" s="261"/>
      <c r="G1424" s="261"/>
      <c r="H1424" s="261"/>
      <c r="I1424" s="261"/>
      <c r="J1424" s="261"/>
      <c r="K1424" s="261"/>
      <c r="L1424" s="261"/>
      <c r="M1424" s="261"/>
      <c r="N1424" s="261"/>
    </row>
    <row r="1425" spans="3:14" x14ac:dyDescent="0.2">
      <c r="C1425" s="261"/>
      <c r="D1425" s="261"/>
      <c r="E1425" s="261"/>
      <c r="F1425" s="261"/>
      <c r="G1425" s="261"/>
      <c r="H1425" s="261"/>
      <c r="I1425" s="261"/>
      <c r="J1425" s="261"/>
      <c r="K1425" s="261"/>
      <c r="L1425" s="261"/>
      <c r="M1425" s="261"/>
      <c r="N1425" s="261"/>
    </row>
    <row r="1426" spans="3:14" x14ac:dyDescent="0.2">
      <c r="C1426" s="261"/>
      <c r="D1426" s="261"/>
      <c r="E1426" s="261"/>
      <c r="F1426" s="261"/>
      <c r="G1426" s="261"/>
      <c r="H1426" s="261"/>
      <c r="I1426" s="261"/>
      <c r="J1426" s="261"/>
      <c r="K1426" s="261"/>
      <c r="L1426" s="261"/>
      <c r="M1426" s="261"/>
      <c r="N1426" s="261"/>
    </row>
    <row r="1427" spans="3:14" x14ac:dyDescent="0.2">
      <c r="C1427" s="261"/>
      <c r="D1427" s="261"/>
      <c r="E1427" s="261"/>
      <c r="F1427" s="261"/>
      <c r="G1427" s="261"/>
      <c r="H1427" s="261"/>
      <c r="I1427" s="261"/>
      <c r="J1427" s="261"/>
      <c r="K1427" s="261"/>
      <c r="L1427" s="261"/>
      <c r="M1427" s="261"/>
      <c r="N1427" s="261"/>
    </row>
    <row r="1428" spans="3:14" x14ac:dyDescent="0.2">
      <c r="C1428" s="261"/>
      <c r="D1428" s="261"/>
      <c r="E1428" s="261"/>
      <c r="F1428" s="261"/>
      <c r="G1428" s="261"/>
      <c r="H1428" s="261"/>
      <c r="I1428" s="261"/>
      <c r="J1428" s="261"/>
      <c r="K1428" s="261"/>
      <c r="L1428" s="261"/>
      <c r="M1428" s="261"/>
      <c r="N1428" s="261"/>
    </row>
    <row r="1429" spans="3:14" x14ac:dyDescent="0.2">
      <c r="C1429" s="261"/>
      <c r="D1429" s="261"/>
      <c r="E1429" s="261"/>
      <c r="F1429" s="261"/>
      <c r="G1429" s="261"/>
      <c r="H1429" s="261"/>
      <c r="I1429" s="261"/>
      <c r="J1429" s="261"/>
      <c r="K1429" s="261"/>
      <c r="L1429" s="261"/>
      <c r="M1429" s="261"/>
      <c r="N1429" s="261"/>
    </row>
    <row r="1430" spans="3:14" x14ac:dyDescent="0.2">
      <c r="C1430" s="261"/>
      <c r="D1430" s="261"/>
      <c r="E1430" s="261"/>
      <c r="F1430" s="261"/>
      <c r="G1430" s="261"/>
      <c r="H1430" s="261"/>
      <c r="I1430" s="261"/>
      <c r="J1430" s="261"/>
      <c r="K1430" s="261"/>
      <c r="L1430" s="261"/>
      <c r="M1430" s="261"/>
      <c r="N1430" s="261"/>
    </row>
    <row r="1431" spans="3:14" x14ac:dyDescent="0.2">
      <c r="C1431" s="261"/>
      <c r="D1431" s="261"/>
      <c r="E1431" s="261"/>
      <c r="F1431" s="261"/>
      <c r="G1431" s="261"/>
      <c r="H1431" s="261"/>
      <c r="I1431" s="261"/>
      <c r="J1431" s="261"/>
      <c r="K1431" s="261"/>
      <c r="L1431" s="261"/>
      <c r="M1431" s="261"/>
      <c r="N1431" s="261"/>
    </row>
    <row r="1432" spans="3:14" x14ac:dyDescent="0.2">
      <c r="C1432" s="261"/>
      <c r="D1432" s="261"/>
      <c r="E1432" s="261"/>
      <c r="F1432" s="261"/>
      <c r="G1432" s="261"/>
      <c r="H1432" s="261"/>
      <c r="I1432" s="261"/>
      <c r="J1432" s="261"/>
      <c r="K1432" s="261"/>
      <c r="L1432" s="261"/>
      <c r="M1432" s="261"/>
      <c r="N1432" s="261"/>
    </row>
    <row r="1433" spans="3:14" x14ac:dyDescent="0.2">
      <c r="C1433" s="261"/>
      <c r="D1433" s="261"/>
      <c r="E1433" s="261"/>
      <c r="F1433" s="261"/>
      <c r="G1433" s="261"/>
      <c r="H1433" s="261"/>
      <c r="I1433" s="261"/>
      <c r="J1433" s="261"/>
      <c r="K1433" s="261"/>
      <c r="L1433" s="261"/>
      <c r="M1433" s="261"/>
      <c r="N1433" s="261"/>
    </row>
    <row r="1434" spans="3:14" x14ac:dyDescent="0.2">
      <c r="C1434" s="261"/>
      <c r="D1434" s="261"/>
      <c r="E1434" s="261"/>
      <c r="F1434" s="261"/>
      <c r="G1434" s="261"/>
      <c r="H1434" s="261"/>
      <c r="I1434" s="261"/>
      <c r="J1434" s="261"/>
      <c r="K1434" s="261"/>
      <c r="L1434" s="261"/>
      <c r="M1434" s="261"/>
      <c r="N1434" s="261"/>
    </row>
    <row r="1435" spans="3:14" x14ac:dyDescent="0.2">
      <c r="C1435" s="261"/>
      <c r="D1435" s="261"/>
      <c r="E1435" s="261"/>
      <c r="F1435" s="261"/>
      <c r="G1435" s="261"/>
      <c r="H1435" s="261"/>
      <c r="I1435" s="261"/>
      <c r="J1435" s="261"/>
      <c r="K1435" s="261"/>
      <c r="L1435" s="261"/>
      <c r="M1435" s="261"/>
      <c r="N1435" s="261"/>
    </row>
    <row r="1436" spans="3:14" x14ac:dyDescent="0.2">
      <c r="C1436" s="261"/>
      <c r="D1436" s="261"/>
      <c r="E1436" s="261"/>
      <c r="F1436" s="261"/>
      <c r="G1436" s="261"/>
      <c r="H1436" s="261"/>
      <c r="I1436" s="261"/>
      <c r="J1436" s="261"/>
      <c r="K1436" s="261"/>
      <c r="L1436" s="261"/>
      <c r="M1436" s="261"/>
      <c r="N1436" s="261"/>
    </row>
    <row r="1437" spans="3:14" x14ac:dyDescent="0.2">
      <c r="C1437" s="261"/>
      <c r="D1437" s="261"/>
      <c r="E1437" s="261"/>
      <c r="F1437" s="261"/>
      <c r="G1437" s="261"/>
      <c r="H1437" s="261"/>
      <c r="I1437" s="261"/>
      <c r="J1437" s="261"/>
      <c r="K1437" s="261"/>
      <c r="L1437" s="261"/>
      <c r="M1437" s="261"/>
      <c r="N1437" s="261"/>
    </row>
    <row r="1438" spans="3:14" x14ac:dyDescent="0.2">
      <c r="C1438" s="261"/>
      <c r="D1438" s="261"/>
      <c r="E1438" s="261"/>
      <c r="F1438" s="261"/>
      <c r="G1438" s="261"/>
      <c r="H1438" s="261"/>
      <c r="I1438" s="261"/>
      <c r="J1438" s="261"/>
      <c r="K1438" s="261"/>
      <c r="L1438" s="261"/>
      <c r="M1438" s="261"/>
      <c r="N1438" s="261"/>
    </row>
    <row r="1439" spans="3:14" x14ac:dyDescent="0.2">
      <c r="C1439" s="261"/>
      <c r="D1439" s="261"/>
      <c r="E1439" s="261"/>
      <c r="F1439" s="261"/>
      <c r="G1439" s="261"/>
      <c r="H1439" s="261"/>
      <c r="I1439" s="261"/>
      <c r="J1439" s="261"/>
      <c r="K1439" s="261"/>
      <c r="L1439" s="261"/>
      <c r="M1439" s="261"/>
      <c r="N1439" s="261"/>
    </row>
    <row r="1440" spans="3:14" x14ac:dyDescent="0.2">
      <c r="C1440" s="261"/>
      <c r="D1440" s="261"/>
      <c r="E1440" s="261"/>
      <c r="F1440" s="261"/>
      <c r="G1440" s="261"/>
      <c r="H1440" s="261"/>
      <c r="I1440" s="261"/>
      <c r="J1440" s="261"/>
      <c r="K1440" s="261"/>
      <c r="L1440" s="261"/>
      <c r="M1440" s="261"/>
      <c r="N1440" s="261"/>
    </row>
    <row r="1441" spans="3:14" x14ac:dyDescent="0.2">
      <c r="C1441" s="261"/>
      <c r="D1441" s="261"/>
      <c r="E1441" s="261"/>
      <c r="F1441" s="261"/>
      <c r="G1441" s="261"/>
      <c r="H1441" s="261"/>
      <c r="I1441" s="261"/>
      <c r="J1441" s="261"/>
      <c r="K1441" s="261"/>
      <c r="L1441" s="261"/>
      <c r="M1441" s="261"/>
      <c r="N1441" s="261"/>
    </row>
    <row r="1442" spans="3:14" x14ac:dyDescent="0.2">
      <c r="C1442" s="261"/>
      <c r="D1442" s="261"/>
      <c r="E1442" s="261"/>
      <c r="F1442" s="261"/>
      <c r="G1442" s="261"/>
      <c r="H1442" s="261"/>
      <c r="I1442" s="261"/>
      <c r="J1442" s="261"/>
      <c r="K1442" s="261"/>
      <c r="L1442" s="261"/>
      <c r="M1442" s="261"/>
      <c r="N1442" s="261"/>
    </row>
    <row r="1443" spans="3:14" x14ac:dyDescent="0.2">
      <c r="C1443" s="261"/>
      <c r="D1443" s="261"/>
      <c r="E1443" s="261"/>
      <c r="F1443" s="261"/>
      <c r="G1443" s="261"/>
      <c r="H1443" s="261"/>
      <c r="I1443" s="261"/>
      <c r="J1443" s="261"/>
      <c r="K1443" s="261"/>
      <c r="L1443" s="261"/>
      <c r="M1443" s="261"/>
      <c r="N1443" s="261"/>
    </row>
    <row r="1444" spans="3:14" x14ac:dyDescent="0.2">
      <c r="C1444" s="261"/>
      <c r="D1444" s="261"/>
      <c r="E1444" s="261"/>
      <c r="F1444" s="261"/>
      <c r="G1444" s="261"/>
      <c r="H1444" s="261"/>
      <c r="I1444" s="261"/>
      <c r="J1444" s="261"/>
      <c r="K1444" s="261"/>
      <c r="L1444" s="261"/>
      <c r="M1444" s="261"/>
      <c r="N1444" s="261"/>
    </row>
    <row r="1445" spans="3:14" x14ac:dyDescent="0.2">
      <c r="C1445" s="261"/>
      <c r="D1445" s="261"/>
      <c r="E1445" s="261"/>
      <c r="F1445" s="261"/>
      <c r="G1445" s="261"/>
      <c r="H1445" s="261"/>
      <c r="I1445" s="261"/>
      <c r="J1445" s="261"/>
      <c r="K1445" s="261"/>
      <c r="L1445" s="261"/>
      <c r="M1445" s="261"/>
      <c r="N1445" s="261"/>
    </row>
    <row r="1446" spans="3:14" x14ac:dyDescent="0.2">
      <c r="C1446" s="261"/>
      <c r="D1446" s="261"/>
      <c r="E1446" s="261"/>
      <c r="F1446" s="261"/>
      <c r="G1446" s="261"/>
      <c r="H1446" s="261"/>
      <c r="I1446" s="261"/>
      <c r="J1446" s="261"/>
      <c r="K1446" s="261"/>
      <c r="L1446" s="261"/>
      <c r="M1446" s="261"/>
      <c r="N1446" s="261"/>
    </row>
    <row r="1447" spans="3:14" x14ac:dyDescent="0.2">
      <c r="C1447" s="261"/>
      <c r="D1447" s="261"/>
      <c r="E1447" s="261"/>
      <c r="F1447" s="261"/>
      <c r="G1447" s="261"/>
      <c r="H1447" s="261"/>
      <c r="I1447" s="261"/>
      <c r="J1447" s="261"/>
      <c r="K1447" s="261"/>
      <c r="L1447" s="261"/>
      <c r="M1447" s="261"/>
      <c r="N1447" s="261"/>
    </row>
    <row r="1448" spans="3:14" x14ac:dyDescent="0.2">
      <c r="C1448" s="261"/>
      <c r="D1448" s="261"/>
      <c r="E1448" s="261"/>
      <c r="F1448" s="261"/>
      <c r="G1448" s="261"/>
      <c r="H1448" s="261"/>
      <c r="I1448" s="261"/>
      <c r="J1448" s="261"/>
      <c r="K1448" s="261"/>
      <c r="L1448" s="261"/>
      <c r="M1448" s="261"/>
      <c r="N1448" s="261"/>
    </row>
    <row r="1449" spans="3:14" x14ac:dyDescent="0.2">
      <c r="C1449" s="261"/>
      <c r="D1449" s="261"/>
      <c r="E1449" s="261"/>
      <c r="F1449" s="261"/>
      <c r="G1449" s="261"/>
      <c r="H1449" s="261"/>
      <c r="I1449" s="261"/>
      <c r="J1449" s="261"/>
      <c r="K1449" s="261"/>
      <c r="L1449" s="261"/>
      <c r="M1449" s="261"/>
      <c r="N1449" s="261"/>
    </row>
    <row r="1450" spans="3:14" x14ac:dyDescent="0.2">
      <c r="C1450" s="261"/>
      <c r="D1450" s="261"/>
      <c r="E1450" s="261"/>
      <c r="F1450" s="261"/>
      <c r="G1450" s="261"/>
      <c r="H1450" s="261"/>
      <c r="I1450" s="261"/>
      <c r="J1450" s="261"/>
      <c r="K1450" s="261"/>
      <c r="L1450" s="261"/>
      <c r="M1450" s="261"/>
      <c r="N1450" s="261"/>
    </row>
    <row r="1451" spans="3:14" x14ac:dyDescent="0.2">
      <c r="C1451" s="261"/>
      <c r="D1451" s="261"/>
      <c r="E1451" s="261"/>
      <c r="F1451" s="261"/>
      <c r="G1451" s="261"/>
      <c r="H1451" s="261"/>
      <c r="I1451" s="261"/>
      <c r="J1451" s="261"/>
      <c r="K1451" s="261"/>
      <c r="L1451" s="261"/>
      <c r="M1451" s="261"/>
      <c r="N1451" s="261"/>
    </row>
    <row r="1452" spans="3:14" x14ac:dyDescent="0.2">
      <c r="C1452" s="261"/>
      <c r="D1452" s="261"/>
      <c r="E1452" s="261"/>
      <c r="F1452" s="261"/>
      <c r="G1452" s="261"/>
      <c r="H1452" s="261"/>
      <c r="I1452" s="261"/>
      <c r="J1452" s="261"/>
      <c r="K1452" s="261"/>
      <c r="L1452" s="261"/>
      <c r="M1452" s="261"/>
      <c r="N1452" s="261"/>
    </row>
    <row r="1453" spans="3:14" x14ac:dyDescent="0.2">
      <c r="C1453" s="261"/>
      <c r="D1453" s="261"/>
      <c r="E1453" s="261"/>
      <c r="F1453" s="261"/>
      <c r="G1453" s="261"/>
      <c r="H1453" s="261"/>
      <c r="I1453" s="261"/>
      <c r="J1453" s="261"/>
      <c r="K1453" s="261"/>
      <c r="L1453" s="261"/>
      <c r="M1453" s="261"/>
      <c r="N1453" s="261"/>
    </row>
    <row r="1454" spans="3:14" x14ac:dyDescent="0.2">
      <c r="C1454" s="261"/>
      <c r="D1454" s="261"/>
      <c r="E1454" s="261"/>
      <c r="F1454" s="261"/>
      <c r="G1454" s="261"/>
      <c r="H1454" s="261"/>
      <c r="I1454" s="261"/>
      <c r="J1454" s="261"/>
      <c r="K1454" s="261"/>
      <c r="L1454" s="261"/>
      <c r="M1454" s="261"/>
      <c r="N1454" s="261"/>
    </row>
    <row r="1455" spans="3:14" x14ac:dyDescent="0.2">
      <c r="C1455" s="261"/>
      <c r="D1455" s="261"/>
      <c r="E1455" s="261"/>
      <c r="F1455" s="261"/>
      <c r="G1455" s="261"/>
      <c r="H1455" s="261"/>
      <c r="I1455" s="261"/>
      <c r="J1455" s="261"/>
      <c r="K1455" s="261"/>
      <c r="L1455" s="261"/>
      <c r="M1455" s="261"/>
      <c r="N1455" s="261"/>
    </row>
    <row r="1456" spans="3:14" x14ac:dyDescent="0.2">
      <c r="C1456" s="261"/>
      <c r="D1456" s="261"/>
      <c r="E1456" s="261"/>
      <c r="F1456" s="261"/>
      <c r="G1456" s="261"/>
      <c r="H1456" s="261"/>
      <c r="I1456" s="261"/>
      <c r="J1456" s="261"/>
      <c r="K1456" s="261"/>
      <c r="L1456" s="261"/>
      <c r="M1456" s="261"/>
      <c r="N1456" s="261"/>
    </row>
    <row r="1457" spans="3:14" x14ac:dyDescent="0.2">
      <c r="C1457" s="261"/>
      <c r="D1457" s="261"/>
      <c r="E1457" s="261"/>
      <c r="F1457" s="261"/>
      <c r="G1457" s="261"/>
      <c r="H1457" s="261"/>
      <c r="I1457" s="261"/>
      <c r="J1457" s="261"/>
      <c r="K1457" s="261"/>
      <c r="L1457" s="261"/>
      <c r="M1457" s="261"/>
      <c r="N1457" s="261"/>
    </row>
    <row r="1458" spans="3:14" x14ac:dyDescent="0.2">
      <c r="C1458" s="261"/>
      <c r="D1458" s="261"/>
      <c r="E1458" s="261"/>
      <c r="F1458" s="261"/>
      <c r="G1458" s="261"/>
      <c r="H1458" s="261"/>
      <c r="I1458" s="261"/>
      <c r="J1458" s="261"/>
      <c r="K1458" s="261"/>
      <c r="L1458" s="261"/>
      <c r="M1458" s="261"/>
      <c r="N1458" s="261"/>
    </row>
    <row r="1459" spans="3:14" x14ac:dyDescent="0.2">
      <c r="C1459" s="261"/>
      <c r="D1459" s="261"/>
      <c r="E1459" s="261"/>
      <c r="F1459" s="261"/>
      <c r="G1459" s="261"/>
      <c r="H1459" s="261"/>
      <c r="I1459" s="261"/>
      <c r="J1459" s="261"/>
      <c r="K1459" s="261"/>
      <c r="L1459" s="261"/>
      <c r="M1459" s="261"/>
      <c r="N1459" s="261"/>
    </row>
    <row r="1460" spans="3:14" x14ac:dyDescent="0.2">
      <c r="C1460" s="261"/>
      <c r="D1460" s="261"/>
      <c r="E1460" s="261"/>
      <c r="F1460" s="261"/>
      <c r="G1460" s="261"/>
      <c r="H1460" s="261"/>
      <c r="I1460" s="261"/>
      <c r="J1460" s="261"/>
      <c r="K1460" s="261"/>
      <c r="L1460" s="261"/>
      <c r="M1460" s="261"/>
      <c r="N1460" s="261"/>
    </row>
    <row r="1461" spans="3:14" x14ac:dyDescent="0.2">
      <c r="C1461" s="261"/>
      <c r="D1461" s="261"/>
      <c r="E1461" s="261"/>
      <c r="F1461" s="261"/>
      <c r="G1461" s="261"/>
      <c r="H1461" s="261"/>
      <c r="I1461" s="261"/>
      <c r="J1461" s="261"/>
      <c r="K1461" s="261"/>
      <c r="L1461" s="261"/>
      <c r="M1461" s="261"/>
      <c r="N1461" s="261"/>
    </row>
    <row r="1462" spans="3:14" x14ac:dyDescent="0.2">
      <c r="C1462" s="261"/>
      <c r="D1462" s="261"/>
      <c r="E1462" s="261"/>
      <c r="F1462" s="261"/>
      <c r="G1462" s="261"/>
      <c r="H1462" s="261"/>
      <c r="I1462" s="261"/>
      <c r="J1462" s="261"/>
      <c r="K1462" s="261"/>
      <c r="L1462" s="261"/>
      <c r="M1462" s="261"/>
      <c r="N1462" s="261"/>
    </row>
    <row r="1463" spans="3:14" x14ac:dyDescent="0.2">
      <c r="C1463" s="261"/>
      <c r="D1463" s="261"/>
      <c r="E1463" s="261"/>
      <c r="F1463" s="261"/>
      <c r="G1463" s="261"/>
      <c r="H1463" s="261"/>
      <c r="I1463" s="261"/>
      <c r="J1463" s="261"/>
      <c r="K1463" s="261"/>
      <c r="L1463" s="261"/>
      <c r="M1463" s="261"/>
      <c r="N1463" s="261"/>
    </row>
    <row r="1464" spans="3:14" x14ac:dyDescent="0.2">
      <c r="C1464" s="261"/>
      <c r="D1464" s="261"/>
      <c r="E1464" s="261"/>
      <c r="F1464" s="261"/>
      <c r="G1464" s="261"/>
      <c r="H1464" s="261"/>
      <c r="I1464" s="261"/>
      <c r="J1464" s="261"/>
      <c r="K1464" s="261"/>
      <c r="L1464" s="261"/>
      <c r="M1464" s="261"/>
      <c r="N1464" s="261"/>
    </row>
    <row r="1465" spans="3:14" x14ac:dyDescent="0.2">
      <c r="C1465" s="261"/>
      <c r="D1465" s="261"/>
      <c r="E1465" s="261"/>
      <c r="F1465" s="261"/>
      <c r="G1465" s="261"/>
      <c r="H1465" s="261"/>
      <c r="I1465" s="261"/>
      <c r="J1465" s="261"/>
      <c r="K1465" s="261"/>
      <c r="L1465" s="261"/>
      <c r="M1465" s="261"/>
      <c r="N1465" s="261"/>
    </row>
    <row r="1466" spans="3:14" x14ac:dyDescent="0.2">
      <c r="C1466" s="261"/>
      <c r="D1466" s="261"/>
      <c r="E1466" s="261"/>
      <c r="F1466" s="261"/>
      <c r="G1466" s="261"/>
      <c r="H1466" s="261"/>
      <c r="I1466" s="261"/>
      <c r="J1466" s="261"/>
      <c r="K1466" s="261"/>
      <c r="L1466" s="261"/>
      <c r="M1466" s="261"/>
      <c r="N1466" s="261"/>
    </row>
    <row r="1467" spans="3:14" x14ac:dyDescent="0.2">
      <c r="C1467" s="261"/>
      <c r="D1467" s="261"/>
      <c r="E1467" s="261"/>
      <c r="F1467" s="261"/>
      <c r="G1467" s="261"/>
      <c r="H1467" s="261"/>
      <c r="I1467" s="261"/>
      <c r="J1467" s="261"/>
      <c r="K1467" s="261"/>
      <c r="L1467" s="261"/>
      <c r="M1467" s="261"/>
      <c r="N1467" s="261"/>
    </row>
    <row r="1468" spans="3:14" x14ac:dyDescent="0.2">
      <c r="C1468" s="261"/>
      <c r="D1468" s="261"/>
      <c r="E1468" s="261"/>
      <c r="F1468" s="261"/>
      <c r="G1468" s="261"/>
      <c r="H1468" s="261"/>
      <c r="I1468" s="261"/>
      <c r="J1468" s="261"/>
      <c r="K1468" s="261"/>
      <c r="L1468" s="261"/>
      <c r="M1468" s="261"/>
      <c r="N1468" s="261"/>
    </row>
    <row r="1469" spans="3:14" x14ac:dyDescent="0.2">
      <c r="C1469" s="261"/>
      <c r="D1469" s="261"/>
      <c r="E1469" s="261"/>
      <c r="F1469" s="261"/>
      <c r="G1469" s="261"/>
      <c r="H1469" s="261"/>
      <c r="I1469" s="261"/>
      <c r="J1469" s="261"/>
      <c r="K1469" s="261"/>
      <c r="L1469" s="261"/>
      <c r="M1469" s="261"/>
      <c r="N1469" s="261"/>
    </row>
    <row r="1470" spans="3:14" x14ac:dyDescent="0.2">
      <c r="C1470" s="261"/>
      <c r="D1470" s="261"/>
      <c r="E1470" s="261"/>
      <c r="F1470" s="261"/>
      <c r="G1470" s="261"/>
      <c r="H1470" s="261"/>
      <c r="I1470" s="261"/>
      <c r="J1470" s="261"/>
      <c r="K1470" s="261"/>
      <c r="L1470" s="261"/>
      <c r="M1470" s="261"/>
      <c r="N1470" s="261"/>
    </row>
    <row r="1471" spans="3:14" x14ac:dyDescent="0.2">
      <c r="C1471" s="261"/>
      <c r="D1471" s="261"/>
      <c r="E1471" s="261"/>
      <c r="F1471" s="261"/>
      <c r="G1471" s="261"/>
      <c r="H1471" s="261"/>
      <c r="I1471" s="261"/>
      <c r="J1471" s="261"/>
      <c r="K1471" s="261"/>
      <c r="L1471" s="261"/>
      <c r="M1471" s="261"/>
      <c r="N1471" s="261"/>
    </row>
    <row r="1472" spans="3:14" x14ac:dyDescent="0.2">
      <c r="C1472" s="261"/>
      <c r="D1472" s="261"/>
      <c r="E1472" s="261"/>
      <c r="F1472" s="261"/>
      <c r="G1472" s="261"/>
      <c r="H1472" s="261"/>
      <c r="I1472" s="261"/>
      <c r="J1472" s="261"/>
      <c r="K1472" s="261"/>
      <c r="L1472" s="261"/>
      <c r="M1472" s="261"/>
      <c r="N1472" s="261"/>
    </row>
    <row r="1473" spans="3:14" x14ac:dyDescent="0.2">
      <c r="C1473" s="261"/>
      <c r="D1473" s="261"/>
      <c r="E1473" s="261"/>
      <c r="F1473" s="261"/>
      <c r="G1473" s="261"/>
      <c r="H1473" s="261"/>
      <c r="I1473" s="261"/>
      <c r="J1473" s="261"/>
      <c r="K1473" s="261"/>
      <c r="L1473" s="261"/>
      <c r="M1473" s="261"/>
      <c r="N1473" s="261"/>
    </row>
    <row r="1474" spans="3:14" x14ac:dyDescent="0.2">
      <c r="C1474" s="261"/>
      <c r="D1474" s="261"/>
      <c r="E1474" s="261"/>
      <c r="F1474" s="261"/>
      <c r="G1474" s="261"/>
      <c r="H1474" s="261"/>
      <c r="I1474" s="261"/>
      <c r="J1474" s="261"/>
      <c r="K1474" s="261"/>
      <c r="L1474" s="261"/>
      <c r="M1474" s="261"/>
      <c r="N1474" s="261"/>
    </row>
    <row r="1475" spans="3:14" x14ac:dyDescent="0.2">
      <c r="C1475" s="261"/>
      <c r="D1475" s="261"/>
      <c r="E1475" s="261"/>
      <c r="F1475" s="261"/>
      <c r="G1475" s="261"/>
      <c r="H1475" s="261"/>
      <c r="I1475" s="261"/>
      <c r="J1475" s="261"/>
      <c r="K1475" s="261"/>
      <c r="L1475" s="261"/>
      <c r="M1475" s="261"/>
      <c r="N1475" s="261"/>
    </row>
    <row r="1476" spans="3:14" x14ac:dyDescent="0.2">
      <c r="C1476" s="261"/>
      <c r="D1476" s="261"/>
      <c r="E1476" s="261"/>
      <c r="F1476" s="261"/>
      <c r="G1476" s="261"/>
      <c r="H1476" s="261"/>
      <c r="I1476" s="261"/>
      <c r="J1476" s="261"/>
      <c r="K1476" s="261"/>
      <c r="L1476" s="261"/>
      <c r="M1476" s="261"/>
      <c r="N1476" s="261"/>
    </row>
    <row r="1477" spans="3:14" x14ac:dyDescent="0.2">
      <c r="C1477" s="261"/>
      <c r="D1477" s="261"/>
      <c r="E1477" s="261"/>
      <c r="F1477" s="261"/>
      <c r="G1477" s="261"/>
      <c r="H1477" s="261"/>
      <c r="I1477" s="261"/>
      <c r="J1477" s="261"/>
      <c r="K1477" s="261"/>
      <c r="L1477" s="261"/>
      <c r="M1477" s="261"/>
      <c r="N1477" s="261"/>
    </row>
    <row r="1478" spans="3:14" x14ac:dyDescent="0.2">
      <c r="C1478" s="261"/>
      <c r="D1478" s="261"/>
      <c r="E1478" s="261"/>
      <c r="F1478" s="261"/>
      <c r="G1478" s="261"/>
      <c r="H1478" s="261"/>
      <c r="I1478" s="261"/>
      <c r="J1478" s="261"/>
      <c r="K1478" s="261"/>
      <c r="L1478" s="261"/>
      <c r="M1478" s="261"/>
      <c r="N1478" s="261"/>
    </row>
    <row r="1479" spans="3:14" x14ac:dyDescent="0.2">
      <c r="C1479" s="261"/>
      <c r="D1479" s="261"/>
      <c r="E1479" s="261"/>
      <c r="F1479" s="261"/>
      <c r="G1479" s="261"/>
      <c r="H1479" s="261"/>
      <c r="I1479" s="261"/>
      <c r="J1479" s="261"/>
      <c r="K1479" s="261"/>
      <c r="L1479" s="261"/>
      <c r="M1479" s="261"/>
      <c r="N1479" s="261"/>
    </row>
    <row r="1480" spans="3:14" x14ac:dyDescent="0.2">
      <c r="C1480" s="261"/>
      <c r="D1480" s="261"/>
      <c r="E1480" s="261"/>
      <c r="F1480" s="261"/>
      <c r="G1480" s="261"/>
      <c r="H1480" s="261"/>
      <c r="I1480" s="261"/>
      <c r="J1480" s="261"/>
      <c r="K1480" s="261"/>
      <c r="L1480" s="261"/>
      <c r="M1480" s="261"/>
      <c r="N1480" s="261"/>
    </row>
    <row r="1481" spans="3:14" x14ac:dyDescent="0.2">
      <c r="C1481" s="261"/>
      <c r="D1481" s="261"/>
      <c r="E1481" s="261"/>
      <c r="F1481" s="261"/>
      <c r="G1481" s="261"/>
      <c r="H1481" s="261"/>
      <c r="I1481" s="261"/>
      <c r="J1481" s="261"/>
      <c r="K1481" s="261"/>
      <c r="L1481" s="261"/>
      <c r="M1481" s="261"/>
      <c r="N1481" s="261"/>
    </row>
    <row r="1482" spans="3:14" x14ac:dyDescent="0.2">
      <c r="C1482" s="261"/>
      <c r="D1482" s="261"/>
      <c r="E1482" s="261"/>
      <c r="F1482" s="261"/>
      <c r="G1482" s="261"/>
      <c r="H1482" s="261"/>
      <c r="I1482" s="261"/>
      <c r="J1482" s="261"/>
      <c r="K1482" s="261"/>
      <c r="L1482" s="261"/>
      <c r="M1482" s="261"/>
      <c r="N1482" s="261"/>
    </row>
    <row r="1483" spans="3:14" x14ac:dyDescent="0.2">
      <c r="C1483" s="261"/>
      <c r="D1483" s="261"/>
      <c r="E1483" s="261"/>
      <c r="F1483" s="261"/>
      <c r="G1483" s="261"/>
      <c r="H1483" s="261"/>
      <c r="I1483" s="261"/>
      <c r="J1483" s="261"/>
      <c r="K1483" s="261"/>
      <c r="L1483" s="261"/>
      <c r="M1483" s="261"/>
      <c r="N1483" s="261"/>
    </row>
    <row r="1484" spans="3:14" x14ac:dyDescent="0.2">
      <c r="C1484" s="261"/>
      <c r="D1484" s="261"/>
      <c r="E1484" s="261"/>
      <c r="F1484" s="261"/>
      <c r="G1484" s="261"/>
      <c r="H1484" s="261"/>
      <c r="I1484" s="261"/>
      <c r="J1484" s="261"/>
      <c r="K1484" s="261"/>
      <c r="L1484" s="261"/>
      <c r="M1484" s="261"/>
      <c r="N1484" s="261"/>
    </row>
    <row r="1485" spans="3:14" x14ac:dyDescent="0.2">
      <c r="C1485" s="261"/>
      <c r="D1485" s="261"/>
      <c r="E1485" s="261"/>
      <c r="F1485" s="261"/>
      <c r="G1485" s="261"/>
      <c r="H1485" s="261"/>
      <c r="I1485" s="261"/>
      <c r="J1485" s="261"/>
      <c r="K1485" s="261"/>
      <c r="L1485" s="261"/>
      <c r="M1485" s="261"/>
      <c r="N1485" s="261"/>
    </row>
    <row r="1486" spans="3:14" x14ac:dyDescent="0.2">
      <c r="C1486" s="261"/>
      <c r="D1486" s="261"/>
      <c r="E1486" s="261"/>
      <c r="F1486" s="261"/>
      <c r="G1486" s="261"/>
      <c r="H1486" s="261"/>
      <c r="I1486" s="261"/>
      <c r="J1486" s="261"/>
      <c r="K1486" s="261"/>
      <c r="L1486" s="261"/>
      <c r="M1486" s="261"/>
      <c r="N1486" s="261"/>
    </row>
    <row r="1487" spans="3:14" x14ac:dyDescent="0.2">
      <c r="C1487" s="261"/>
      <c r="D1487" s="261"/>
      <c r="E1487" s="261"/>
      <c r="F1487" s="261"/>
      <c r="G1487" s="261"/>
      <c r="H1487" s="261"/>
      <c r="I1487" s="261"/>
      <c r="J1487" s="261"/>
      <c r="K1487" s="261"/>
      <c r="L1487" s="261"/>
      <c r="M1487" s="261"/>
      <c r="N1487" s="261"/>
    </row>
    <row r="1488" spans="3:14" x14ac:dyDescent="0.2">
      <c r="C1488" s="261"/>
      <c r="D1488" s="261"/>
      <c r="E1488" s="261"/>
      <c r="F1488" s="261"/>
      <c r="G1488" s="261"/>
      <c r="H1488" s="261"/>
      <c r="I1488" s="261"/>
      <c r="J1488" s="261"/>
      <c r="K1488" s="261"/>
      <c r="L1488" s="261"/>
      <c r="M1488" s="261"/>
      <c r="N1488" s="261"/>
    </row>
    <row r="1489" spans="3:14" x14ac:dyDescent="0.2">
      <c r="C1489" s="261"/>
      <c r="D1489" s="261"/>
      <c r="E1489" s="261"/>
      <c r="F1489" s="261"/>
      <c r="G1489" s="261"/>
      <c r="H1489" s="261"/>
      <c r="I1489" s="261"/>
      <c r="J1489" s="261"/>
      <c r="K1489" s="261"/>
      <c r="L1489" s="261"/>
      <c r="M1489" s="261"/>
      <c r="N1489" s="261"/>
    </row>
    <row r="1490" spans="3:14" x14ac:dyDescent="0.2">
      <c r="C1490" s="261"/>
      <c r="D1490" s="261"/>
      <c r="E1490" s="261"/>
      <c r="F1490" s="261"/>
      <c r="G1490" s="261"/>
      <c r="H1490" s="261"/>
      <c r="I1490" s="261"/>
      <c r="J1490" s="261"/>
      <c r="K1490" s="261"/>
      <c r="L1490" s="261"/>
      <c r="M1490" s="261"/>
      <c r="N1490" s="261"/>
    </row>
    <row r="1491" spans="3:14" x14ac:dyDescent="0.2">
      <c r="C1491" s="261"/>
      <c r="D1491" s="261"/>
      <c r="E1491" s="261"/>
      <c r="F1491" s="261"/>
      <c r="G1491" s="261"/>
      <c r="H1491" s="261"/>
      <c r="I1491" s="261"/>
      <c r="J1491" s="261"/>
      <c r="K1491" s="261"/>
      <c r="L1491" s="261"/>
      <c r="M1491" s="261"/>
      <c r="N1491" s="261"/>
    </row>
    <row r="1492" spans="3:14" x14ac:dyDescent="0.2">
      <c r="C1492" s="261"/>
      <c r="D1492" s="261"/>
      <c r="E1492" s="261"/>
      <c r="F1492" s="261"/>
      <c r="G1492" s="261"/>
      <c r="H1492" s="261"/>
      <c r="I1492" s="261"/>
      <c r="J1492" s="261"/>
      <c r="K1492" s="261"/>
      <c r="L1492" s="261"/>
      <c r="M1492" s="261"/>
      <c r="N1492" s="261"/>
    </row>
    <row r="1493" spans="3:14" x14ac:dyDescent="0.2">
      <c r="C1493" s="261"/>
      <c r="D1493" s="261"/>
      <c r="E1493" s="261"/>
      <c r="F1493" s="261"/>
      <c r="G1493" s="261"/>
      <c r="H1493" s="261"/>
      <c r="I1493" s="261"/>
      <c r="J1493" s="261"/>
      <c r="K1493" s="261"/>
      <c r="L1493" s="261"/>
      <c r="M1493" s="261"/>
      <c r="N1493" s="261"/>
    </row>
    <row r="1494" spans="3:14" x14ac:dyDescent="0.2">
      <c r="C1494" s="261"/>
      <c r="D1494" s="261"/>
      <c r="E1494" s="261"/>
      <c r="F1494" s="261"/>
      <c r="G1494" s="261"/>
      <c r="H1494" s="261"/>
      <c r="I1494" s="261"/>
      <c r="J1494" s="261"/>
      <c r="K1494" s="261"/>
      <c r="L1494" s="261"/>
      <c r="M1494" s="261"/>
      <c r="N1494" s="261"/>
    </row>
    <row r="1495" spans="3:14" x14ac:dyDescent="0.2">
      <c r="C1495" s="261"/>
      <c r="D1495" s="261"/>
      <c r="E1495" s="261"/>
      <c r="F1495" s="261"/>
      <c r="G1495" s="261"/>
      <c r="H1495" s="261"/>
      <c r="I1495" s="261"/>
      <c r="J1495" s="261"/>
      <c r="K1495" s="261"/>
      <c r="L1495" s="261"/>
      <c r="M1495" s="261"/>
      <c r="N1495" s="261"/>
    </row>
    <row r="1496" spans="3:14" x14ac:dyDescent="0.2">
      <c r="C1496" s="261"/>
      <c r="D1496" s="261"/>
      <c r="E1496" s="261"/>
      <c r="F1496" s="261"/>
      <c r="G1496" s="261"/>
      <c r="H1496" s="261"/>
      <c r="I1496" s="261"/>
      <c r="J1496" s="261"/>
      <c r="K1496" s="261"/>
      <c r="L1496" s="261"/>
      <c r="M1496" s="261"/>
      <c r="N1496" s="261"/>
    </row>
    <row r="1497" spans="3:14" x14ac:dyDescent="0.2">
      <c r="C1497" s="261"/>
      <c r="D1497" s="261"/>
      <c r="E1497" s="261"/>
      <c r="F1497" s="261"/>
      <c r="G1497" s="261"/>
      <c r="H1497" s="261"/>
      <c r="I1497" s="261"/>
      <c r="J1497" s="261"/>
      <c r="K1497" s="261"/>
      <c r="L1497" s="261"/>
      <c r="M1497" s="261"/>
      <c r="N1497" s="261"/>
    </row>
    <row r="1498" spans="3:14" x14ac:dyDescent="0.2">
      <c r="C1498" s="261"/>
      <c r="D1498" s="261"/>
      <c r="E1498" s="261"/>
      <c r="F1498" s="261"/>
      <c r="G1498" s="261"/>
      <c r="H1498" s="261"/>
      <c r="I1498" s="261"/>
      <c r="J1498" s="261"/>
      <c r="K1498" s="261"/>
      <c r="L1498" s="261"/>
      <c r="M1498" s="261"/>
      <c r="N1498" s="261"/>
    </row>
    <row r="1499" spans="3:14" x14ac:dyDescent="0.2">
      <c r="C1499" s="261"/>
      <c r="D1499" s="261"/>
      <c r="E1499" s="261"/>
      <c r="F1499" s="261"/>
      <c r="G1499" s="261"/>
      <c r="H1499" s="261"/>
      <c r="I1499" s="261"/>
      <c r="J1499" s="261"/>
      <c r="K1499" s="261"/>
      <c r="L1499" s="261"/>
      <c r="M1499" s="261"/>
      <c r="N1499" s="261"/>
    </row>
    <row r="1500" spans="3:14" x14ac:dyDescent="0.2">
      <c r="C1500" s="261"/>
      <c r="D1500" s="261"/>
      <c r="E1500" s="261"/>
      <c r="F1500" s="261"/>
      <c r="G1500" s="261"/>
      <c r="H1500" s="261"/>
      <c r="I1500" s="261"/>
      <c r="J1500" s="261"/>
      <c r="K1500" s="261"/>
      <c r="L1500" s="261"/>
      <c r="M1500" s="261"/>
      <c r="N1500" s="261"/>
    </row>
    <row r="1501" spans="3:14" x14ac:dyDescent="0.2">
      <c r="C1501" s="261"/>
      <c r="D1501" s="261"/>
      <c r="E1501" s="261"/>
      <c r="F1501" s="261"/>
      <c r="G1501" s="261"/>
      <c r="H1501" s="261"/>
      <c r="I1501" s="261"/>
      <c r="J1501" s="261"/>
      <c r="K1501" s="261"/>
      <c r="L1501" s="261"/>
      <c r="M1501" s="261"/>
      <c r="N1501" s="261"/>
    </row>
    <row r="1502" spans="3:14" x14ac:dyDescent="0.2">
      <c r="C1502" s="261"/>
      <c r="D1502" s="261"/>
      <c r="E1502" s="261"/>
      <c r="F1502" s="261"/>
      <c r="G1502" s="261"/>
      <c r="H1502" s="261"/>
      <c r="I1502" s="261"/>
      <c r="J1502" s="261"/>
      <c r="K1502" s="261"/>
      <c r="L1502" s="261"/>
      <c r="M1502" s="261"/>
      <c r="N1502" s="261"/>
    </row>
    <row r="1503" spans="3:14" x14ac:dyDescent="0.2">
      <c r="C1503" s="261"/>
      <c r="D1503" s="261"/>
      <c r="E1503" s="261"/>
      <c r="F1503" s="261"/>
      <c r="G1503" s="261"/>
      <c r="H1503" s="261"/>
      <c r="I1503" s="261"/>
      <c r="J1503" s="261"/>
      <c r="K1503" s="261"/>
      <c r="L1503" s="261"/>
      <c r="M1503" s="261"/>
      <c r="N1503" s="261"/>
    </row>
    <row r="1504" spans="3:14" x14ac:dyDescent="0.2">
      <c r="C1504" s="261"/>
      <c r="D1504" s="261"/>
      <c r="E1504" s="261"/>
      <c r="F1504" s="261"/>
      <c r="G1504" s="261"/>
      <c r="H1504" s="261"/>
      <c r="I1504" s="261"/>
      <c r="J1504" s="261"/>
      <c r="K1504" s="261"/>
      <c r="L1504" s="261"/>
      <c r="M1504" s="261"/>
      <c r="N1504" s="261"/>
    </row>
    <row r="1505" spans="3:14" x14ac:dyDescent="0.2">
      <c r="C1505" s="261"/>
      <c r="D1505" s="261"/>
      <c r="E1505" s="261"/>
      <c r="F1505" s="261"/>
      <c r="G1505" s="261"/>
      <c r="H1505" s="261"/>
      <c r="I1505" s="261"/>
      <c r="J1505" s="261"/>
      <c r="K1505" s="261"/>
      <c r="L1505" s="261"/>
      <c r="M1505" s="261"/>
      <c r="N1505" s="261"/>
    </row>
    <row r="1506" spans="3:14" x14ac:dyDescent="0.2">
      <c r="C1506" s="261"/>
      <c r="D1506" s="261"/>
      <c r="E1506" s="261"/>
      <c r="F1506" s="261"/>
      <c r="G1506" s="261"/>
      <c r="H1506" s="261"/>
      <c r="I1506" s="261"/>
      <c r="J1506" s="261"/>
      <c r="K1506" s="261"/>
      <c r="L1506" s="261"/>
      <c r="M1506" s="261"/>
      <c r="N1506" s="261"/>
    </row>
    <row r="1507" spans="3:14" x14ac:dyDescent="0.2">
      <c r="C1507" s="261"/>
      <c r="D1507" s="261"/>
      <c r="E1507" s="261"/>
      <c r="F1507" s="261"/>
      <c r="G1507" s="261"/>
      <c r="H1507" s="261"/>
      <c r="I1507" s="261"/>
      <c r="J1507" s="261"/>
      <c r="K1507" s="261"/>
      <c r="L1507" s="261"/>
      <c r="M1507" s="261"/>
      <c r="N1507" s="261"/>
    </row>
    <row r="1508" spans="3:14" x14ac:dyDescent="0.2">
      <c r="C1508" s="261"/>
      <c r="D1508" s="261"/>
      <c r="E1508" s="261"/>
      <c r="F1508" s="261"/>
      <c r="G1508" s="261"/>
      <c r="H1508" s="261"/>
      <c r="I1508" s="261"/>
      <c r="J1508" s="261"/>
      <c r="K1508" s="261"/>
      <c r="L1508" s="261"/>
      <c r="M1508" s="261"/>
      <c r="N1508" s="261"/>
    </row>
    <row r="1509" spans="3:14" x14ac:dyDescent="0.2">
      <c r="C1509" s="261"/>
      <c r="D1509" s="261"/>
      <c r="E1509" s="261"/>
      <c r="F1509" s="261"/>
      <c r="G1509" s="261"/>
      <c r="H1509" s="261"/>
      <c r="I1509" s="261"/>
      <c r="J1509" s="261"/>
      <c r="K1509" s="261"/>
      <c r="L1509" s="261"/>
      <c r="M1509" s="261"/>
      <c r="N1509" s="261"/>
    </row>
    <row r="1510" spans="3:14" x14ac:dyDescent="0.2">
      <c r="C1510" s="261"/>
      <c r="D1510" s="261"/>
      <c r="E1510" s="261"/>
      <c r="F1510" s="261"/>
      <c r="G1510" s="261"/>
      <c r="H1510" s="261"/>
      <c r="I1510" s="261"/>
      <c r="J1510" s="261"/>
      <c r="K1510" s="261"/>
      <c r="L1510" s="261"/>
      <c r="M1510" s="261"/>
      <c r="N1510" s="261"/>
    </row>
    <row r="1511" spans="3:14" x14ac:dyDescent="0.2">
      <c r="C1511" s="261"/>
      <c r="D1511" s="261"/>
      <c r="E1511" s="261"/>
      <c r="F1511" s="261"/>
      <c r="G1511" s="261"/>
      <c r="H1511" s="261"/>
      <c r="I1511" s="261"/>
      <c r="J1511" s="261"/>
      <c r="K1511" s="261"/>
      <c r="L1511" s="261"/>
      <c r="M1511" s="261"/>
      <c r="N1511" s="261"/>
    </row>
    <row r="1512" spans="3:14" x14ac:dyDescent="0.2">
      <c r="C1512" s="261"/>
      <c r="D1512" s="261"/>
      <c r="E1512" s="261"/>
      <c r="F1512" s="261"/>
      <c r="G1512" s="261"/>
      <c r="H1512" s="261"/>
      <c r="I1512" s="261"/>
      <c r="J1512" s="261"/>
      <c r="K1512" s="261"/>
      <c r="L1512" s="261"/>
      <c r="M1512" s="261"/>
      <c r="N1512" s="261"/>
    </row>
    <row r="1513" spans="3:14" x14ac:dyDescent="0.2">
      <c r="C1513" s="261"/>
      <c r="D1513" s="261"/>
      <c r="E1513" s="261"/>
      <c r="F1513" s="261"/>
      <c r="G1513" s="261"/>
      <c r="H1513" s="261"/>
      <c r="I1513" s="261"/>
      <c r="J1513" s="261"/>
      <c r="K1513" s="261"/>
      <c r="L1513" s="261"/>
      <c r="M1513" s="261"/>
      <c r="N1513" s="261"/>
    </row>
    <row r="1514" spans="3:14" x14ac:dyDescent="0.2">
      <c r="C1514" s="261"/>
      <c r="D1514" s="261"/>
      <c r="E1514" s="261"/>
      <c r="F1514" s="261"/>
      <c r="G1514" s="261"/>
      <c r="H1514" s="261"/>
      <c r="I1514" s="261"/>
      <c r="J1514" s="261"/>
      <c r="K1514" s="261"/>
      <c r="L1514" s="261"/>
      <c r="M1514" s="261"/>
      <c r="N1514" s="261"/>
    </row>
    <row r="1515" spans="3:14" x14ac:dyDescent="0.2">
      <c r="C1515" s="261"/>
      <c r="D1515" s="261"/>
      <c r="E1515" s="261"/>
      <c r="F1515" s="261"/>
      <c r="G1515" s="261"/>
      <c r="H1515" s="261"/>
      <c r="I1515" s="261"/>
      <c r="J1515" s="261"/>
      <c r="K1515" s="261"/>
      <c r="L1515" s="261"/>
      <c r="M1515" s="261"/>
      <c r="N1515" s="261"/>
    </row>
    <row r="1516" spans="3:14" x14ac:dyDescent="0.2">
      <c r="C1516" s="261"/>
      <c r="D1516" s="261"/>
      <c r="E1516" s="261"/>
      <c r="F1516" s="261"/>
      <c r="G1516" s="261"/>
      <c r="H1516" s="261"/>
      <c r="I1516" s="261"/>
      <c r="J1516" s="261"/>
      <c r="K1516" s="261"/>
      <c r="L1516" s="261"/>
      <c r="M1516" s="261"/>
      <c r="N1516" s="261"/>
    </row>
    <row r="1517" spans="3:14" x14ac:dyDescent="0.2">
      <c r="C1517" s="261"/>
      <c r="D1517" s="261"/>
      <c r="E1517" s="261"/>
      <c r="F1517" s="261"/>
      <c r="G1517" s="261"/>
      <c r="H1517" s="261"/>
      <c r="I1517" s="261"/>
      <c r="J1517" s="261"/>
      <c r="K1517" s="261"/>
      <c r="L1517" s="261"/>
      <c r="M1517" s="261"/>
      <c r="N1517" s="261"/>
    </row>
    <row r="1518" spans="3:14" x14ac:dyDescent="0.2">
      <c r="C1518" s="261"/>
      <c r="D1518" s="261"/>
      <c r="E1518" s="261"/>
      <c r="F1518" s="261"/>
      <c r="G1518" s="261"/>
      <c r="H1518" s="261"/>
      <c r="I1518" s="261"/>
      <c r="J1518" s="261"/>
      <c r="K1518" s="261"/>
      <c r="L1518" s="261"/>
      <c r="M1518" s="261"/>
      <c r="N1518" s="261"/>
    </row>
    <row r="1519" spans="3:14" x14ac:dyDescent="0.2">
      <c r="C1519" s="261"/>
      <c r="D1519" s="261"/>
      <c r="E1519" s="261"/>
      <c r="F1519" s="261"/>
      <c r="G1519" s="261"/>
      <c r="H1519" s="261"/>
      <c r="I1519" s="261"/>
      <c r="J1519" s="261"/>
      <c r="K1519" s="261"/>
      <c r="L1519" s="261"/>
      <c r="M1519" s="261"/>
      <c r="N1519" s="261"/>
    </row>
    <row r="1520" spans="3:14" x14ac:dyDescent="0.2">
      <c r="C1520" s="261"/>
      <c r="D1520" s="261"/>
      <c r="E1520" s="261"/>
      <c r="F1520" s="261"/>
      <c r="G1520" s="261"/>
      <c r="H1520" s="261"/>
      <c r="I1520" s="261"/>
      <c r="J1520" s="261"/>
      <c r="K1520" s="261"/>
      <c r="L1520" s="261"/>
      <c r="M1520" s="261"/>
      <c r="N1520" s="261"/>
    </row>
    <row r="1521" spans="3:14" x14ac:dyDescent="0.2">
      <c r="C1521" s="261"/>
      <c r="D1521" s="261"/>
      <c r="E1521" s="261"/>
      <c r="F1521" s="261"/>
      <c r="G1521" s="261"/>
      <c r="H1521" s="261"/>
      <c r="I1521" s="261"/>
      <c r="J1521" s="261"/>
      <c r="K1521" s="261"/>
      <c r="L1521" s="261"/>
      <c r="M1521" s="261"/>
      <c r="N1521" s="261"/>
    </row>
    <row r="1522" spans="3:14" x14ac:dyDescent="0.2">
      <c r="C1522" s="261"/>
      <c r="D1522" s="261"/>
      <c r="E1522" s="261"/>
      <c r="F1522" s="261"/>
      <c r="G1522" s="261"/>
      <c r="H1522" s="261"/>
      <c r="I1522" s="261"/>
      <c r="J1522" s="261"/>
      <c r="K1522" s="261"/>
      <c r="L1522" s="261"/>
      <c r="M1522" s="261"/>
      <c r="N1522" s="261"/>
    </row>
    <row r="1523" spans="3:14" x14ac:dyDescent="0.2">
      <c r="C1523" s="261"/>
      <c r="D1523" s="261"/>
      <c r="E1523" s="261"/>
      <c r="F1523" s="261"/>
      <c r="G1523" s="261"/>
      <c r="H1523" s="261"/>
      <c r="I1523" s="261"/>
      <c r="J1523" s="261"/>
      <c r="K1523" s="261"/>
      <c r="L1523" s="261"/>
      <c r="M1523" s="261"/>
      <c r="N1523" s="261"/>
    </row>
    <row r="1524" spans="3:14" x14ac:dyDescent="0.2">
      <c r="C1524" s="261"/>
      <c r="D1524" s="261"/>
      <c r="E1524" s="261"/>
      <c r="F1524" s="261"/>
      <c r="G1524" s="261"/>
      <c r="H1524" s="261"/>
      <c r="I1524" s="261"/>
      <c r="J1524" s="261"/>
      <c r="K1524" s="261"/>
      <c r="L1524" s="261"/>
      <c r="M1524" s="261"/>
      <c r="N1524" s="261"/>
    </row>
    <row r="1525" spans="3:14" x14ac:dyDescent="0.2">
      <c r="C1525" s="261"/>
      <c r="D1525" s="261"/>
      <c r="E1525" s="261"/>
      <c r="F1525" s="261"/>
      <c r="G1525" s="261"/>
      <c r="H1525" s="261"/>
      <c r="I1525" s="261"/>
      <c r="J1525" s="261"/>
      <c r="K1525" s="261"/>
      <c r="L1525" s="261"/>
      <c r="M1525" s="261"/>
      <c r="N1525" s="261"/>
    </row>
    <row r="1526" spans="3:14" x14ac:dyDescent="0.2">
      <c r="C1526" s="261"/>
      <c r="D1526" s="261"/>
      <c r="E1526" s="261"/>
      <c r="F1526" s="261"/>
      <c r="G1526" s="261"/>
      <c r="H1526" s="261"/>
      <c r="I1526" s="261"/>
      <c r="J1526" s="261"/>
      <c r="K1526" s="261"/>
      <c r="L1526" s="261"/>
      <c r="M1526" s="261"/>
      <c r="N1526" s="261"/>
    </row>
    <row r="1527" spans="3:14" x14ac:dyDescent="0.2">
      <c r="C1527" s="261"/>
      <c r="D1527" s="261"/>
      <c r="E1527" s="261"/>
      <c r="F1527" s="261"/>
      <c r="G1527" s="261"/>
      <c r="H1527" s="261"/>
      <c r="I1527" s="261"/>
      <c r="J1527" s="261"/>
      <c r="K1527" s="261"/>
      <c r="L1527" s="261"/>
      <c r="M1527" s="261"/>
      <c r="N1527" s="261"/>
    </row>
    <row r="1528" spans="3:14" x14ac:dyDescent="0.2">
      <c r="C1528" s="261"/>
      <c r="D1528" s="261"/>
      <c r="E1528" s="261"/>
      <c r="F1528" s="261"/>
      <c r="G1528" s="261"/>
      <c r="H1528" s="261"/>
      <c r="I1528" s="261"/>
      <c r="J1528" s="261"/>
      <c r="K1528" s="261"/>
      <c r="L1528" s="261"/>
      <c r="M1528" s="261"/>
      <c r="N1528" s="261"/>
    </row>
    <row r="1529" spans="3:14" x14ac:dyDescent="0.2">
      <c r="C1529" s="261"/>
      <c r="D1529" s="261"/>
      <c r="E1529" s="261"/>
      <c r="F1529" s="261"/>
      <c r="G1529" s="261"/>
      <c r="H1529" s="261"/>
      <c r="I1529" s="261"/>
      <c r="J1529" s="261"/>
      <c r="K1529" s="261"/>
      <c r="L1529" s="261"/>
      <c r="M1529" s="261"/>
      <c r="N1529" s="261"/>
    </row>
    <row r="1530" spans="3:14" x14ac:dyDescent="0.2">
      <c r="C1530" s="261"/>
      <c r="D1530" s="261"/>
      <c r="E1530" s="261"/>
      <c r="F1530" s="261"/>
      <c r="G1530" s="261"/>
      <c r="H1530" s="261"/>
      <c r="I1530" s="261"/>
      <c r="J1530" s="261"/>
      <c r="K1530" s="261"/>
      <c r="L1530" s="261"/>
      <c r="M1530" s="261"/>
      <c r="N1530" s="261"/>
    </row>
    <row r="1531" spans="3:14" x14ac:dyDescent="0.2">
      <c r="C1531" s="261"/>
      <c r="D1531" s="261"/>
      <c r="E1531" s="261"/>
      <c r="F1531" s="261"/>
      <c r="G1531" s="261"/>
      <c r="H1531" s="261"/>
      <c r="I1531" s="261"/>
      <c r="J1531" s="261"/>
      <c r="K1531" s="261"/>
      <c r="L1531" s="261"/>
      <c r="M1531" s="261"/>
      <c r="N1531" s="261"/>
    </row>
    <row r="1532" spans="3:14" x14ac:dyDescent="0.2">
      <c r="C1532" s="261"/>
      <c r="D1532" s="261"/>
      <c r="E1532" s="261"/>
      <c r="F1532" s="261"/>
      <c r="G1532" s="261"/>
      <c r="H1532" s="261"/>
      <c r="I1532" s="261"/>
      <c r="J1532" s="261"/>
      <c r="K1532" s="261"/>
      <c r="L1532" s="261"/>
      <c r="M1532" s="261"/>
      <c r="N1532" s="261"/>
    </row>
    <row r="1533" spans="3:14" x14ac:dyDescent="0.2">
      <c r="C1533" s="261"/>
      <c r="D1533" s="261"/>
      <c r="E1533" s="261"/>
      <c r="F1533" s="261"/>
      <c r="G1533" s="261"/>
      <c r="H1533" s="261"/>
      <c r="I1533" s="261"/>
      <c r="J1533" s="261"/>
      <c r="K1533" s="261"/>
      <c r="L1533" s="261"/>
      <c r="M1533" s="261"/>
      <c r="N1533" s="261"/>
    </row>
    <row r="1534" spans="3:14" x14ac:dyDescent="0.2">
      <c r="C1534" s="261"/>
      <c r="D1534" s="261"/>
      <c r="E1534" s="261"/>
      <c r="F1534" s="261"/>
      <c r="G1534" s="261"/>
      <c r="H1534" s="261"/>
      <c r="I1534" s="261"/>
      <c r="J1534" s="261"/>
      <c r="K1534" s="261"/>
      <c r="L1534" s="261"/>
      <c r="M1534" s="261"/>
      <c r="N1534" s="261"/>
    </row>
    <row r="1535" spans="3:14" x14ac:dyDescent="0.2">
      <c r="C1535" s="261"/>
      <c r="D1535" s="261"/>
      <c r="E1535" s="261"/>
      <c r="F1535" s="261"/>
      <c r="G1535" s="261"/>
      <c r="H1535" s="261"/>
      <c r="I1535" s="261"/>
      <c r="J1535" s="261"/>
      <c r="K1535" s="261"/>
      <c r="L1535" s="261"/>
      <c r="M1535" s="261"/>
      <c r="N1535" s="261"/>
    </row>
    <row r="1536" spans="3:14" x14ac:dyDescent="0.2">
      <c r="C1536" s="261"/>
      <c r="D1536" s="261"/>
      <c r="E1536" s="261"/>
      <c r="F1536" s="261"/>
      <c r="G1536" s="261"/>
      <c r="H1536" s="261"/>
      <c r="I1536" s="261"/>
      <c r="J1536" s="261"/>
      <c r="K1536" s="261"/>
      <c r="L1536" s="261"/>
      <c r="M1536" s="261"/>
      <c r="N1536" s="261"/>
    </row>
    <row r="1537" spans="3:14" x14ac:dyDescent="0.2">
      <c r="C1537" s="261"/>
      <c r="D1537" s="261"/>
      <c r="E1537" s="261"/>
      <c r="F1537" s="261"/>
      <c r="G1537" s="261"/>
      <c r="H1537" s="261"/>
      <c r="I1537" s="261"/>
      <c r="J1537" s="261"/>
      <c r="K1537" s="261"/>
      <c r="L1537" s="261"/>
      <c r="M1537" s="261"/>
      <c r="N1537" s="261"/>
    </row>
    <row r="1538" spans="3:14" x14ac:dyDescent="0.2">
      <c r="C1538" s="261"/>
      <c r="D1538" s="261"/>
      <c r="E1538" s="261"/>
      <c r="F1538" s="261"/>
      <c r="G1538" s="261"/>
      <c r="H1538" s="261"/>
      <c r="I1538" s="261"/>
      <c r="J1538" s="261"/>
      <c r="K1538" s="261"/>
      <c r="L1538" s="261"/>
      <c r="M1538" s="261"/>
      <c r="N1538" s="261"/>
    </row>
    <row r="1539" spans="3:14" x14ac:dyDescent="0.2">
      <c r="C1539" s="261"/>
      <c r="D1539" s="261"/>
      <c r="E1539" s="261"/>
      <c r="F1539" s="261"/>
      <c r="G1539" s="261"/>
      <c r="H1539" s="261"/>
      <c r="I1539" s="261"/>
      <c r="J1539" s="261"/>
      <c r="K1539" s="261"/>
      <c r="L1539" s="261"/>
      <c r="M1539" s="261"/>
      <c r="N1539" s="261"/>
    </row>
    <row r="1540" spans="3:14" x14ac:dyDescent="0.2">
      <c r="C1540" s="261"/>
      <c r="D1540" s="261"/>
      <c r="E1540" s="261"/>
      <c r="F1540" s="261"/>
      <c r="G1540" s="261"/>
      <c r="H1540" s="261"/>
      <c r="I1540" s="261"/>
      <c r="J1540" s="261"/>
      <c r="K1540" s="261"/>
      <c r="L1540" s="261"/>
      <c r="M1540" s="261"/>
      <c r="N1540" s="261"/>
    </row>
    <row r="1541" spans="3:14" x14ac:dyDescent="0.2">
      <c r="C1541" s="261"/>
      <c r="D1541" s="261"/>
      <c r="E1541" s="261"/>
      <c r="F1541" s="261"/>
      <c r="G1541" s="261"/>
      <c r="H1541" s="261"/>
      <c r="I1541" s="261"/>
      <c r="J1541" s="261"/>
      <c r="K1541" s="261"/>
      <c r="L1541" s="261"/>
      <c r="M1541" s="261"/>
      <c r="N1541" s="261"/>
    </row>
    <row r="1542" spans="3:14" x14ac:dyDescent="0.2">
      <c r="C1542" s="261"/>
      <c r="D1542" s="261"/>
      <c r="E1542" s="261"/>
      <c r="F1542" s="261"/>
      <c r="G1542" s="261"/>
      <c r="H1542" s="261"/>
      <c r="I1542" s="261"/>
      <c r="J1542" s="261"/>
      <c r="K1542" s="261"/>
      <c r="L1542" s="261"/>
      <c r="M1542" s="261"/>
      <c r="N1542" s="261"/>
    </row>
    <row r="1543" spans="3:14" x14ac:dyDescent="0.2">
      <c r="C1543" s="261"/>
      <c r="D1543" s="261"/>
      <c r="E1543" s="261"/>
      <c r="F1543" s="261"/>
      <c r="G1543" s="261"/>
      <c r="H1543" s="261"/>
      <c r="I1543" s="261"/>
      <c r="J1543" s="261"/>
      <c r="K1543" s="261"/>
      <c r="L1543" s="261"/>
      <c r="M1543" s="261"/>
      <c r="N1543" s="261"/>
    </row>
    <row r="1544" spans="3:14" x14ac:dyDescent="0.2">
      <c r="C1544" s="261"/>
      <c r="D1544" s="261"/>
      <c r="E1544" s="261"/>
      <c r="F1544" s="261"/>
      <c r="G1544" s="261"/>
      <c r="H1544" s="261"/>
      <c r="I1544" s="261"/>
      <c r="J1544" s="261"/>
      <c r="K1544" s="261"/>
      <c r="L1544" s="261"/>
      <c r="M1544" s="261"/>
      <c r="N1544" s="261"/>
    </row>
    <row r="1545" spans="3:14" x14ac:dyDescent="0.2">
      <c r="C1545" s="261"/>
      <c r="D1545" s="261"/>
      <c r="E1545" s="261"/>
      <c r="F1545" s="261"/>
      <c r="G1545" s="261"/>
      <c r="H1545" s="261"/>
      <c r="I1545" s="261"/>
      <c r="J1545" s="261"/>
      <c r="K1545" s="261"/>
      <c r="L1545" s="261"/>
      <c r="M1545" s="261"/>
      <c r="N1545" s="261"/>
    </row>
    <row r="1546" spans="3:14" x14ac:dyDescent="0.2">
      <c r="C1546" s="261"/>
      <c r="D1546" s="261"/>
      <c r="E1546" s="261"/>
      <c r="F1546" s="261"/>
      <c r="G1546" s="261"/>
      <c r="H1546" s="261"/>
      <c r="I1546" s="261"/>
      <c r="J1546" s="261"/>
      <c r="K1546" s="261"/>
      <c r="L1546" s="261"/>
      <c r="M1546" s="261"/>
      <c r="N1546" s="261"/>
    </row>
  </sheetData>
  <sheetProtection algorithmName="SHA-512" hashValue="BgeR3oyx+aKMiPEGu4sHa/dZRUlYrlWES3hMLDMpVKPdA5YZRlm0B+rEzM4o/rX+m58a7bneWZLIfU1XOIBmFw==" saltValue="XWZwNvctHg1FsOXVa/FEUg==" spinCount="100000" sheet="1" objects="1" scenarios="1"/>
  <mergeCells count="18">
    <mergeCell ref="K4:K5"/>
    <mergeCell ref="A3:N3"/>
    <mergeCell ref="A2:N2"/>
    <mergeCell ref="N4:N5"/>
    <mergeCell ref="N64:N65"/>
    <mergeCell ref="A4:B4"/>
    <mergeCell ref="A38:C38"/>
    <mergeCell ref="L4:L5"/>
    <mergeCell ref="M4:M5"/>
    <mergeCell ref="J4:J5"/>
    <mergeCell ref="A1:I1"/>
    <mergeCell ref="C4:C5"/>
    <mergeCell ref="D4:D5"/>
    <mergeCell ref="E4:E5"/>
    <mergeCell ref="F4:F5"/>
    <mergeCell ref="G4:G5"/>
    <mergeCell ref="H4:H5"/>
    <mergeCell ref="I4:I5"/>
  </mergeCells>
  <phoneticPr fontId="21" type="noConversion"/>
  <conditionalFormatting sqref="A6:B6">
    <cfRule type="expression" dxfId="75" priority="32">
      <formula>AND(NOT(ISBLANK($C$6)),AND(ISBLANK($A$6),ISBLANK($B$6)))</formula>
    </cfRule>
  </conditionalFormatting>
  <conditionalFormatting sqref="A7:B7">
    <cfRule type="expression" dxfId="74" priority="31">
      <formula>AND(NOT(ISBLANK($C$7)),AND(ISBLANK($A$7),ISBLANK($B$7)))</formula>
    </cfRule>
  </conditionalFormatting>
  <conditionalFormatting sqref="A8:B8">
    <cfRule type="expression" dxfId="73" priority="30">
      <formula>AND(NOT(ISBLANK($C$8)),AND(ISBLANK($A$8),ISBLANK($B$8)))</formula>
    </cfRule>
  </conditionalFormatting>
  <conditionalFormatting sqref="A9:B9">
    <cfRule type="expression" dxfId="72" priority="29">
      <formula>AND(NOT(ISBLANK($C$9)),AND(ISBLANK($A$9),ISBLANK($B$9)))</formula>
    </cfRule>
  </conditionalFormatting>
  <conditionalFormatting sqref="A10:B10">
    <cfRule type="expression" dxfId="71" priority="28">
      <formula>AND(NOT(ISBLANK($C$10)),AND(ISBLANK($A$10),ISBLANK($B$10)))</formula>
    </cfRule>
  </conditionalFormatting>
  <conditionalFormatting sqref="A11:B11">
    <cfRule type="expression" dxfId="70" priority="27">
      <formula>AND(NOT(ISBLANK($C$11)),AND(ISBLANK($A$11),ISBLANK($B$11)))</formula>
    </cfRule>
  </conditionalFormatting>
  <conditionalFormatting sqref="A12:B12">
    <cfRule type="expression" dxfId="69" priority="26">
      <formula>AND(NOT(ISBLANK($C$12)),AND(ISBLANK($A$12),ISBLANK($B$12)))</formula>
    </cfRule>
  </conditionalFormatting>
  <conditionalFormatting sqref="A13:B13">
    <cfRule type="expression" dxfId="68" priority="25">
      <formula>AND(NOT(ISBLANK($C$13)),AND(ISBLANK($A$13),ISBLANK($B$13)))</formula>
    </cfRule>
  </conditionalFormatting>
  <conditionalFormatting sqref="A14:B14">
    <cfRule type="expression" dxfId="67" priority="24">
      <formula>AND(NOT(ISBLANK($C$14)),AND(ISBLANK($A$14),ISBLANK($B$14)))</formula>
    </cfRule>
  </conditionalFormatting>
  <conditionalFormatting sqref="A15:B15">
    <cfRule type="expression" dxfId="66" priority="23">
      <formula>AND(NOT(ISBLANK($C$15)),AND(ISBLANK($A$15),ISBLANK($B$15)))</formula>
    </cfRule>
  </conditionalFormatting>
  <conditionalFormatting sqref="A16:B16">
    <cfRule type="expression" dxfId="65" priority="22">
      <formula>AND(NOT(ISBLANK($C$16)),AND(ISBLANK($A$16),ISBLANK($B$16)))</formula>
    </cfRule>
  </conditionalFormatting>
  <conditionalFormatting sqref="A17:B17">
    <cfRule type="expression" dxfId="64" priority="21">
      <formula>AND(NOT(ISBLANK($C$17)),AND(ISBLANK($A$17),ISBLANK($B$17)))</formula>
    </cfRule>
  </conditionalFormatting>
  <conditionalFormatting sqref="A18:B18">
    <cfRule type="expression" dxfId="63" priority="20">
      <formula>AND(NOT(ISBLANK($C$18)),AND(ISBLANK($A$18),ISBLANK($B$18)))</formula>
    </cfRule>
  </conditionalFormatting>
  <conditionalFormatting sqref="A19:B19">
    <cfRule type="expression" dxfId="62" priority="19">
      <formula>AND(NOT(ISBLANK($C$19)),AND(ISBLANK($A$19),ISBLANK($B$19)))</formula>
    </cfRule>
  </conditionalFormatting>
  <conditionalFormatting sqref="A20:B20">
    <cfRule type="expression" dxfId="61" priority="18">
      <formula>AND(NOT(ISBLANK($C$20)),AND(ISBLANK($A$20),ISBLANK($B$20)))</formula>
    </cfRule>
  </conditionalFormatting>
  <conditionalFormatting sqref="A21:B21">
    <cfRule type="expression" dxfId="60" priority="17">
      <formula>AND(NOT(ISBLANK($C$21)),AND(ISBLANK($A$21),ISBLANK($B$21)))</formula>
    </cfRule>
  </conditionalFormatting>
  <conditionalFormatting sqref="A22:B22">
    <cfRule type="expression" dxfId="59" priority="16">
      <formula>AND(NOT(ISBLANK($C$22)),AND(ISBLANK($A$22),ISBLANK($B$22)))</formula>
    </cfRule>
  </conditionalFormatting>
  <conditionalFormatting sqref="A23:B23">
    <cfRule type="expression" dxfId="58" priority="15">
      <formula>AND(NOT(ISBLANK($C$23)),AND(ISBLANK($A$23),ISBLANK($B$23)))</formula>
    </cfRule>
  </conditionalFormatting>
  <conditionalFormatting sqref="A24:B24">
    <cfRule type="expression" dxfId="57" priority="14">
      <formula>AND(NOT(ISBLANK($C$24)),AND(ISBLANK($A$24),ISBLANK($B$24)))</formula>
    </cfRule>
  </conditionalFormatting>
  <conditionalFormatting sqref="A25:B25">
    <cfRule type="expression" dxfId="56" priority="13">
      <formula>AND(NOT(ISBLANK($C$25)),AND(ISBLANK($A$25),ISBLANK($B$25)))</formula>
    </cfRule>
  </conditionalFormatting>
  <conditionalFormatting sqref="A26:B26">
    <cfRule type="expression" dxfId="55" priority="12">
      <formula>AND(NOT(ISBLANK($C$26)),AND(ISBLANK($A$26),ISBLANK($B$26)))</formula>
    </cfRule>
  </conditionalFormatting>
  <conditionalFormatting sqref="A27:B27">
    <cfRule type="expression" dxfId="54" priority="11">
      <formula>AND(NOT(ISBLANK($C$27)),AND(ISBLANK($A$27),ISBLANK($B$27)))</formula>
    </cfRule>
  </conditionalFormatting>
  <conditionalFormatting sqref="A28:B28">
    <cfRule type="expression" dxfId="53" priority="10">
      <formula>AND(NOT(ISBLANK($C$28)),AND(ISBLANK($A$28),ISBLANK($B$28)))</formula>
    </cfRule>
  </conditionalFormatting>
  <conditionalFormatting sqref="A29:B29">
    <cfRule type="expression" dxfId="52" priority="9">
      <formula>AND(NOT(ISBLANK($C$29)),AND(ISBLANK($A$29),ISBLANK($B$29)))</formula>
    </cfRule>
  </conditionalFormatting>
  <conditionalFormatting sqref="A30:B30">
    <cfRule type="expression" dxfId="51" priority="8">
      <formula>AND(NOT(ISBLANK($C$30)),AND(ISBLANK($A$30),ISBLANK($B$30)))</formula>
    </cfRule>
  </conditionalFormatting>
  <conditionalFormatting sqref="A31:B31">
    <cfRule type="expression" dxfId="50" priority="7">
      <formula>AND(NOT(ISBLANK($C$31)),AND(ISBLANK($A$31),ISBLANK($B$31)))</formula>
    </cfRule>
  </conditionalFormatting>
  <conditionalFormatting sqref="A32:B32">
    <cfRule type="expression" dxfId="49" priority="6">
      <formula>AND(NOT(ISBLANK($C$32)),AND(ISBLANK($A$32),ISBLANK($B$32)))</formula>
    </cfRule>
  </conditionalFormatting>
  <conditionalFormatting sqref="A33:B33">
    <cfRule type="expression" dxfId="48" priority="5">
      <formula>AND(NOT(ISBLANK($C$33)),AND(ISBLANK($A$33),ISBLANK($B$33)))</formula>
    </cfRule>
  </conditionalFormatting>
  <conditionalFormatting sqref="A34:B34">
    <cfRule type="expression" dxfId="47" priority="4">
      <formula>AND(NOT(ISBLANK($C$34)),AND(ISBLANK($A$34),ISBLANK($B$34)))</formula>
    </cfRule>
  </conditionalFormatting>
  <conditionalFormatting sqref="A35:B35">
    <cfRule type="expression" dxfId="46" priority="3">
      <formula>AND(NOT(ISBLANK($C$35)),AND(ISBLANK($A$35),ISBLANK($B$35)))</formula>
    </cfRule>
  </conditionalFormatting>
  <conditionalFormatting sqref="A36:B36">
    <cfRule type="expression" dxfId="45" priority="2">
      <formula>AND(NOT(ISBLANK($C$36)),AND(ISBLANK($A$36),ISBLANK($B$36)))</formula>
    </cfRule>
  </conditionalFormatting>
  <conditionalFormatting sqref="A37:B37">
    <cfRule type="expression" dxfId="44" priority="1">
      <formula>AND(NOT(ISBLANK($C$37)),AND(ISBLANK($A$37),ISBLANK($B$37)))</formula>
    </cfRule>
  </conditionalFormatting>
  <dataValidations count="1">
    <dataValidation type="list" allowBlank="1" showInputMessage="1" showErrorMessage="1" sqref="N6:N37" xr:uid="{8C9D5517-5190-424F-9F4E-F865A51B32D5}">
      <formula1>$AA$8:$AA$14</formula1>
    </dataValidation>
  </dataValidations>
  <hyperlinks>
    <hyperlink ref="A38:C38" location="Code_0201" display="Please click here to return to the 2009 HAR tab" xr:uid="{00000000-0004-0000-0400-000000000000}"/>
  </hyperlinks>
  <pageMargins left="0.75" right="0.75" top="1" bottom="1" header="0.5" footer="0.5"/>
  <pageSetup scale="33" orientation="landscape" r:id="rId1"/>
  <headerFooter alignWithMargins="0">
    <oddFooter xml:space="preserve">&amp;LMDH
www.health.state.mn.us/data/economics/hccis/index.html
Phone: 651-201-3572 
Fax: 651-201-5179
&amp;CPage &amp;P
2021 Hospital Annual Report
Health Care Cost  Information System (HCCIS)
&amp;RMHA
Jsanislo@mnhospitals.org
Phone: 651-659-1440
Fax: 651-659-1477
</oddFooter>
  </headerFooter>
  <rowBreaks count="2" manualBreakCount="2">
    <brk id="39" max="16383" man="1"/>
    <brk id="346" max="16383"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D74787-175E-488A-BD27-13F84256FC8C}">
  <dimension ref="A1:P93"/>
  <sheetViews>
    <sheetView showGridLines="0" tabSelected="1" view="pageBreakPreview" zoomScaleNormal="100" zoomScaleSheetLayoutView="100" workbookViewId="0">
      <selection activeCell="H38" sqref="H38"/>
    </sheetView>
  </sheetViews>
  <sheetFormatPr defaultRowHeight="12.75" x14ac:dyDescent="0.2"/>
  <cols>
    <col min="1" max="1" width="27.5703125" customWidth="1"/>
    <col min="2" max="2" width="9.28515625" customWidth="1"/>
    <col min="3" max="3" width="14.7109375" customWidth="1"/>
    <col min="5" max="5" width="14.7109375" customWidth="1"/>
    <col min="8" max="8" width="13.42578125" customWidth="1"/>
    <col min="9" max="10" width="10.5703125" customWidth="1"/>
    <col min="11" max="11" width="10" customWidth="1"/>
    <col min="14" max="14" width="10.28515625" customWidth="1"/>
    <col min="15" max="15" width="11.85546875" bestFit="1" customWidth="1"/>
  </cols>
  <sheetData>
    <row r="1" spans="1:11" x14ac:dyDescent="0.2">
      <c r="A1" s="1454" t="s">
        <v>0</v>
      </c>
      <c r="B1" s="1455"/>
      <c r="C1" s="1455"/>
      <c r="D1" s="1455"/>
      <c r="E1" s="1455"/>
      <c r="F1" s="1455"/>
      <c r="G1" s="1455"/>
      <c r="H1" s="1455"/>
      <c r="I1" s="1455"/>
    </row>
    <row r="2" spans="1:11" x14ac:dyDescent="0.2">
      <c r="A2" s="1454" t="s">
        <v>1</v>
      </c>
      <c r="B2" s="1455"/>
      <c r="C2" s="1455"/>
      <c r="D2" s="1455"/>
      <c r="E2" s="1455"/>
      <c r="F2" s="1455"/>
      <c r="G2" s="1455"/>
      <c r="H2" s="1455"/>
      <c r="I2" s="1455"/>
    </row>
    <row r="3" spans="1:11" x14ac:dyDescent="0.2">
      <c r="A3" s="1460" t="s">
        <v>2383</v>
      </c>
      <c r="B3" s="1460"/>
      <c r="C3" s="1460"/>
      <c r="D3" s="1460"/>
      <c r="E3" s="1460"/>
      <c r="F3" s="1460"/>
      <c r="G3" s="1460"/>
    </row>
    <row r="4" spans="1:11" x14ac:dyDescent="0.2">
      <c r="H4" s="452"/>
      <c r="I4" s="452"/>
      <c r="J4" s="452"/>
      <c r="K4" s="452"/>
    </row>
    <row r="5" spans="1:11" x14ac:dyDescent="0.2">
      <c r="A5" s="1477" t="s">
        <v>2407</v>
      </c>
      <c r="B5" s="1477"/>
      <c r="C5" s="1477"/>
      <c r="D5" s="1477"/>
      <c r="E5" s="1477"/>
      <c r="F5" s="1477"/>
      <c r="H5" s="452"/>
    </row>
    <row r="6" spans="1:11" x14ac:dyDescent="0.2">
      <c r="A6" s="1477"/>
      <c r="B6" s="1477"/>
      <c r="C6" s="1477"/>
      <c r="D6" s="1477"/>
      <c r="E6" s="1477"/>
      <c r="F6" s="1477"/>
      <c r="H6" s="452"/>
    </row>
    <row r="7" spans="1:11" x14ac:dyDescent="0.2">
      <c r="A7" s="1479" t="s">
        <v>2400</v>
      </c>
      <c r="B7" s="1479"/>
      <c r="C7" s="1479"/>
      <c r="D7" s="1479"/>
      <c r="E7" s="1479"/>
      <c r="F7" s="1479"/>
      <c r="H7" s="452"/>
    </row>
    <row r="8" spans="1:11" x14ac:dyDescent="0.2">
      <c r="A8" s="1479"/>
      <c r="B8" s="1479"/>
      <c r="C8" s="1479"/>
      <c r="D8" s="1479"/>
      <c r="E8" s="1479"/>
      <c r="F8" s="1479"/>
      <c r="H8" s="452"/>
    </row>
    <row r="9" spans="1:11" x14ac:dyDescent="0.2">
      <c r="H9" s="452"/>
    </row>
    <row r="10" spans="1:11" x14ac:dyDescent="0.2">
      <c r="A10" s="1477" t="s">
        <v>2398</v>
      </c>
      <c r="B10" s="1477"/>
      <c r="C10" s="1477"/>
      <c r="D10" s="1477"/>
      <c r="E10" s="1477"/>
      <c r="F10" s="1477"/>
      <c r="H10" s="452"/>
    </row>
    <row r="11" spans="1:11" x14ac:dyDescent="0.2">
      <c r="A11" s="1462" t="s">
        <v>2400</v>
      </c>
      <c r="B11" s="1478"/>
      <c r="C11" s="1478"/>
      <c r="D11" s="1478"/>
      <c r="E11" s="1478"/>
      <c r="F11" s="1478"/>
    </row>
    <row r="12" spans="1:11" x14ac:dyDescent="0.2">
      <c r="A12" s="1478"/>
      <c r="B12" s="1478"/>
      <c r="C12" s="1478"/>
      <c r="D12" s="1478"/>
      <c r="E12" s="1478"/>
      <c r="F12" s="1478"/>
    </row>
    <row r="13" spans="1:11" x14ac:dyDescent="0.2">
      <c r="A13" s="452"/>
    </row>
    <row r="14" spans="1:11" x14ac:dyDescent="0.2">
      <c r="A14" s="1477" t="s">
        <v>2397</v>
      </c>
      <c r="B14" s="1477"/>
      <c r="C14" s="1477"/>
      <c r="D14" s="1477"/>
      <c r="E14" s="1477"/>
      <c r="F14" s="1477"/>
    </row>
    <row r="15" spans="1:11" x14ac:dyDescent="0.2">
      <c r="A15" s="1477"/>
      <c r="B15" s="1477"/>
      <c r="C15" s="1477"/>
      <c r="D15" s="1477"/>
      <c r="E15" s="1477"/>
      <c r="F15" s="1477"/>
    </row>
    <row r="16" spans="1:11" x14ac:dyDescent="0.2">
      <c r="A16" s="1462" t="s">
        <v>2400</v>
      </c>
      <c r="B16" s="1462"/>
      <c r="C16" s="1462"/>
      <c r="D16" s="1462"/>
      <c r="E16" s="1462"/>
      <c r="F16" s="1462"/>
    </row>
    <row r="17" spans="1:16" x14ac:dyDescent="0.2">
      <c r="A17" s="1462"/>
      <c r="B17" s="1462"/>
      <c r="C17" s="1462"/>
      <c r="D17" s="1462"/>
      <c r="E17" s="1462"/>
      <c r="F17" s="1462"/>
      <c r="L17" s="452"/>
    </row>
    <row r="18" spans="1:16" x14ac:dyDescent="0.2">
      <c r="A18" s="494"/>
      <c r="B18" s="494"/>
      <c r="C18" s="494"/>
      <c r="D18" s="494"/>
      <c r="E18" s="494"/>
      <c r="F18" s="494"/>
      <c r="L18" s="452"/>
    </row>
    <row r="19" spans="1:16" x14ac:dyDescent="0.2">
      <c r="A19" s="1461" t="s">
        <v>2405</v>
      </c>
      <c r="B19" s="1461"/>
      <c r="C19" s="1461"/>
      <c r="D19" s="1461"/>
      <c r="E19" s="1461"/>
      <c r="F19" s="1461"/>
      <c r="L19" s="452"/>
    </row>
    <row r="20" spans="1:16" x14ac:dyDescent="0.2">
      <c r="A20" s="1461"/>
      <c r="B20" s="1461"/>
      <c r="C20" s="1461"/>
      <c r="D20" s="1461"/>
      <c r="E20" s="1461"/>
      <c r="F20" s="1461"/>
      <c r="L20" s="452"/>
    </row>
    <row r="21" spans="1:16" x14ac:dyDescent="0.2">
      <c r="A21" s="1462" t="s">
        <v>2400</v>
      </c>
      <c r="B21" s="1462"/>
      <c r="C21" s="1462"/>
      <c r="D21" s="1462"/>
      <c r="E21" s="1462"/>
      <c r="F21" s="1462"/>
      <c r="L21" s="452"/>
    </row>
    <row r="22" spans="1:16" x14ac:dyDescent="0.2">
      <c r="A22" s="1462"/>
      <c r="B22" s="1462"/>
      <c r="C22" s="1462"/>
      <c r="D22" s="1462"/>
      <c r="E22" s="1462"/>
      <c r="F22" s="1462"/>
      <c r="L22" s="452"/>
    </row>
    <row r="24" spans="1:16" x14ac:dyDescent="0.2">
      <c r="A24" s="1460" t="s">
        <v>1452</v>
      </c>
      <c r="B24" s="1460"/>
      <c r="C24" s="1460"/>
      <c r="D24" s="1460"/>
      <c r="E24" s="1460"/>
      <c r="F24" s="1460"/>
      <c r="G24" s="1460"/>
    </row>
    <row r="25" spans="1:16" ht="25.5" x14ac:dyDescent="0.2">
      <c r="A25" s="466" t="s">
        <v>2357</v>
      </c>
      <c r="B25" s="1459" t="s">
        <v>293</v>
      </c>
      <c r="C25" s="1459"/>
      <c r="D25" s="1459" t="s">
        <v>2353</v>
      </c>
      <c r="E25" s="1459"/>
      <c r="F25" s="1459" t="s">
        <v>2354</v>
      </c>
      <c r="G25" s="1459"/>
      <c r="H25" s="479" t="s">
        <v>2846</v>
      </c>
      <c r="I25" s="1459" t="s">
        <v>2857</v>
      </c>
      <c r="J25" s="1459"/>
      <c r="K25" s="484" t="s">
        <v>1454</v>
      </c>
      <c r="M25" s="1459" t="s">
        <v>2403</v>
      </c>
      <c r="N25" s="1459"/>
      <c r="O25" s="1459"/>
      <c r="P25" s="1459"/>
    </row>
    <row r="26" spans="1:16" x14ac:dyDescent="0.2">
      <c r="A26" s="464" t="s">
        <v>297</v>
      </c>
      <c r="B26" s="467">
        <v>2021</v>
      </c>
      <c r="C26" s="487" t="str">
        <f>IF(ISBLANK(Code_2021),"",Code_2021)</f>
        <v/>
      </c>
      <c r="D26" s="465">
        <v>2031</v>
      </c>
      <c r="E26" s="491" t="str">
        <f>IF(ISBLANK(Code_2031),"",Code_2031)</f>
        <v/>
      </c>
      <c r="F26" s="465">
        <v>7412</v>
      </c>
      <c r="G26" s="464">
        <f>'2021 HAR'!L398</f>
        <v>0</v>
      </c>
      <c r="H26" s="485" t="str">
        <f>IFERROR(C26/E26,"N/A")</f>
        <v>N/A</v>
      </c>
      <c r="I26" s="1472" t="str">
        <f>IFERROR(VLOOKUP('2021 HAR'!$D$5,Hospital_Data,11,FALSE)/VLOOKUP('2021 HAR'!$D$5,Hospital_Data,12,FALSE),"N/A")</f>
        <v>N/A</v>
      </c>
      <c r="J26" s="1472"/>
      <c r="K26" s="493" t="str">
        <f t="shared" ref="K26:K40" si="0">IFERROR((H26-I26)/I26,"")</f>
        <v/>
      </c>
      <c r="M26" s="1471" t="s">
        <v>2400</v>
      </c>
      <c r="N26" s="1473"/>
      <c r="O26" s="1473"/>
      <c r="P26" s="1473"/>
    </row>
    <row r="27" spans="1:16" x14ac:dyDescent="0.2">
      <c r="A27" s="464" t="s">
        <v>298</v>
      </c>
      <c r="B27" s="467">
        <v>2022</v>
      </c>
      <c r="C27" s="487" t="str">
        <f>IF(ISBLANK(Code_2022),"",Code_2022)</f>
        <v/>
      </c>
      <c r="D27" s="465">
        <v>2032</v>
      </c>
      <c r="E27" s="491" t="str">
        <f>IF(ISBLANK(Code_2032),"",Code_2032)</f>
        <v/>
      </c>
      <c r="F27" s="465">
        <v>7413</v>
      </c>
      <c r="G27" s="464">
        <f>'2021 HAR'!L399</f>
        <v>0</v>
      </c>
      <c r="H27" s="485" t="str">
        <f t="shared" ref="H27:H40" si="1">IFERROR(C27/E27,"N/A")</f>
        <v>N/A</v>
      </c>
      <c r="I27" s="1456" t="str">
        <f>IFERROR(VLOOKUP('2021 HAR'!$D$5,Hospital_Data,13,FALSE)/VLOOKUP('2021 HAR'!$D$5,Hospital_Data,14,FALSE),"N/A")</f>
        <v>N/A</v>
      </c>
      <c r="J27" s="1456"/>
      <c r="K27" s="493" t="str">
        <f t="shared" si="0"/>
        <v/>
      </c>
      <c r="M27" s="1466" t="s">
        <v>2400</v>
      </c>
      <c r="N27" s="1467"/>
      <c r="O27" s="1467"/>
      <c r="P27" s="1468"/>
    </row>
    <row r="28" spans="1:16" x14ac:dyDescent="0.2">
      <c r="A28" s="464" t="s">
        <v>299</v>
      </c>
      <c r="B28" s="467">
        <v>2121</v>
      </c>
      <c r="C28" s="487" t="str">
        <f>IF(ISBLANK(Code_2121),"",Code_2121)</f>
        <v/>
      </c>
      <c r="D28" s="465">
        <v>2131</v>
      </c>
      <c r="E28" s="491" t="str">
        <f>IF(ISBLANK(Code_2131),"",Code_2131)</f>
        <v/>
      </c>
      <c r="F28" s="465">
        <v>7414</v>
      </c>
      <c r="G28" s="464">
        <f>'2021 HAR'!L400</f>
        <v>0</v>
      </c>
      <c r="H28" s="485" t="str">
        <f t="shared" si="1"/>
        <v>N/A</v>
      </c>
      <c r="I28" s="1456" t="str">
        <f>IFERROR(VLOOKUP('2021 HAR'!$D$5,Hospital_Data,15,FALSE)/VLOOKUP('2021 HAR'!$D$5,Hospital_Data,16,FALSE),"N/A")</f>
        <v>N/A</v>
      </c>
      <c r="J28" s="1456"/>
      <c r="K28" s="493" t="str">
        <f t="shared" si="0"/>
        <v/>
      </c>
      <c r="M28" s="1466" t="s">
        <v>2400</v>
      </c>
      <c r="N28" s="1467"/>
      <c r="O28" s="1467"/>
      <c r="P28" s="1468"/>
    </row>
    <row r="29" spans="1:16" x14ac:dyDescent="0.2">
      <c r="A29" s="464" t="s">
        <v>300</v>
      </c>
      <c r="B29" s="467">
        <v>2026</v>
      </c>
      <c r="C29" s="487" t="str">
        <f>IF(ISBLANK(Code_2026),"",Code_2026)</f>
        <v/>
      </c>
      <c r="D29" s="465">
        <v>2036</v>
      </c>
      <c r="E29" s="491" t="str">
        <f>IF(ISBLANK(Code_2036),"",Code_2036)</f>
        <v/>
      </c>
      <c r="F29" s="465">
        <v>7415</v>
      </c>
      <c r="G29" s="464">
        <f>'2021 HAR'!L401</f>
        <v>0</v>
      </c>
      <c r="H29" s="485" t="str">
        <f t="shared" si="1"/>
        <v>N/A</v>
      </c>
      <c r="I29" s="1456" t="str">
        <f>IFERROR(VLOOKUP('2021 HAR'!$D$5,Hospital_Data,17,FALSE)/VLOOKUP('2021 HAR'!$D$5,Hospital_Data,18,FALSE),"N/A")</f>
        <v>N/A</v>
      </c>
      <c r="J29" s="1456"/>
      <c r="K29" s="493" t="str">
        <f t="shared" si="0"/>
        <v/>
      </c>
      <c r="M29" s="1466" t="s">
        <v>2400</v>
      </c>
      <c r="N29" s="1467"/>
      <c r="O29" s="1467"/>
      <c r="P29" s="1468"/>
    </row>
    <row r="30" spans="1:16" x14ac:dyDescent="0.2">
      <c r="A30" s="464" t="s">
        <v>301</v>
      </c>
      <c r="B30" s="467">
        <v>2023</v>
      </c>
      <c r="C30" s="488" t="str">
        <f>IF(ISBLANK(Code_2023),"",Code_2023)</f>
        <v/>
      </c>
      <c r="D30" s="465">
        <v>2033</v>
      </c>
      <c r="E30" s="491" t="str">
        <f>IF(ISBLANK(Code_2033),"",Code_2033)</f>
        <v/>
      </c>
      <c r="F30" s="465">
        <v>7416</v>
      </c>
      <c r="G30" s="464">
        <f>'2021 HAR'!L402</f>
        <v>0</v>
      </c>
      <c r="H30" s="485" t="str">
        <f t="shared" si="1"/>
        <v>N/A</v>
      </c>
      <c r="I30" s="1456" t="str">
        <f>IFERROR(VLOOKUP('2021 HAR'!$D$5,Hospital_Data,19,FALSE)/VLOOKUP('2021 HAR'!$D$5,Hospital_Data,20,FALSE),"N/A")</f>
        <v>N/A</v>
      </c>
      <c r="J30" s="1456"/>
      <c r="K30" s="493" t="str">
        <f t="shared" si="0"/>
        <v/>
      </c>
      <c r="M30" s="1466" t="s">
        <v>2400</v>
      </c>
      <c r="N30" s="1467"/>
      <c r="O30" s="1467"/>
      <c r="P30" s="1468"/>
    </row>
    <row r="31" spans="1:16" x14ac:dyDescent="0.2">
      <c r="A31" s="464" t="s">
        <v>302</v>
      </c>
      <c r="B31" s="467">
        <v>2027</v>
      </c>
      <c r="C31" s="488" t="str">
        <f>IF(ISBLANK(Code_2027),"",Code_2027)</f>
        <v/>
      </c>
      <c r="D31" s="465">
        <v>2037</v>
      </c>
      <c r="E31" s="491" t="str">
        <f>IF(ISBLANK(Code_2037),"",Code_2037)</f>
        <v/>
      </c>
      <c r="F31" s="465">
        <v>7417</v>
      </c>
      <c r="G31" s="464">
        <f>'2021 HAR'!L403</f>
        <v>0</v>
      </c>
      <c r="H31" s="485" t="str">
        <f t="shared" si="1"/>
        <v>N/A</v>
      </c>
      <c r="I31" s="1456" t="str">
        <f>IFERROR(VLOOKUP('2021 HAR'!$D$5,Hospital_Data,21,FALSE)/VLOOKUP('2021 HAR'!$D$5,Hospital_Data,22,FALSE),"N/A")</f>
        <v>N/A</v>
      </c>
      <c r="J31" s="1456"/>
      <c r="K31" s="493" t="str">
        <f t="shared" si="0"/>
        <v/>
      </c>
      <c r="M31" s="1466" t="s">
        <v>2400</v>
      </c>
      <c r="N31" s="1467"/>
      <c r="O31" s="1467"/>
      <c r="P31" s="1468"/>
    </row>
    <row r="32" spans="1:16" x14ac:dyDescent="0.2">
      <c r="A32" s="464" t="s">
        <v>303</v>
      </c>
      <c r="B32" s="467">
        <v>2024</v>
      </c>
      <c r="C32" s="488" t="str">
        <f>IF(ISBLANK(Code_2024),"",Code_2024)</f>
        <v/>
      </c>
      <c r="D32" s="465">
        <v>2034</v>
      </c>
      <c r="E32" s="491" t="str">
        <f>IF(ISBLANK(Code_2034),"",Code_2034)</f>
        <v/>
      </c>
      <c r="F32" s="465">
        <v>7418</v>
      </c>
      <c r="G32" s="464">
        <f>'2021 HAR'!L404</f>
        <v>0</v>
      </c>
      <c r="H32" s="485" t="str">
        <f t="shared" si="1"/>
        <v>N/A</v>
      </c>
      <c r="I32" s="1456" t="str">
        <f>IFERROR(VLOOKUP('2021 HAR'!$D$5,Hospital_Data,23,FALSE)/VLOOKUP('2021 HAR'!$D$5,Hospital_Data,24,FALSE),"N/A")</f>
        <v>N/A</v>
      </c>
      <c r="J32" s="1456"/>
      <c r="K32" s="493" t="str">
        <f t="shared" si="0"/>
        <v/>
      </c>
      <c r="M32" s="1466" t="s">
        <v>2400</v>
      </c>
      <c r="N32" s="1467"/>
      <c r="O32" s="1467"/>
      <c r="P32" s="1468"/>
    </row>
    <row r="33" spans="1:16" x14ac:dyDescent="0.2">
      <c r="A33" s="464" t="s">
        <v>304</v>
      </c>
      <c r="B33" s="467">
        <v>2028</v>
      </c>
      <c r="C33" s="488" t="str">
        <f>IF(ISBLANK(Code_2028),"",Code_2028)</f>
        <v/>
      </c>
      <c r="D33" s="465">
        <v>2038</v>
      </c>
      <c r="E33" s="491" t="str">
        <f>IF(ISBLANK(Code_2038),"",Code_2038)</f>
        <v/>
      </c>
      <c r="F33" s="465">
        <v>7419</v>
      </c>
      <c r="G33" s="464">
        <f>'2021 HAR'!L405</f>
        <v>0</v>
      </c>
      <c r="H33" s="485" t="str">
        <f t="shared" si="1"/>
        <v>N/A</v>
      </c>
      <c r="I33" s="1456" t="str">
        <f>IFERROR(VLOOKUP('2021 HAR'!$D$5,Hospital_Data,25,FALSE)/VLOOKUP('2021 HAR'!$D$5,Hospital_Data,26,FALSE),"N/A")</f>
        <v>N/A</v>
      </c>
      <c r="J33" s="1456"/>
      <c r="K33" s="493" t="str">
        <f t="shared" si="0"/>
        <v/>
      </c>
      <c r="M33" s="1466" t="s">
        <v>2400</v>
      </c>
      <c r="N33" s="1467"/>
      <c r="O33" s="1467"/>
      <c r="P33" s="1468"/>
    </row>
    <row r="34" spans="1:16" x14ac:dyDescent="0.2">
      <c r="A34" s="464" t="s">
        <v>305</v>
      </c>
      <c r="B34" s="467">
        <v>2122</v>
      </c>
      <c r="C34" s="488" t="str">
        <f>IF(ISBLANK(Code_2122),"",Code_2122)</f>
        <v/>
      </c>
      <c r="D34" s="465">
        <v>2132</v>
      </c>
      <c r="E34" s="491" t="str">
        <f>IF(ISBLANK(Code_2132),"",Code_2132)</f>
        <v/>
      </c>
      <c r="F34" s="465">
        <v>7420</v>
      </c>
      <c r="G34" s="464">
        <f>'2021 HAR'!L406</f>
        <v>0</v>
      </c>
      <c r="H34" s="485" t="str">
        <f t="shared" si="1"/>
        <v>N/A</v>
      </c>
      <c r="I34" s="1456" t="str">
        <f>IFERROR(VLOOKUP('2021 HAR'!$D$5,Hospital_Data,27,FALSE)/VLOOKUP('2021 HAR'!$D$5,Hospital_Data,28,FALSE),"N/A")</f>
        <v>N/A</v>
      </c>
      <c r="J34" s="1456"/>
      <c r="K34" s="493" t="str">
        <f t="shared" si="0"/>
        <v/>
      </c>
      <c r="M34" s="1466" t="s">
        <v>2400</v>
      </c>
      <c r="N34" s="1467"/>
      <c r="O34" s="1467"/>
      <c r="P34" s="1468"/>
    </row>
    <row r="35" spans="1:16" x14ac:dyDescent="0.2">
      <c r="A35" s="464" t="s">
        <v>306</v>
      </c>
      <c r="B35" s="467">
        <v>2123</v>
      </c>
      <c r="C35" s="488" t="str">
        <f>IF(ISBLANK(Code_2123),"",Code_2123)</f>
        <v/>
      </c>
      <c r="D35" s="465">
        <v>2133</v>
      </c>
      <c r="E35" s="491" t="str">
        <f>IF(ISBLANK(Code_2133),"",Code_2133)</f>
        <v/>
      </c>
      <c r="F35" s="465">
        <v>7421</v>
      </c>
      <c r="G35" s="464">
        <f>'2021 HAR'!L407</f>
        <v>0</v>
      </c>
      <c r="H35" s="485" t="str">
        <f t="shared" si="1"/>
        <v>N/A</v>
      </c>
      <c r="I35" s="1456" t="str">
        <f>IFERROR(VLOOKUP('2021 HAR'!$D$5,Hospital_Data,29,FALSE)/VLOOKUP('2021 HAR'!$D$5,Hospital_Data,30,FALSE),"N/A")</f>
        <v>N/A</v>
      </c>
      <c r="J35" s="1456"/>
      <c r="K35" s="493" t="str">
        <f t="shared" si="0"/>
        <v/>
      </c>
      <c r="M35" s="1466" t="s">
        <v>2400</v>
      </c>
      <c r="N35" s="1467"/>
      <c r="O35" s="1467"/>
      <c r="P35" s="1468"/>
    </row>
    <row r="36" spans="1:16" x14ac:dyDescent="0.2">
      <c r="A36" s="464" t="s">
        <v>2355</v>
      </c>
      <c r="B36" s="467">
        <v>2178</v>
      </c>
      <c r="C36" s="488" t="str">
        <f>IF(ISBLANK(Code_2178),"",Code_2178)</f>
        <v/>
      </c>
      <c r="D36" s="465">
        <v>2188</v>
      </c>
      <c r="E36" s="491" t="str">
        <f>IF(ISBLANK(Code_2188),"",Code_2188)</f>
        <v/>
      </c>
      <c r="F36" s="465">
        <v>7282</v>
      </c>
      <c r="G36" s="464">
        <f>'2021 HAR'!L408</f>
        <v>0</v>
      </c>
      <c r="H36" s="485" t="str">
        <f t="shared" si="1"/>
        <v>N/A</v>
      </c>
      <c r="I36" s="1456" t="str">
        <f>IFERROR(VLOOKUP('2021 HAR'!$D$5,Hospital_Data,31,FALSE)/VLOOKUP('2021 HAR'!$D$5,Hospital_Data,32,FALSE),"N/A")</f>
        <v>N/A</v>
      </c>
      <c r="J36" s="1456"/>
      <c r="K36" s="493" t="str">
        <f t="shared" si="0"/>
        <v/>
      </c>
      <c r="M36" s="1466" t="s">
        <v>2400</v>
      </c>
      <c r="N36" s="1467"/>
      <c r="O36" s="1467"/>
      <c r="P36" s="1468"/>
    </row>
    <row r="37" spans="1:16" x14ac:dyDescent="0.2">
      <c r="A37" s="464" t="s">
        <v>2356</v>
      </c>
      <c r="B37" s="467">
        <v>2125</v>
      </c>
      <c r="C37" s="488" t="str">
        <f>IF(ISBLANK(Code_2125),"",Code_2125)</f>
        <v/>
      </c>
      <c r="D37" s="465">
        <v>2135</v>
      </c>
      <c r="E37" s="491" t="str">
        <f>IF(ISBLANK(Code_2135),"",Code_2135)</f>
        <v/>
      </c>
      <c r="F37" s="465">
        <v>7423</v>
      </c>
      <c r="G37" s="464">
        <f>'2021 HAR'!L409</f>
        <v>0</v>
      </c>
      <c r="H37" s="485" t="str">
        <f t="shared" si="1"/>
        <v>N/A</v>
      </c>
      <c r="I37" s="1456" t="str">
        <f>IFERROR(VLOOKUP('2021 HAR'!$D$5,Hospital_Data,33,FALSE)/VLOOKUP('2021 HAR'!$D$5,Hospital_Data,34,FALSE),"N/A")</f>
        <v>N/A</v>
      </c>
      <c r="J37" s="1456"/>
      <c r="K37" s="493" t="str">
        <f t="shared" si="0"/>
        <v/>
      </c>
      <c r="M37" s="1466" t="s">
        <v>2400</v>
      </c>
      <c r="N37" s="1467"/>
      <c r="O37" s="1467"/>
      <c r="P37" s="1468"/>
    </row>
    <row r="38" spans="1:16" x14ac:dyDescent="0.2">
      <c r="A38" s="464" t="s">
        <v>2079</v>
      </c>
      <c r="B38" s="467">
        <v>2104</v>
      </c>
      <c r="C38" s="488" t="str">
        <f>IF(ISBLANK(Code_2104),"",Code_2104)</f>
        <v/>
      </c>
      <c r="D38" s="465">
        <v>2114</v>
      </c>
      <c r="E38" s="491" t="str">
        <f>IF(ISBLANK(Code_2114),"",Code_2114)</f>
        <v/>
      </c>
      <c r="F38" s="465">
        <v>7148</v>
      </c>
      <c r="G38" s="464">
        <f>'2021 HAR'!L410</f>
        <v>0</v>
      </c>
      <c r="H38" s="485" t="str">
        <f t="shared" si="1"/>
        <v>N/A</v>
      </c>
      <c r="I38" s="1456" t="str">
        <f>IFERROR(VLOOKUP('2021 HAR'!$D$5,Hospital_Data,40,FALSE)/VLOOKUP('2021 HAR'!$D$5,Hospital_Data,41,FALSE),"N/A")</f>
        <v>N/A</v>
      </c>
      <c r="J38" s="1456"/>
      <c r="K38" s="493" t="str">
        <f t="shared" si="0"/>
        <v/>
      </c>
      <c r="M38" s="1466" t="s">
        <v>2400</v>
      </c>
      <c r="N38" s="1467"/>
      <c r="O38" s="1467"/>
      <c r="P38" s="1468"/>
    </row>
    <row r="39" spans="1:16" x14ac:dyDescent="0.2">
      <c r="A39" s="464" t="s">
        <v>309</v>
      </c>
      <c r="B39" s="467">
        <v>2128</v>
      </c>
      <c r="C39" s="492">
        <f>IF(ISBLANK(Code_2128),"",Code_2128)</f>
        <v>0</v>
      </c>
      <c r="D39" s="465">
        <v>2138</v>
      </c>
      <c r="E39" s="491">
        <f>IF(ISBLANK(Code_2138),"",Code_2138)</f>
        <v>0</v>
      </c>
      <c r="F39" s="465">
        <v>7425</v>
      </c>
      <c r="G39" s="464">
        <f>'2021 HAR'!L412</f>
        <v>0</v>
      </c>
      <c r="H39" s="485" t="str">
        <f t="shared" si="1"/>
        <v>N/A</v>
      </c>
      <c r="I39" s="1456" t="str">
        <f>IFERROR(VLOOKUP('2021 HAR'!$D$5,Hospital_Data,35,FALSE)/VLOOKUP('2021 HAR'!$D$5,Hospital_Data,36,FALSE),"N/A")</f>
        <v>N/A</v>
      </c>
      <c r="J39" s="1456"/>
      <c r="K39" s="493" t="str">
        <f t="shared" si="0"/>
        <v/>
      </c>
      <c r="M39" s="1466" t="s">
        <v>2400</v>
      </c>
      <c r="N39" s="1467"/>
      <c r="O39" s="1467"/>
      <c r="P39" s="1468"/>
    </row>
    <row r="40" spans="1:16" x14ac:dyDescent="0.2">
      <c r="A40" s="464" t="s">
        <v>870</v>
      </c>
      <c r="B40" s="467">
        <v>2030</v>
      </c>
      <c r="C40" s="492">
        <f>IF(ISBLANK(Code_2030),"",Code_2030)</f>
        <v>0</v>
      </c>
      <c r="D40" s="465">
        <v>2040</v>
      </c>
      <c r="E40" s="491" t="str">
        <f>IF(ISBLANK(Code_2040),"",Code_2040)</f>
        <v/>
      </c>
      <c r="F40" s="465">
        <v>7426</v>
      </c>
      <c r="G40" s="464">
        <f>'2021 HAR'!L413</f>
        <v>0</v>
      </c>
      <c r="H40" s="485" t="str">
        <f t="shared" si="1"/>
        <v>N/A</v>
      </c>
      <c r="I40" s="1456" t="str">
        <f>IFERROR(VLOOKUP('2021 HAR'!$D$5,Hospital_Data,37,FALSE)/VLOOKUP('2021 HAR'!$D$5,Hospital_Data,38,FALSE),"N/A")</f>
        <v>N/A</v>
      </c>
      <c r="J40" s="1456"/>
      <c r="K40" s="493" t="str">
        <f t="shared" si="0"/>
        <v/>
      </c>
      <c r="M40" s="1466" t="s">
        <v>2400</v>
      </c>
      <c r="N40" s="1467"/>
      <c r="O40" s="1467"/>
      <c r="P40" s="1468"/>
    </row>
    <row r="44" spans="1:16" x14ac:dyDescent="0.2">
      <c r="A44" s="1480" t="s">
        <v>2358</v>
      </c>
      <c r="B44" s="1480"/>
      <c r="C44" s="1480"/>
      <c r="D44" s="1480"/>
      <c r="E44" s="1480"/>
      <c r="F44" s="1480"/>
      <c r="G44" s="1480"/>
      <c r="O44" s="1459" t="s">
        <v>2402</v>
      </c>
      <c r="P44" s="1459"/>
    </row>
    <row r="45" spans="1:16" x14ac:dyDescent="0.2">
      <c r="A45" s="468" t="s">
        <v>2368</v>
      </c>
      <c r="B45" s="1458" t="s">
        <v>2364</v>
      </c>
      <c r="C45" s="1458"/>
      <c r="D45" s="1458" t="s">
        <v>2365</v>
      </c>
      <c r="E45" s="1458"/>
      <c r="F45" s="1458" t="s">
        <v>2</v>
      </c>
      <c r="G45" s="1458"/>
      <c r="O45" s="1459"/>
      <c r="P45" s="1459"/>
    </row>
    <row r="46" spans="1:16" x14ac:dyDescent="0.2">
      <c r="A46" s="469" t="s">
        <v>2369</v>
      </c>
      <c r="B46" s="471">
        <v>7250</v>
      </c>
      <c r="C46" s="486" t="str">
        <f>IF(ISBLANK(Code_7250),"",Code_7250)</f>
        <v/>
      </c>
      <c r="D46" s="471">
        <v>7260</v>
      </c>
      <c r="E46" s="486" t="str">
        <f>IF(ISBLANK(Code_7260),"",Code_7260)</f>
        <v/>
      </c>
      <c r="F46" s="1457" t="str">
        <f>IFERROR(ABS(E46/C46),"N/A")</f>
        <v>N/A</v>
      </c>
      <c r="G46" s="1457"/>
      <c r="H46" s="1464" t="str">
        <f>IF(F46="N/A","",IF(F46&gt;0.7,"Adjustments are greater than 70% of Charges. Please verify this is correct.",IF(F46&lt;0.05,"Adjustments are less than 5% of Charges. Please verify this is correct.","")))</f>
        <v/>
      </c>
      <c r="I46" s="1465"/>
      <c r="J46" s="1465"/>
      <c r="K46" s="1465"/>
      <c r="L46" s="1465"/>
      <c r="M46" s="1465"/>
      <c r="O46" s="1471" t="s">
        <v>2400</v>
      </c>
      <c r="P46" s="1471"/>
    </row>
    <row r="47" spans="1:16" x14ac:dyDescent="0.2">
      <c r="A47" s="469" t="s">
        <v>2363</v>
      </c>
      <c r="B47" s="467">
        <v>841</v>
      </c>
      <c r="C47" s="486" t="str">
        <f>IF(ISBLANK(Code_0841),"",Code_0841)</f>
        <v/>
      </c>
      <c r="D47" s="467">
        <v>741</v>
      </c>
      <c r="E47" s="486" t="str">
        <f>IF(ISBLANK(Code_0741),"",Code_0741)</f>
        <v/>
      </c>
      <c r="F47" s="1457" t="str">
        <f t="shared" ref="F47:F55" si="2">IFERROR(ABS(E47/C47),"N/A")</f>
        <v>N/A</v>
      </c>
      <c r="G47" s="1457"/>
      <c r="H47" s="1464" t="str">
        <f t="shared" ref="H47:H55" si="3">IF(F47="N/A","",IF(F47&gt;0.7,"Adjustments are greater than 70% of Charges. Please verify this is correct.",IF(F47&lt;0.05,"Adjustments are less than 5% of Charges. Please verify this is correct.","")))</f>
        <v/>
      </c>
      <c r="I47" s="1465"/>
      <c r="J47" s="1465"/>
      <c r="K47" s="1465"/>
      <c r="L47" s="1465"/>
      <c r="M47" s="1465"/>
      <c r="O47" s="1471" t="s">
        <v>2400</v>
      </c>
      <c r="P47" s="1471"/>
    </row>
    <row r="48" spans="1:16" x14ac:dyDescent="0.2">
      <c r="A48" s="470" t="s">
        <v>2359</v>
      </c>
      <c r="B48" s="467">
        <v>842</v>
      </c>
      <c r="C48" s="486" t="str">
        <f>IF(ISBLANK(Code_0842),"",Code_0842)</f>
        <v/>
      </c>
      <c r="D48" s="467">
        <v>742</v>
      </c>
      <c r="E48" s="486" t="str">
        <f>IF(ISBLANK(Code_0742),"",Code_0742)</f>
        <v/>
      </c>
      <c r="F48" s="1457" t="str">
        <f t="shared" si="2"/>
        <v>N/A</v>
      </c>
      <c r="G48" s="1457"/>
      <c r="H48" s="1464" t="str">
        <f t="shared" si="3"/>
        <v/>
      </c>
      <c r="I48" s="1465"/>
      <c r="J48" s="1465"/>
      <c r="K48" s="1465"/>
      <c r="L48" s="1465"/>
      <c r="M48" s="1465"/>
      <c r="O48" s="1471" t="s">
        <v>2400</v>
      </c>
      <c r="P48" s="1471"/>
    </row>
    <row r="49" spans="1:16" x14ac:dyDescent="0.2">
      <c r="A49" s="469" t="s">
        <v>2370</v>
      </c>
      <c r="B49" s="467">
        <v>7253</v>
      </c>
      <c r="C49" s="486" t="str">
        <f>IF(ISBLANK(Code_7253),"",Code_7253)</f>
        <v/>
      </c>
      <c r="D49" s="467">
        <v>7263</v>
      </c>
      <c r="E49" s="486" t="str">
        <f>IF(ISBLANK(Code_7263),"",Code_7263)</f>
        <v/>
      </c>
      <c r="F49" s="1457" t="str">
        <f t="shared" si="2"/>
        <v>N/A</v>
      </c>
      <c r="G49" s="1457"/>
      <c r="H49" s="1464" t="str">
        <f t="shared" si="3"/>
        <v/>
      </c>
      <c r="I49" s="1465"/>
      <c r="J49" s="1465"/>
      <c r="K49" s="1465"/>
      <c r="L49" s="1465"/>
      <c r="M49" s="1465"/>
      <c r="O49" s="1471" t="s">
        <v>2400</v>
      </c>
      <c r="P49" s="1471"/>
    </row>
    <row r="50" spans="1:16" x14ac:dyDescent="0.2">
      <c r="A50" s="469" t="s">
        <v>2366</v>
      </c>
      <c r="B50" s="467">
        <v>7142</v>
      </c>
      <c r="C50" s="486" t="str">
        <f>IF(ISBLANK(Code_7142),"",Code_7142)</f>
        <v/>
      </c>
      <c r="D50" s="467">
        <v>7136</v>
      </c>
      <c r="E50" s="486" t="str">
        <f>IF(ISBLANK(Code_7136),"",Code_7136)</f>
        <v/>
      </c>
      <c r="F50" s="1457" t="str">
        <f t="shared" si="2"/>
        <v>N/A</v>
      </c>
      <c r="G50" s="1457"/>
      <c r="H50" s="1464" t="str">
        <f t="shared" si="3"/>
        <v/>
      </c>
      <c r="I50" s="1465"/>
      <c r="J50" s="1465"/>
      <c r="K50" s="1465"/>
      <c r="L50" s="1465"/>
      <c r="M50" s="1465"/>
      <c r="O50" s="1471" t="s">
        <v>2400</v>
      </c>
      <c r="P50" s="1471"/>
    </row>
    <row r="51" spans="1:16" x14ac:dyDescent="0.2">
      <c r="A51" s="469" t="s">
        <v>2367</v>
      </c>
      <c r="B51" s="467">
        <v>7145</v>
      </c>
      <c r="C51" s="486" t="str">
        <f>IF(ISBLANK(Code_7145),"",Code_7145)</f>
        <v/>
      </c>
      <c r="D51" s="467">
        <v>7139</v>
      </c>
      <c r="E51" s="486" t="str">
        <f>IF(ISBLANK(Code_7139),"",Code_7139)</f>
        <v/>
      </c>
      <c r="F51" s="1457" t="str">
        <f t="shared" si="2"/>
        <v>N/A</v>
      </c>
      <c r="G51" s="1457"/>
      <c r="H51" s="1464" t="str">
        <f t="shared" si="3"/>
        <v/>
      </c>
      <c r="I51" s="1465"/>
      <c r="J51" s="1465"/>
      <c r="K51" s="1465"/>
      <c r="L51" s="1465"/>
      <c r="M51" s="1465"/>
      <c r="O51" s="1471" t="s">
        <v>2400</v>
      </c>
      <c r="P51" s="1471"/>
    </row>
    <row r="52" spans="1:16" x14ac:dyDescent="0.2">
      <c r="A52" s="469" t="s">
        <v>2371</v>
      </c>
      <c r="B52" s="467">
        <v>7256</v>
      </c>
      <c r="C52" s="486" t="str">
        <f>IF(ISBLANK(Code_7256),"",Code_7256)</f>
        <v/>
      </c>
      <c r="D52" s="467">
        <v>7266</v>
      </c>
      <c r="E52" s="486" t="str">
        <f>IF(ISBLANK(Code_7266),"",Code_7266)</f>
        <v/>
      </c>
      <c r="F52" s="1457" t="str">
        <f t="shared" si="2"/>
        <v>N/A</v>
      </c>
      <c r="G52" s="1457"/>
      <c r="H52" s="1464" t="str">
        <f t="shared" si="3"/>
        <v/>
      </c>
      <c r="I52" s="1465"/>
      <c r="J52" s="1465"/>
      <c r="K52" s="1465"/>
      <c r="L52" s="1465"/>
      <c r="M52" s="1465"/>
      <c r="O52" s="1471" t="s">
        <v>2400</v>
      </c>
      <c r="P52" s="1471"/>
    </row>
    <row r="53" spans="1:16" x14ac:dyDescent="0.2">
      <c r="A53" s="469" t="s">
        <v>2362</v>
      </c>
      <c r="B53" s="467">
        <v>7144</v>
      </c>
      <c r="C53" s="486" t="str">
        <f>IF(ISBLANK(Code_7144),"",Code_7144)</f>
        <v/>
      </c>
      <c r="D53" s="467">
        <v>7138</v>
      </c>
      <c r="E53" s="486" t="str">
        <f>IF(ISBLANK(Code_7138),"",Code_7138)</f>
        <v/>
      </c>
      <c r="F53" s="1457" t="str">
        <f t="shared" si="2"/>
        <v>N/A</v>
      </c>
      <c r="G53" s="1457"/>
      <c r="H53" s="1464" t="str">
        <f t="shared" si="3"/>
        <v/>
      </c>
      <c r="I53" s="1465"/>
      <c r="J53" s="1465"/>
      <c r="K53" s="1465"/>
      <c r="L53" s="1465"/>
      <c r="M53" s="1465"/>
      <c r="O53" s="1471" t="s">
        <v>2400</v>
      </c>
      <c r="P53" s="1471"/>
    </row>
    <row r="54" spans="1:16" x14ac:dyDescent="0.2">
      <c r="A54" s="470" t="s">
        <v>2360</v>
      </c>
      <c r="B54" s="467">
        <v>7147</v>
      </c>
      <c r="C54" s="486" t="str">
        <f>IF(ISBLANK(Code_7147),"",Code_7147)</f>
        <v/>
      </c>
      <c r="D54" s="467">
        <v>7141</v>
      </c>
      <c r="E54" s="486" t="str">
        <f>IF(ISBLANK(Code_7141),"",Code_7141)</f>
        <v/>
      </c>
      <c r="F54" s="1457" t="str">
        <f t="shared" si="2"/>
        <v>N/A</v>
      </c>
      <c r="G54" s="1457"/>
      <c r="H54" s="1464" t="str">
        <f t="shared" si="3"/>
        <v/>
      </c>
      <c r="I54" s="1465"/>
      <c r="J54" s="1465"/>
      <c r="K54" s="1465"/>
      <c r="L54" s="1465"/>
      <c r="M54" s="1465"/>
      <c r="O54" s="1471" t="s">
        <v>2400</v>
      </c>
      <c r="P54" s="1471"/>
    </row>
    <row r="55" spans="1:16" x14ac:dyDescent="0.2">
      <c r="A55" s="470" t="s">
        <v>2361</v>
      </c>
      <c r="B55" s="467">
        <v>7259</v>
      </c>
      <c r="C55" s="486" t="str">
        <f>IF(ISBLANK(Code_7259),"",Code_7259)</f>
        <v/>
      </c>
      <c r="D55" s="467">
        <v>7269</v>
      </c>
      <c r="E55" s="486" t="str">
        <f>IF(ISBLANK(Code_7269),"",Code_7269)</f>
        <v/>
      </c>
      <c r="F55" s="1457" t="str">
        <f t="shared" si="2"/>
        <v>N/A</v>
      </c>
      <c r="G55" s="1457"/>
      <c r="H55" s="1464" t="str">
        <f t="shared" si="3"/>
        <v/>
      </c>
      <c r="I55" s="1465"/>
      <c r="J55" s="1465"/>
      <c r="K55" s="1465"/>
      <c r="L55" s="1465"/>
      <c r="M55" s="1465"/>
      <c r="O55" s="1471" t="s">
        <v>2400</v>
      </c>
      <c r="P55" s="1471"/>
    </row>
    <row r="58" spans="1:16" x14ac:dyDescent="0.2">
      <c r="A58" s="468" t="s">
        <v>2372</v>
      </c>
      <c r="B58" s="473" t="s">
        <v>2373</v>
      </c>
      <c r="C58" s="473" t="s">
        <v>2374</v>
      </c>
      <c r="D58" s="1458" t="s">
        <v>2375</v>
      </c>
      <c r="E58" s="1458"/>
    </row>
    <row r="59" spans="1:16" x14ac:dyDescent="0.2">
      <c r="A59" s="472" t="s">
        <v>386</v>
      </c>
      <c r="B59" s="465">
        <v>641</v>
      </c>
      <c r="C59" s="476" t="str">
        <f>IF(Code_0641=0,"",Code_0641)</f>
        <v/>
      </c>
      <c r="D59" s="1463" t="str">
        <f>IFERROR(C59/C61,"N/A")</f>
        <v>N/A</v>
      </c>
      <c r="E59" s="1463"/>
      <c r="F59" s="1464" t="str">
        <f>IFERROR(IF(AND(C59&lt;&gt;"",C59&gt;=(C60/2)),"Other Administrative Expenses are greater than 50% of Total Administrative Expenses. Is this correct?",""),"")</f>
        <v/>
      </c>
      <c r="G59" s="1465"/>
      <c r="H59" s="1465"/>
      <c r="I59" s="1465"/>
      <c r="J59" s="1465"/>
      <c r="K59" s="1465"/>
      <c r="L59" s="1465"/>
      <c r="M59" s="1465"/>
      <c r="N59" s="1465"/>
      <c r="O59" s="1471" t="s">
        <v>2400</v>
      </c>
      <c r="P59" s="1471"/>
    </row>
    <row r="60" spans="1:16" x14ac:dyDescent="0.2">
      <c r="A60" s="472" t="s">
        <v>387</v>
      </c>
      <c r="B60" s="465">
        <v>630</v>
      </c>
      <c r="C60" s="476" t="str">
        <f>IF(ISBLANK(Code_0630),"",Code_0630)</f>
        <v/>
      </c>
      <c r="D60" s="1463" t="str">
        <f>IFERROR(C60/C61,"N/A")</f>
        <v>N/A</v>
      </c>
      <c r="E60" s="1463"/>
      <c r="F60" s="1464" t="str">
        <f>IF(C60&lt;&gt;"",IF((C60/C61)&lt;0.05,"Total Administrative Expense is less than 5% of Total Operating Expenses. Is this correct?",IF((C60/C61)&gt;0.2,"Total Administrative Expense is greater than 20% of Total Operating Expenses. Is this correct?","")),"")</f>
        <v/>
      </c>
      <c r="G60" s="1465"/>
      <c r="H60" s="1465"/>
      <c r="I60" s="1465"/>
      <c r="J60" s="1465"/>
      <c r="K60" s="1465"/>
      <c r="L60" s="1465"/>
      <c r="M60" s="1465"/>
      <c r="N60" s="1465"/>
      <c r="O60" s="1471" t="s">
        <v>2400</v>
      </c>
      <c r="P60" s="1471"/>
    </row>
    <row r="61" spans="1:16" x14ac:dyDescent="0.2">
      <c r="A61" s="472" t="s">
        <v>1118</v>
      </c>
      <c r="B61" s="465">
        <v>600</v>
      </c>
      <c r="C61" s="476">
        <f>IF(ISBLANK(Code_0600),"",Code_0600)</f>
        <v>0</v>
      </c>
      <c r="D61" s="462"/>
      <c r="E61" s="462"/>
    </row>
    <row r="65" spans="1:16" x14ac:dyDescent="0.2">
      <c r="A65" s="1460" t="s">
        <v>1456</v>
      </c>
      <c r="B65" s="1460"/>
      <c r="C65" s="1460"/>
      <c r="D65" s="1460"/>
      <c r="E65" s="1460"/>
      <c r="F65" s="1460"/>
      <c r="G65" s="1460"/>
    </row>
    <row r="66" spans="1:16" ht="25.5" customHeight="1" x14ac:dyDescent="0.2">
      <c r="A66" s="468" t="s">
        <v>2376</v>
      </c>
      <c r="B66" s="1458" t="s">
        <v>2364</v>
      </c>
      <c r="C66" s="1458"/>
      <c r="D66" s="1458" t="s">
        <v>2377</v>
      </c>
      <c r="E66" s="1458"/>
      <c r="F66" s="1459" t="s">
        <v>2847</v>
      </c>
      <c r="G66" s="1459"/>
      <c r="H66" s="1459" t="s">
        <v>2858</v>
      </c>
      <c r="I66" s="1459"/>
      <c r="J66" s="465" t="s">
        <v>1454</v>
      </c>
      <c r="L66" s="1459" t="s">
        <v>2404</v>
      </c>
      <c r="M66" s="1459"/>
      <c r="N66" s="1459"/>
      <c r="O66" s="1459"/>
    </row>
    <row r="67" spans="1:16" ht="25.5" x14ac:dyDescent="0.2">
      <c r="A67" s="474" t="s">
        <v>2381</v>
      </c>
      <c r="B67" s="475" t="s">
        <v>2382</v>
      </c>
      <c r="C67" s="488">
        <f>IF(ISBLANK(Code_0871+Code_0876),"",Code_0871+Code_0876)</f>
        <v>0</v>
      </c>
      <c r="D67" s="465">
        <v>4502</v>
      </c>
      <c r="E67" s="490">
        <f>IF(ISBLANK(Code_4502),"",Code_4502)</f>
        <v>0</v>
      </c>
      <c r="F67" s="1476" t="str">
        <f>IFERROR(C67/E67,"N/A")</f>
        <v>N/A</v>
      </c>
      <c r="G67" s="1476"/>
      <c r="H67" s="1476" t="str">
        <f>IFERROR(((VLOOKUP('2021 HAR'!$D$5,Hospital_Data,2,FALSE))+(VLOOKUP('2021 HAR'!$D$5,Hospital_Data,5,FALSE)))/VLOOKUP('2021 HAR'!$D$5,Hospital_Data,7,FALSE),"N/A")</f>
        <v>N/A</v>
      </c>
      <c r="I67" s="1476"/>
      <c r="J67" s="489" t="str">
        <f>IFERROR((F67-H67)/H67,"")</f>
        <v/>
      </c>
      <c r="L67" s="1471" t="s">
        <v>2400</v>
      </c>
      <c r="M67" s="1471"/>
      <c r="N67" s="1471"/>
      <c r="O67" s="1471"/>
    </row>
    <row r="68" spans="1:16" x14ac:dyDescent="0.2">
      <c r="A68" s="469" t="s">
        <v>2378</v>
      </c>
      <c r="B68" s="465">
        <v>872</v>
      </c>
      <c r="C68" s="488" t="str">
        <f>IF(ISBLANK(Code_0872),"",Code_0872)</f>
        <v/>
      </c>
      <c r="D68" s="465">
        <v>4503</v>
      </c>
      <c r="E68" s="490" t="str">
        <f>IF(ISBLANK(Code_4503),"",Code_4503)</f>
        <v/>
      </c>
      <c r="F68" s="1476" t="str">
        <f t="shared" ref="F68:F70" si="4">IFERROR(C68/E68,"N/A")</f>
        <v>N/A</v>
      </c>
      <c r="G68" s="1476"/>
      <c r="H68" s="1476" t="str">
        <f>IFERROR(VLOOKUP('2021 HAR'!$D$5,Hospital_Data,3,FALSE)/VLOOKUP('2021 HAR'!$D$5,Hospital_Data,8,FALSE),"N/A")</f>
        <v>N/A</v>
      </c>
      <c r="I68" s="1476"/>
      <c r="J68" s="489" t="str">
        <f t="shared" ref="J68:J70" si="5">IFERROR((F68-H68)/H68,"")</f>
        <v/>
      </c>
      <c r="L68" s="1471" t="s">
        <v>2400</v>
      </c>
      <c r="M68" s="1471"/>
      <c r="N68" s="1471"/>
      <c r="O68" s="1471"/>
    </row>
    <row r="69" spans="1:16" x14ac:dyDescent="0.2">
      <c r="A69" s="469" t="s">
        <v>2379</v>
      </c>
      <c r="B69" s="465">
        <v>873</v>
      </c>
      <c r="C69" s="488" t="str">
        <f>IF(ISBLANK(Code_0873),"",Code_0873)</f>
        <v/>
      </c>
      <c r="D69" s="465">
        <v>4505</v>
      </c>
      <c r="E69" s="490" t="str">
        <f>IF(ISBLANK(Code_4505),"",Code_4505)</f>
        <v/>
      </c>
      <c r="F69" s="1476" t="str">
        <f t="shared" si="4"/>
        <v>N/A</v>
      </c>
      <c r="G69" s="1476"/>
      <c r="H69" s="1476" t="str">
        <f>IFERROR(VLOOKUP('2021 HAR'!$D$5,Hospital_Data,4,FALSE)/VLOOKUP('2021 HAR'!$D$5,Hospital_Data,9,FALSE),"N/A")</f>
        <v>N/A</v>
      </c>
      <c r="I69" s="1476"/>
      <c r="J69" s="489" t="str">
        <f t="shared" si="5"/>
        <v/>
      </c>
      <c r="L69" s="1471" t="s">
        <v>2400</v>
      </c>
      <c r="M69" s="1471"/>
      <c r="N69" s="1471"/>
      <c r="O69" s="1471"/>
    </row>
    <row r="70" spans="1:16" x14ac:dyDescent="0.2">
      <c r="A70" s="469" t="s">
        <v>2380</v>
      </c>
      <c r="B70" s="465">
        <v>880</v>
      </c>
      <c r="C70" s="488">
        <f>IF(ISBLANK(Code_0880),"",Code_0880)</f>
        <v>0</v>
      </c>
      <c r="D70" s="465">
        <v>4501</v>
      </c>
      <c r="E70" s="490" t="str">
        <f>IF(ISBLANK(Code_4501),"",Code_4501)</f>
        <v/>
      </c>
      <c r="F70" s="1476" t="str">
        <f t="shared" si="4"/>
        <v>N/A</v>
      </c>
      <c r="G70" s="1476"/>
      <c r="H70" s="1476" t="str">
        <f>IFERROR(VLOOKUP('2021 HAR'!$D$5,Hospital_Data,6,FALSE)/VLOOKUP('2021 HAR'!$D$5,Hospital_Data,10,FALSE),"N/A")</f>
        <v>N/A</v>
      </c>
      <c r="I70" s="1476"/>
      <c r="J70" s="489" t="str">
        <f t="shared" si="5"/>
        <v/>
      </c>
      <c r="L70" s="1471" t="s">
        <v>2400</v>
      </c>
      <c r="M70" s="1471"/>
      <c r="N70" s="1471"/>
      <c r="O70" s="1471"/>
    </row>
    <row r="74" spans="1:16" x14ac:dyDescent="0.2">
      <c r="A74" s="1460" t="s">
        <v>2406</v>
      </c>
      <c r="B74" s="1460"/>
      <c r="C74" s="1460"/>
      <c r="D74" s="1460"/>
      <c r="E74" s="1460"/>
      <c r="F74" s="1460"/>
      <c r="G74" s="1460"/>
    </row>
    <row r="75" spans="1:16" x14ac:dyDescent="0.2">
      <c r="A75" s="1474" t="s">
        <v>2386</v>
      </c>
      <c r="B75" s="1475"/>
      <c r="C75" s="1475"/>
      <c r="D75" s="1475"/>
      <c r="E75" s="470">
        <v>7596</v>
      </c>
      <c r="F75" s="1470">
        <f>Code_7596</f>
        <v>0</v>
      </c>
      <c r="G75" s="1470"/>
    </row>
    <row r="76" spans="1:16" x14ac:dyDescent="0.2">
      <c r="A76" s="1474" t="s">
        <v>2385</v>
      </c>
      <c r="B76" s="1475"/>
      <c r="C76" s="1475"/>
      <c r="D76" s="1475"/>
      <c r="E76" s="470">
        <v>7688</v>
      </c>
      <c r="F76" s="1470">
        <f>'2021 HAR'!P780</f>
        <v>0</v>
      </c>
      <c r="G76" s="1470"/>
      <c r="H76" s="1464" t="str">
        <f>IF(OR(F75&gt;0,F76&gt;0,F77&gt;0),IF(AND(EXACT(F75,F76),EXACT(F76,F77)),"","Fatal Error: Capital expenditure commitment amounts do not match. Please revise before submitting the HAR."),"")</f>
        <v/>
      </c>
      <c r="I76" s="1465"/>
      <c r="J76" s="1465"/>
      <c r="K76" s="1465"/>
      <c r="L76" s="1465"/>
      <c r="M76" s="1465"/>
      <c r="N76" s="1465"/>
      <c r="O76" s="1465"/>
      <c r="P76" s="1465"/>
    </row>
    <row r="77" spans="1:16" x14ac:dyDescent="0.2">
      <c r="A77" s="1474" t="s">
        <v>2384</v>
      </c>
      <c r="B77" s="1474"/>
      <c r="C77" s="1474"/>
      <c r="D77" s="1474"/>
      <c r="E77" s="1474"/>
      <c r="F77" s="1470">
        <f>'Capital Expend Project Specific'!P1</f>
        <v>0</v>
      </c>
      <c r="G77" s="1470"/>
    </row>
    <row r="79" spans="1:16" x14ac:dyDescent="0.2">
      <c r="A79" s="1474" t="s">
        <v>2387</v>
      </c>
      <c r="B79" s="1475"/>
      <c r="C79" s="1475"/>
      <c r="D79" s="1475"/>
      <c r="E79" s="470">
        <v>7595</v>
      </c>
      <c r="F79" s="1469">
        <f>Code_7595</f>
        <v>0</v>
      </c>
      <c r="G79" s="1469"/>
      <c r="H79" s="1464" t="str">
        <f>IF(OR(F79&gt;0,F80&gt;0),IF(EXACT(F79,F80),"","Fatal Error: Capital expenditure project numbers do not match. Please revise before submitting the HAR."),"")</f>
        <v/>
      </c>
      <c r="I79" s="1465"/>
      <c r="J79" s="1465"/>
      <c r="K79" s="1465"/>
      <c r="L79" s="1465"/>
      <c r="M79" s="1465"/>
      <c r="N79" s="1465"/>
      <c r="O79" s="1465"/>
      <c r="P79" s="1465"/>
    </row>
    <row r="80" spans="1:16" x14ac:dyDescent="0.2">
      <c r="A80" s="1475" t="s">
        <v>1351</v>
      </c>
      <c r="B80" s="1475"/>
      <c r="C80" s="1475"/>
      <c r="D80" s="1475"/>
      <c r="E80" s="1475"/>
      <c r="F80" s="1469">
        <f>'Capital Expend Project Specific'!K1</f>
        <v>0</v>
      </c>
      <c r="G80" s="1469"/>
    </row>
    <row r="84" spans="1:7" x14ac:dyDescent="0.2">
      <c r="A84" s="1460" t="s">
        <v>2401</v>
      </c>
      <c r="B84" s="1460"/>
      <c r="C84" s="1460"/>
      <c r="D84" s="1460"/>
      <c r="E84" s="1460"/>
      <c r="F84" s="1460"/>
      <c r="G84" s="1460"/>
    </row>
    <row r="85" spans="1:7" ht="25.5" customHeight="1" x14ac:dyDescent="0.2">
      <c r="A85" s="1481" t="str">
        <f>IF(AND(D87=0,D88=0,D89=0,D90=0,D91=0),"",IF(AND(EXACT(D87,D88),EXACT(D89,D90),EXACT(D87,D91),EXACT(D88,D91)),"No Error: Accounts below have the same value.",IF(AND(EXACT(D88,D89),EXACT(D89,D90),EXACT(D90,D91),D87&lt;=0),"No Error: Accounts below have the same value.","Fatal Error: The accounts below MUST be the same, and should be rounded to the nearest dollar. Please revise.")))</f>
        <v/>
      </c>
      <c r="B85" s="1481"/>
      <c r="C85" s="1481"/>
      <c r="D85" s="1481"/>
      <c r="E85" s="1481"/>
    </row>
    <row r="86" spans="1:7" x14ac:dyDescent="0.2">
      <c r="B86" s="482" t="s">
        <v>2395</v>
      </c>
      <c r="C86" s="482" t="s">
        <v>2396</v>
      </c>
      <c r="D86" s="1482" t="s">
        <v>2374</v>
      </c>
      <c r="E86" s="1482"/>
    </row>
    <row r="87" spans="1:7" x14ac:dyDescent="0.2">
      <c r="B87" s="470">
        <v>201</v>
      </c>
      <c r="C87" s="470">
        <v>1</v>
      </c>
      <c r="D87" s="1470">
        <f>Code_0201</f>
        <v>0</v>
      </c>
      <c r="E87" s="1470"/>
    </row>
    <row r="88" spans="1:7" x14ac:dyDescent="0.2">
      <c r="B88" s="470">
        <v>8062</v>
      </c>
      <c r="C88" s="470">
        <v>3</v>
      </c>
      <c r="D88" s="1470">
        <f>Code_8062</f>
        <v>0</v>
      </c>
      <c r="E88" s="1470"/>
    </row>
    <row r="89" spans="1:7" x14ac:dyDescent="0.2">
      <c r="B89" s="470">
        <v>740</v>
      </c>
      <c r="C89" s="470">
        <v>9</v>
      </c>
      <c r="D89" s="1470">
        <f>Code_0740</f>
        <v>0</v>
      </c>
      <c r="E89" s="1470"/>
    </row>
    <row r="90" spans="1:7" x14ac:dyDescent="0.2">
      <c r="B90" s="470">
        <v>860</v>
      </c>
      <c r="C90" s="470">
        <v>10</v>
      </c>
      <c r="D90" s="1470">
        <f>Code_0860</f>
        <v>0</v>
      </c>
      <c r="E90" s="1470"/>
    </row>
    <row r="91" spans="1:7" x14ac:dyDescent="0.2">
      <c r="B91" s="470">
        <v>850</v>
      </c>
      <c r="C91" s="470">
        <v>13</v>
      </c>
      <c r="D91" s="1470">
        <f>Code_0850</f>
        <v>0</v>
      </c>
      <c r="E91" s="1470"/>
    </row>
    <row r="93" spans="1:7" x14ac:dyDescent="0.2">
      <c r="A93" s="477"/>
      <c r="B93" s="477"/>
      <c r="C93" s="477"/>
      <c r="D93" s="477"/>
      <c r="E93" s="477"/>
    </row>
  </sheetData>
  <sheetProtection algorithmName="SHA-512" hashValue="vPYBQkZO6TgCTaUB9/vR0pg6QVE698N8BgJk/g6bfRSG8lkPOL7sh9Oz4Fk3WuOyV4fPkBJUeYmXjtl5wxdOhw==" saltValue="AXwaJTfT9flsFtnxyRrgWg==" spinCount="100000" sheet="1" objects="1" scenarios="1"/>
  <mergeCells count="128">
    <mergeCell ref="A84:G84"/>
    <mergeCell ref="O46:P46"/>
    <mergeCell ref="O47:P47"/>
    <mergeCell ref="O48:P48"/>
    <mergeCell ref="O49:P49"/>
    <mergeCell ref="O50:P50"/>
    <mergeCell ref="O51:P51"/>
    <mergeCell ref="O52:P52"/>
    <mergeCell ref="O53:P53"/>
    <mergeCell ref="O54:P54"/>
    <mergeCell ref="O55:P55"/>
    <mergeCell ref="O59:P59"/>
    <mergeCell ref="O60:P60"/>
    <mergeCell ref="H51:M51"/>
    <mergeCell ref="H52:M52"/>
    <mergeCell ref="H53:M53"/>
    <mergeCell ref="H54:M54"/>
    <mergeCell ref="H55:M55"/>
    <mergeCell ref="H46:M46"/>
    <mergeCell ref="H47:M47"/>
    <mergeCell ref="H79:P79"/>
    <mergeCell ref="B66:C66"/>
    <mergeCell ref="A77:E77"/>
    <mergeCell ref="A75:D75"/>
    <mergeCell ref="D89:E89"/>
    <mergeCell ref="D90:E90"/>
    <mergeCell ref="D91:E91"/>
    <mergeCell ref="A5:F6"/>
    <mergeCell ref="A10:F10"/>
    <mergeCell ref="A14:F15"/>
    <mergeCell ref="A11:F12"/>
    <mergeCell ref="A7:F8"/>
    <mergeCell ref="A16:F17"/>
    <mergeCell ref="F59:N59"/>
    <mergeCell ref="F60:N60"/>
    <mergeCell ref="A44:G44"/>
    <mergeCell ref="A24:G24"/>
    <mergeCell ref="L70:O70"/>
    <mergeCell ref="A85:E85"/>
    <mergeCell ref="D86:E86"/>
    <mergeCell ref="D87:E87"/>
    <mergeCell ref="D88:E88"/>
    <mergeCell ref="F75:G75"/>
    <mergeCell ref="F76:G76"/>
    <mergeCell ref="L69:O69"/>
    <mergeCell ref="A80:E80"/>
    <mergeCell ref="A65:G65"/>
    <mergeCell ref="A74:G74"/>
    <mergeCell ref="A76:D76"/>
    <mergeCell ref="A79:D79"/>
    <mergeCell ref="F70:G70"/>
    <mergeCell ref="H67:I67"/>
    <mergeCell ref="H68:I68"/>
    <mergeCell ref="H69:I69"/>
    <mergeCell ref="H70:I70"/>
    <mergeCell ref="F68:G68"/>
    <mergeCell ref="F69:G69"/>
    <mergeCell ref="F67:G67"/>
    <mergeCell ref="F79:G79"/>
    <mergeCell ref="F80:G80"/>
    <mergeCell ref="F77:G77"/>
    <mergeCell ref="H76:P76"/>
    <mergeCell ref="L67:O67"/>
    <mergeCell ref="L68:O68"/>
    <mergeCell ref="I25:J25"/>
    <mergeCell ref="I26:J26"/>
    <mergeCell ref="I27:J27"/>
    <mergeCell ref="I28:J28"/>
    <mergeCell ref="I29:J29"/>
    <mergeCell ref="I30:J30"/>
    <mergeCell ref="F66:G66"/>
    <mergeCell ref="M30:P30"/>
    <mergeCell ref="M31:P31"/>
    <mergeCell ref="M32:P32"/>
    <mergeCell ref="M33:P33"/>
    <mergeCell ref="M34:P34"/>
    <mergeCell ref="M25:P25"/>
    <mergeCell ref="M26:P26"/>
    <mergeCell ref="M27:P27"/>
    <mergeCell ref="M28:P28"/>
    <mergeCell ref="M29:P29"/>
    <mergeCell ref="D60:E60"/>
    <mergeCell ref="D59:E59"/>
    <mergeCell ref="I39:J39"/>
    <mergeCell ref="I40:J40"/>
    <mergeCell ref="H66:I66"/>
    <mergeCell ref="I33:J33"/>
    <mergeCell ref="I34:J34"/>
    <mergeCell ref="I35:J35"/>
    <mergeCell ref="I36:J36"/>
    <mergeCell ref="I37:J37"/>
    <mergeCell ref="I38:J38"/>
    <mergeCell ref="H48:M48"/>
    <mergeCell ref="H49:M49"/>
    <mergeCell ref="H50:M50"/>
    <mergeCell ref="M40:P40"/>
    <mergeCell ref="M35:P35"/>
    <mergeCell ref="M36:P36"/>
    <mergeCell ref="M37:P37"/>
    <mergeCell ref="M38:P38"/>
    <mergeCell ref="M39:P39"/>
    <mergeCell ref="O44:P45"/>
    <mergeCell ref="L66:O66"/>
    <mergeCell ref="D66:E66"/>
    <mergeCell ref="A1:I1"/>
    <mergeCell ref="A2:I2"/>
    <mergeCell ref="I31:J31"/>
    <mergeCell ref="I32:J32"/>
    <mergeCell ref="F52:G52"/>
    <mergeCell ref="F53:G53"/>
    <mergeCell ref="F54:G54"/>
    <mergeCell ref="F55:G55"/>
    <mergeCell ref="D58:E58"/>
    <mergeCell ref="F46:G46"/>
    <mergeCell ref="F47:G47"/>
    <mergeCell ref="F48:G48"/>
    <mergeCell ref="F49:G49"/>
    <mergeCell ref="F50:G50"/>
    <mergeCell ref="F51:G51"/>
    <mergeCell ref="B25:C25"/>
    <mergeCell ref="D25:E25"/>
    <mergeCell ref="F25:G25"/>
    <mergeCell ref="B45:C45"/>
    <mergeCell ref="D45:E45"/>
    <mergeCell ref="F45:G45"/>
    <mergeCell ref="A3:G3"/>
    <mergeCell ref="A19:F20"/>
    <mergeCell ref="A21:F22"/>
  </mergeCells>
  <conditionalFormatting sqref="A85:E85">
    <cfRule type="expression" dxfId="43" priority="34">
      <formula>IF($A$85="No Error: Accounts below have the same value.",TRUE,FALSE)</formula>
    </cfRule>
    <cfRule type="expression" dxfId="42" priority="35">
      <formula>IF($A$85="Fatal Error: The accounts below MUST be the same, and should be rounded to the nearest dollar. Please revise.",TRUE,FALSE)</formula>
    </cfRule>
  </conditionalFormatting>
  <conditionalFormatting sqref="O46">
    <cfRule type="expression" dxfId="41" priority="33">
      <formula>IF(AND($H$46&lt;&gt;""),TRUE,FALSE)</formula>
    </cfRule>
  </conditionalFormatting>
  <conditionalFormatting sqref="O47">
    <cfRule type="expression" dxfId="40" priority="32">
      <formula>IF(AND($H$47&lt;&gt;""),TRUE,FALSE)</formula>
    </cfRule>
  </conditionalFormatting>
  <conditionalFormatting sqref="O48">
    <cfRule type="expression" dxfId="39" priority="31">
      <formula>IF(AND($H$48&lt;&gt;""),TRUE,FALSE)</formula>
    </cfRule>
  </conditionalFormatting>
  <conditionalFormatting sqref="O49">
    <cfRule type="expression" dxfId="38" priority="30">
      <formula>IF(AND($H$49&lt;&gt;""),TRUE,FALSE)</formula>
    </cfRule>
  </conditionalFormatting>
  <conditionalFormatting sqref="O50">
    <cfRule type="expression" dxfId="37" priority="29">
      <formula>IF(AND($H$50&lt;&gt;""),TRUE,FALSE)</formula>
    </cfRule>
  </conditionalFormatting>
  <conditionalFormatting sqref="O51">
    <cfRule type="expression" dxfId="36" priority="28">
      <formula>IF(AND($H$51&lt;&gt;""),TRUE,FALSE)</formula>
    </cfRule>
  </conditionalFormatting>
  <conditionalFormatting sqref="O52">
    <cfRule type="expression" dxfId="35" priority="27">
      <formula>IF(AND($H$52&lt;&gt;""),TRUE,FALSE)</formula>
    </cfRule>
  </conditionalFormatting>
  <conditionalFormatting sqref="O53">
    <cfRule type="expression" dxfId="34" priority="26">
      <formula>IF(AND($H$53&lt;&gt;""),TRUE,FALSE)</formula>
    </cfRule>
  </conditionalFormatting>
  <conditionalFormatting sqref="O54">
    <cfRule type="expression" dxfId="33" priority="25">
      <formula>IF(AND($H$54&lt;&gt;""),TRUE,FALSE)</formula>
    </cfRule>
  </conditionalFormatting>
  <conditionalFormatting sqref="O55">
    <cfRule type="expression" dxfId="32" priority="24">
      <formula>IF(AND($H$55&lt;&gt;""),TRUE,FALSE)</formula>
    </cfRule>
  </conditionalFormatting>
  <conditionalFormatting sqref="O59">
    <cfRule type="expression" dxfId="31" priority="23">
      <formula>IF(AND($F$59&lt;&gt;""),TRUE,FALSE)</formula>
    </cfRule>
  </conditionalFormatting>
  <conditionalFormatting sqref="O60">
    <cfRule type="expression" dxfId="30" priority="22">
      <formula>IF(AND($F$60&lt;&gt;""),TRUE,FALSE)</formula>
    </cfRule>
  </conditionalFormatting>
  <conditionalFormatting sqref="L68:O68">
    <cfRule type="expression" dxfId="29" priority="21">
      <formula>IF(AND(NOT(ISBLANK($J$68)),ABS($J$68)&gt;0.2),TRUE,FALSE)</formula>
    </cfRule>
  </conditionalFormatting>
  <conditionalFormatting sqref="L69:O69">
    <cfRule type="expression" dxfId="28" priority="20">
      <formula>IF(AND(NOT(ISBLANK($J$69)),ABS($J$69)&gt;0.2),TRUE,FALSE)</formula>
    </cfRule>
  </conditionalFormatting>
  <conditionalFormatting sqref="L70:O70">
    <cfRule type="expression" dxfId="27" priority="19">
      <formula>IF(AND(NOT(ISBLANK($J$70)),ABS($J$70)&gt;0.2),TRUE,FALSE)</formula>
    </cfRule>
  </conditionalFormatting>
  <conditionalFormatting sqref="L67:O67">
    <cfRule type="expression" dxfId="26" priority="18">
      <formula>IF(AND(NOT(ISBLANK($J$67)),ABS($J$67)&gt;0.2),TRUE,FALSE)</formula>
    </cfRule>
  </conditionalFormatting>
  <conditionalFormatting sqref="M26:P26">
    <cfRule type="expression" dxfId="25" priority="17">
      <formula>IF(AND(NOT(ISBLANK($K$26)),ABS($K$26)&gt;0.15),TRUE,FALSE)</formula>
    </cfRule>
  </conditionalFormatting>
  <conditionalFormatting sqref="M27:P27">
    <cfRule type="expression" dxfId="24" priority="16">
      <formula>IF(AND(NOT(ISBLANK($K$27)),ABS($K$27)&gt;0.15),TRUE,FALSE)</formula>
    </cfRule>
  </conditionalFormatting>
  <conditionalFormatting sqref="M28:P28">
    <cfRule type="expression" dxfId="23" priority="15">
      <formula>IF(AND(NOT(ISBLANK($K$28)),ABS($K$28)&gt;0.15),TRUE,FALSE)</formula>
    </cfRule>
  </conditionalFormatting>
  <conditionalFormatting sqref="M29:P29">
    <cfRule type="expression" dxfId="22" priority="14">
      <formula>IF(AND(NOT(ISBLANK($K$29)),ABS($K$29)&gt;0.15),TRUE,FALSE)</formula>
    </cfRule>
  </conditionalFormatting>
  <conditionalFormatting sqref="M30:P30">
    <cfRule type="expression" dxfId="21" priority="13">
      <formula>IF(AND(NOT(ISBLANK($K$30)),ABS($K$30)&gt;0.15),TRUE,FALSE)</formula>
    </cfRule>
  </conditionalFormatting>
  <conditionalFormatting sqref="M31:P31">
    <cfRule type="expression" dxfId="20" priority="12">
      <formula>IF(AND(NOT(ISBLANK($K$31)),ABS($K$31)&gt;0.15),TRUE,FALSE)</formula>
    </cfRule>
  </conditionalFormatting>
  <conditionalFormatting sqref="M32:P32">
    <cfRule type="expression" dxfId="19" priority="11">
      <formula>IF(AND(NOT(ISBLANK($K$32)),ABS($K$32)&gt;0.15),TRUE,FALSE)</formula>
    </cfRule>
  </conditionalFormatting>
  <conditionalFormatting sqref="M33:P33">
    <cfRule type="expression" dxfId="18" priority="10">
      <formula>IF(AND(NOT(ISBLANK($K$33)),ABS($K$33)&gt;0.15),TRUE,FALSE)</formula>
    </cfRule>
  </conditionalFormatting>
  <conditionalFormatting sqref="M34:P34">
    <cfRule type="expression" dxfId="17" priority="9">
      <formula>IF(AND(NOT(ISBLANK($K$34)),ABS($K$34)&gt;0.15),TRUE,FALSE)</formula>
    </cfRule>
  </conditionalFormatting>
  <conditionalFormatting sqref="M35:P35">
    <cfRule type="expression" dxfId="16" priority="8">
      <formula>IF(AND(NOT(ISBLANK($K$35)),ABS($K$35)&gt;0.15),TRUE,FALSE)</formula>
    </cfRule>
  </conditionalFormatting>
  <conditionalFormatting sqref="M36:P36">
    <cfRule type="expression" dxfId="15" priority="7">
      <formula>IF(AND(NOT(ISBLANK($K$36)),ABS($K$36)&gt;0.15),TRUE,FALSE)</formula>
    </cfRule>
  </conditionalFormatting>
  <conditionalFormatting sqref="M37:P37">
    <cfRule type="expression" dxfId="14" priority="6">
      <formula>IF(AND(NOT(ISBLANK($K$37)),ABS($K$37)&gt;0.15),TRUE,FALSE)</formula>
    </cfRule>
  </conditionalFormatting>
  <conditionalFormatting sqref="M38:P38">
    <cfRule type="expression" dxfId="13" priority="5">
      <formula>IF(AND(NOT(ISBLANK($K$38)),ABS($K$38)&gt;0.15),TRUE,FALSE)</formula>
    </cfRule>
  </conditionalFormatting>
  <conditionalFormatting sqref="M39:P39">
    <cfRule type="expression" dxfId="12" priority="4">
      <formula>IF(AND(NOT(ISBLANK($K$39)),ABS($K$39)&gt;0.15),TRUE,FALSE)</formula>
    </cfRule>
  </conditionalFormatting>
  <conditionalFormatting sqref="M40:P40">
    <cfRule type="expression" dxfId="11" priority="3">
      <formula>IF(AND(NOT(ISBLANK($K$40)),ABS($K$40)&gt;0.15),TRUE,FALSE)</formula>
    </cfRule>
  </conditionalFormatting>
  <conditionalFormatting sqref="H76">
    <cfRule type="expression" dxfId="10" priority="2">
      <formula>IF($H$76&lt;&gt;"",TRUE,FALSE)</formula>
    </cfRule>
  </conditionalFormatting>
  <conditionalFormatting sqref="H79:P79">
    <cfRule type="expression" dxfId="9" priority="1">
      <formula>IF($H$79&lt;&gt;"",TRUE,FALSE)</formula>
    </cfRule>
  </conditionalFormatting>
  <hyperlinks>
    <hyperlink ref="B26" location="Code_2021" display="Code_2021" xr:uid="{AF306ADE-7595-4B49-BAAD-3C722A537171}"/>
    <hyperlink ref="B27" location="Code_2022" display="Code_2022" xr:uid="{8463A25E-612C-4FA7-A610-B94F37CD1437}"/>
    <hyperlink ref="B28" location="Code_2121" display="Code_2121" xr:uid="{2F81334E-91AB-423B-AD24-9403A06BF94F}"/>
    <hyperlink ref="B29" location="Code_2026" display="Code_2026" xr:uid="{11EACE29-8E93-4AFB-A7A7-9073BE88C279}"/>
    <hyperlink ref="B30" location="Code_2023" display="Code_2023" xr:uid="{797733D7-FD6A-4413-A79A-142899F82A1A}"/>
    <hyperlink ref="B31" location="Code_2027" display="Code_2027" xr:uid="{48670366-23D9-4CE8-82EB-0F5D4F685E12}"/>
    <hyperlink ref="B32" location="Code_2024" display="Code_2024" xr:uid="{45432A17-143A-4161-9C31-2A0D5702E8A1}"/>
    <hyperlink ref="B33" location="Code_2028" display="Code_2028" xr:uid="{701CAF4F-7890-4B6F-B6AC-5F96C86235E8}"/>
    <hyperlink ref="B34" location="Code_2122" display="Code_2122" xr:uid="{F57BB944-F3F0-47E2-85ED-50C06DDED85A}"/>
    <hyperlink ref="B35" location="Code_2123" display="Code_2123" xr:uid="{8F624D55-AEBA-49A3-85B9-21E4FD8A90B9}"/>
    <hyperlink ref="B36" location="Code_2178" display="Code_2178" xr:uid="{F5AE51B4-7DD7-4346-A8B2-4E7434C561A0}"/>
    <hyperlink ref="B37" location="Code_2125" display="Code_2125" xr:uid="{46768118-4359-4261-BC4D-73AFB1186FAD}"/>
    <hyperlink ref="B38" location="Code_2104" display="Code_2104" xr:uid="{1144F8A5-D20A-4D51-901B-0CCAE1374311}"/>
    <hyperlink ref="B39" location="Code_2128" display="Code_2128" xr:uid="{0ED6C24F-E677-40B6-B4EA-9DCD3E26E636}"/>
    <hyperlink ref="B40" location="Code_2030" display="Code_2030" xr:uid="{FAD350FC-FF9D-47FA-8E78-E9FC5642B185}"/>
    <hyperlink ref="B46" location="Code_7250" display="Code_7250" xr:uid="{D308018D-C139-4880-97B8-0710C457900E}"/>
    <hyperlink ref="D46" location="Code_7260" display="Code_7260" xr:uid="{D2DD71AD-7B90-42AA-A18E-802B2B8CB92E}"/>
    <hyperlink ref="B49" location="Code_7253" display="Code_7253" xr:uid="{242509AA-A51D-4C2B-9634-F409BA97345F}"/>
    <hyperlink ref="D49" location="Code_7263" display="Code_7263" xr:uid="{F7F689CC-9158-4036-99C8-F8DC2F8D4D19}"/>
    <hyperlink ref="B52" location="Code_7256" display="Code_7256" xr:uid="{4F0FCD41-0126-4D9A-82B6-8DCAF9B66140}"/>
    <hyperlink ref="D52" location="Code_7266" display="Code_7266" xr:uid="{6C01E2CE-C762-42AC-B4FD-A05767FC27D1}"/>
    <hyperlink ref="B55" location="Code_7259" display="Code_7259" xr:uid="{47205FAF-1A1A-4E7D-A3A1-985DA6517AAB}"/>
    <hyperlink ref="D55" location="Code_7269" display="Code_7269" xr:uid="{3A2768B0-B516-4E64-8521-94F514F3357C}"/>
    <hyperlink ref="B47" location="Code_0841" display="Code_0841" xr:uid="{1BE41E00-720A-4097-AEF4-EA9C1CC6F935}"/>
    <hyperlink ref="B48" location="Code_0842" display="Code_0842" xr:uid="{DEC54CA8-8F8E-4054-913A-4A0460BEB5D3}"/>
    <hyperlink ref="D47" location="Code_0741" display="Code_0741" xr:uid="{3BB797BA-5A06-4243-93EB-401B9BD9F991}"/>
    <hyperlink ref="D48" location="Code_0742" display="Code_0742" xr:uid="{15705DE5-849F-414C-93E5-29DA09C417C6}"/>
    <hyperlink ref="B50" location="Code_7142" display="Code_7142" xr:uid="{C24B2E59-94B8-47B5-82D5-B9DF29BE4B70}"/>
    <hyperlink ref="B51" location="Code_7145" display="Code_7145" xr:uid="{C8749867-5402-4436-BDED-71B908888EEF}"/>
    <hyperlink ref="D50" location="Code_7136" display="Code_7136" xr:uid="{708FFEC4-E434-4E92-BB24-11A5F533B45F}"/>
    <hyperlink ref="D51" location="Code_7139" display="Code_7139" xr:uid="{489B7363-FFC9-450A-9945-D66379D4FEB1}"/>
    <hyperlink ref="B53" location="Code_7144" display="Code_7144" xr:uid="{39023FDB-65E5-43DC-B365-DB2751F4D77C}"/>
    <hyperlink ref="B54" location="Code_7147" display="Code_7147" xr:uid="{57A1DF22-EFC1-41D5-BF54-287330351ADF}"/>
    <hyperlink ref="D53" location="Code_7138" display="Code_7138" xr:uid="{1DA4280A-E3DD-4776-968F-107C8A02EE40}"/>
    <hyperlink ref="D54" location="Code_7141" display="Code_7141" xr:uid="{B5A0BD54-1118-4E06-9D20-C6BC9B8A4101}"/>
  </hyperlinks>
  <pageMargins left="0.7" right="0.7" top="0.75" bottom="0.75" header="0.3" footer="0.3"/>
  <pageSetup scale="47" orientation="portrait" horizontalDpi="1200" verticalDpi="1200" r:id="rId1"/>
  <headerFooter alignWithMargins="0">
    <oddFooter>&amp;LMDH
www.health.state.mn.us/data/economics/hccis/index.html
Phone: 651-201-3572 
Fax: 651-201-5179&amp;CPage &amp;P
2021 Hospital Annual Report
Health Care Cost  Information System (HCCIS)&amp;RMHA
Jsanislo@mnhospitals.org
Phone: 651-659-1440
Fax: 651-659-1477</oddFooter>
  </headerFooter>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1"/>
  <dimension ref="A1:M19"/>
  <sheetViews>
    <sheetView view="pageBreakPreview" zoomScaleNormal="100" zoomScaleSheetLayoutView="100" workbookViewId="0">
      <selection sqref="A1:M2"/>
    </sheetView>
  </sheetViews>
  <sheetFormatPr defaultColWidth="9.140625" defaultRowHeight="26.25" customHeight="1" x14ac:dyDescent="0.2"/>
  <cols>
    <col min="1" max="16384" width="9.140625" style="1"/>
  </cols>
  <sheetData>
    <row r="1" spans="1:13" ht="26.25" customHeight="1" x14ac:dyDescent="0.2">
      <c r="A1" s="1483" t="s">
        <v>67</v>
      </c>
      <c r="B1" s="1221"/>
      <c r="C1" s="1221"/>
      <c r="D1" s="1221"/>
      <c r="E1" s="1221"/>
      <c r="F1" s="1221"/>
      <c r="G1" s="1221"/>
      <c r="H1" s="1221"/>
      <c r="I1" s="1221"/>
      <c r="J1" s="1221"/>
      <c r="K1" s="1221"/>
      <c r="L1" s="1221"/>
      <c r="M1" s="1221"/>
    </row>
    <row r="2" spans="1:13" ht="26.25" customHeight="1" x14ac:dyDescent="0.2">
      <c r="A2" s="1221"/>
      <c r="B2" s="1221"/>
      <c r="C2" s="1221"/>
      <c r="D2" s="1221"/>
      <c r="E2" s="1221"/>
      <c r="F2" s="1221"/>
      <c r="G2" s="1221"/>
      <c r="H2" s="1221"/>
      <c r="I2" s="1221"/>
      <c r="J2" s="1221"/>
      <c r="K2" s="1221"/>
      <c r="L2" s="1221"/>
      <c r="M2" s="1221"/>
    </row>
    <row r="3" spans="1:13" ht="26.25" customHeight="1" x14ac:dyDescent="0.25">
      <c r="A3" s="1486" t="s">
        <v>2848</v>
      </c>
      <c r="B3" s="1486"/>
      <c r="C3" s="1486"/>
      <c r="D3" s="1486"/>
      <c r="E3" s="1486"/>
      <c r="F3" s="1486"/>
      <c r="G3" s="1486"/>
      <c r="H3" s="1486"/>
      <c r="I3" s="1486"/>
      <c r="J3" s="1486"/>
      <c r="K3" s="1486"/>
      <c r="L3" s="1486"/>
      <c r="M3" s="1486"/>
    </row>
    <row r="4" spans="1:13" ht="26.25" customHeight="1" x14ac:dyDescent="0.2">
      <c r="A4" s="1014" t="s">
        <v>2849</v>
      </c>
      <c r="B4" s="634"/>
      <c r="C4" s="634"/>
      <c r="D4" s="634"/>
      <c r="E4" s="634"/>
      <c r="F4" s="634"/>
      <c r="G4" s="634"/>
      <c r="H4" s="634"/>
      <c r="I4" s="634"/>
      <c r="J4" s="634"/>
      <c r="K4" s="634"/>
      <c r="L4" s="634"/>
      <c r="M4" s="634"/>
    </row>
    <row r="5" spans="1:13" ht="26.25" customHeight="1" x14ac:dyDescent="0.2">
      <c r="A5" s="18"/>
      <c r="B5" s="19"/>
      <c r="C5" s="19"/>
      <c r="D5" s="19"/>
      <c r="E5" s="19"/>
      <c r="F5" s="19"/>
      <c r="G5" s="19"/>
      <c r="H5" s="19"/>
      <c r="I5" s="19"/>
      <c r="J5" s="19"/>
      <c r="K5" s="19"/>
      <c r="L5" s="19"/>
      <c r="M5" s="19"/>
    </row>
    <row r="6" spans="1:13" ht="26.25" customHeight="1" x14ac:dyDescent="0.2">
      <c r="A6" s="1092" t="s">
        <v>66</v>
      </c>
      <c r="B6" s="646"/>
      <c r="C6" s="646"/>
      <c r="D6" s="646"/>
      <c r="E6" s="646"/>
      <c r="F6" s="646"/>
      <c r="G6" s="646"/>
      <c r="H6" s="646"/>
      <c r="I6" s="646"/>
      <c r="J6" s="646"/>
      <c r="K6" s="646"/>
      <c r="L6" s="646"/>
      <c r="M6" s="646"/>
    </row>
    <row r="7" spans="1:13" ht="26.25" customHeight="1" x14ac:dyDescent="0.2">
      <c r="A7" s="646"/>
      <c r="B7" s="646"/>
      <c r="C7" s="646"/>
      <c r="D7" s="646"/>
      <c r="E7" s="646"/>
      <c r="F7" s="646"/>
      <c r="G7" s="646"/>
      <c r="H7" s="646"/>
      <c r="I7" s="646"/>
      <c r="J7" s="646"/>
      <c r="K7" s="646"/>
      <c r="L7" s="646"/>
      <c r="M7" s="646"/>
    </row>
    <row r="8" spans="1:13" ht="26.25" customHeight="1" x14ac:dyDescent="0.2">
      <c r="A8" s="990"/>
      <c r="B8" s="990"/>
      <c r="C8" s="990"/>
      <c r="D8" s="990"/>
      <c r="E8" s="990"/>
      <c r="F8" s="990"/>
      <c r="G8" s="990"/>
      <c r="H8" s="990"/>
      <c r="I8" s="990"/>
      <c r="J8" s="990"/>
      <c r="K8" s="990"/>
      <c r="L8" s="990"/>
      <c r="M8" s="990"/>
    </row>
    <row r="9" spans="1:13" ht="26.25" customHeight="1" x14ac:dyDescent="0.2">
      <c r="A9" s="1269" t="s">
        <v>950</v>
      </c>
      <c r="B9" s="1269"/>
      <c r="C9" s="1269"/>
      <c r="D9" s="1269"/>
      <c r="E9" s="1269"/>
      <c r="F9" s="1269"/>
      <c r="G9" s="1269"/>
      <c r="H9" s="1269"/>
      <c r="I9" s="1269"/>
      <c r="J9" s="1269"/>
      <c r="K9" s="1269"/>
      <c r="L9" s="593"/>
      <c r="M9" s="593"/>
    </row>
    <row r="10" spans="1:13" ht="26.25" customHeight="1" x14ac:dyDescent="0.2">
      <c r="A10" s="266">
        <v>7090</v>
      </c>
      <c r="B10" s="539" t="s">
        <v>942</v>
      </c>
      <c r="C10" s="528"/>
      <c r="D10" s="528"/>
      <c r="E10" s="528"/>
      <c r="F10" s="528"/>
      <c r="G10" s="528"/>
      <c r="H10" s="528"/>
      <c r="I10" s="528"/>
      <c r="J10" s="528"/>
      <c r="K10" s="529"/>
      <c r="L10" s="1484">
        <f>Code_7090</f>
        <v>0</v>
      </c>
      <c r="M10" s="1485"/>
    </row>
    <row r="11" spans="1:13" ht="26.25" customHeight="1" x14ac:dyDescent="0.2">
      <c r="A11" s="266">
        <v>7104</v>
      </c>
      <c r="B11" s="539" t="s">
        <v>943</v>
      </c>
      <c r="C11" s="528"/>
      <c r="D11" s="528"/>
      <c r="E11" s="528"/>
      <c r="F11" s="528"/>
      <c r="G11" s="528"/>
      <c r="H11" s="528"/>
      <c r="I11" s="528"/>
      <c r="J11" s="528"/>
      <c r="K11" s="529"/>
      <c r="L11" s="1484">
        <f>Code_7104</f>
        <v>0</v>
      </c>
      <c r="M11" s="1485"/>
    </row>
    <row r="12" spans="1:13" ht="26.25" customHeight="1" x14ac:dyDescent="0.2">
      <c r="A12" s="266">
        <v>7106</v>
      </c>
      <c r="B12" s="539" t="s">
        <v>944</v>
      </c>
      <c r="C12" s="528"/>
      <c r="D12" s="528"/>
      <c r="E12" s="528"/>
      <c r="F12" s="528"/>
      <c r="G12" s="528"/>
      <c r="H12" s="528"/>
      <c r="I12" s="528"/>
      <c r="J12" s="528"/>
      <c r="K12" s="529"/>
      <c r="L12" s="1484">
        <f>Code_7106</f>
        <v>0</v>
      </c>
      <c r="M12" s="1485"/>
    </row>
    <row r="13" spans="1:13" ht="26.25" customHeight="1" x14ac:dyDescent="0.2">
      <c r="A13" s="21"/>
      <c r="B13" s="522" t="s">
        <v>947</v>
      </c>
      <c r="C13" s="523"/>
      <c r="D13" s="523"/>
      <c r="E13" s="523"/>
      <c r="F13" s="523"/>
      <c r="G13" s="523"/>
      <c r="H13" s="523"/>
      <c r="I13" s="523"/>
      <c r="J13" s="523"/>
      <c r="K13" s="524"/>
      <c r="L13" s="1487">
        <f>L10-(L11+L12)</f>
        <v>0</v>
      </c>
      <c r="M13" s="1488"/>
    </row>
    <row r="14" spans="1:13" ht="26.25" customHeight="1" x14ac:dyDescent="0.2">
      <c r="A14" s="266">
        <v>7125</v>
      </c>
      <c r="B14" s="539" t="s">
        <v>566</v>
      </c>
      <c r="C14" s="528"/>
      <c r="D14" s="528"/>
      <c r="E14" s="528"/>
      <c r="F14" s="528"/>
      <c r="G14" s="528"/>
      <c r="H14" s="528"/>
      <c r="I14" s="528"/>
      <c r="J14" s="528"/>
      <c r="K14" s="529"/>
      <c r="L14" s="1484">
        <f>Code_7125</f>
        <v>0</v>
      </c>
      <c r="M14" s="1485"/>
    </row>
    <row r="15" spans="1:13" ht="26.25" customHeight="1" x14ac:dyDescent="0.2">
      <c r="A15" s="266">
        <v>7098</v>
      </c>
      <c r="B15" s="539" t="s">
        <v>945</v>
      </c>
      <c r="C15" s="528"/>
      <c r="D15" s="528"/>
      <c r="E15" s="528"/>
      <c r="F15" s="528"/>
      <c r="G15" s="528"/>
      <c r="H15" s="528"/>
      <c r="I15" s="528"/>
      <c r="J15" s="528"/>
      <c r="K15" s="529"/>
      <c r="L15" s="1484">
        <f>Code_7098</f>
        <v>0</v>
      </c>
      <c r="M15" s="1485"/>
    </row>
    <row r="16" spans="1:13" ht="26.25" customHeight="1" x14ac:dyDescent="0.2">
      <c r="A16" s="266">
        <v>7100</v>
      </c>
      <c r="B16" s="539" t="s">
        <v>946</v>
      </c>
      <c r="C16" s="528"/>
      <c r="D16" s="528"/>
      <c r="E16" s="528"/>
      <c r="F16" s="528"/>
      <c r="G16" s="528"/>
      <c r="H16" s="528"/>
      <c r="I16" s="528"/>
      <c r="J16" s="528"/>
      <c r="K16" s="529"/>
      <c r="L16" s="1484">
        <f>Code_7100</f>
        <v>0</v>
      </c>
      <c r="M16" s="1485"/>
    </row>
    <row r="17" spans="1:13" ht="26.25" customHeight="1" x14ac:dyDescent="0.2">
      <c r="A17" s="21"/>
      <c r="B17" s="522" t="s">
        <v>948</v>
      </c>
      <c r="C17" s="523"/>
      <c r="D17" s="523"/>
      <c r="E17" s="523"/>
      <c r="F17" s="523"/>
      <c r="G17" s="523"/>
      <c r="H17" s="523"/>
      <c r="I17" s="523"/>
      <c r="J17" s="523"/>
      <c r="K17" s="524"/>
      <c r="L17" s="1487">
        <f>L14-(L15+L16)</f>
        <v>0</v>
      </c>
      <c r="M17" s="1488"/>
    </row>
    <row r="18" spans="1:13" ht="26.25" customHeight="1" x14ac:dyDescent="0.2">
      <c r="A18" s="21"/>
      <c r="B18" s="522" t="s">
        <v>949</v>
      </c>
      <c r="C18" s="523"/>
      <c r="D18" s="523"/>
      <c r="E18" s="523"/>
      <c r="F18" s="523"/>
      <c r="G18" s="523"/>
      <c r="H18" s="523"/>
      <c r="I18" s="523"/>
      <c r="J18" s="523"/>
      <c r="K18" s="524"/>
      <c r="L18" s="1487">
        <f>(L13+L17)</f>
        <v>0</v>
      </c>
      <c r="M18" s="1488"/>
    </row>
    <row r="19" spans="1:13" ht="26.25" customHeight="1" x14ac:dyDescent="0.2">
      <c r="A19" s="21"/>
      <c r="B19" s="522" t="s">
        <v>951</v>
      </c>
      <c r="C19" s="523"/>
      <c r="D19" s="523"/>
      <c r="E19" s="523"/>
      <c r="F19" s="523"/>
      <c r="G19" s="523"/>
      <c r="H19" s="523"/>
      <c r="I19" s="523"/>
      <c r="J19" s="523"/>
      <c r="K19" s="524"/>
      <c r="L19" s="1487">
        <f>L18*0.0156</f>
        <v>0</v>
      </c>
      <c r="M19" s="1488"/>
    </row>
  </sheetData>
  <sheetProtection algorithmName="SHA-512" hashValue="GrY5iftqF55CqK2LH+xPoKrgJAG5PVO7w5rgglERiXGCxVyoBRGJzqFcb2Pt/rRnusKUro23vT+WSD+2vMImcg==" saltValue="KdfHqRRllw35zpNdg45bFQ==" spinCount="100000" sheet="1" objects="1" scenarios="1"/>
  <mergeCells count="26">
    <mergeCell ref="B16:K16"/>
    <mergeCell ref="L16:M16"/>
    <mergeCell ref="B18:K18"/>
    <mergeCell ref="L18:M18"/>
    <mergeCell ref="B19:K19"/>
    <mergeCell ref="L19:M19"/>
    <mergeCell ref="B17:K17"/>
    <mergeCell ref="L17:M17"/>
    <mergeCell ref="B14:K14"/>
    <mergeCell ref="L14:M14"/>
    <mergeCell ref="B15:K15"/>
    <mergeCell ref="L15:M15"/>
    <mergeCell ref="B13:K13"/>
    <mergeCell ref="L13:M13"/>
    <mergeCell ref="A1:M2"/>
    <mergeCell ref="B11:K11"/>
    <mergeCell ref="L11:M11"/>
    <mergeCell ref="B12:K12"/>
    <mergeCell ref="L12:M12"/>
    <mergeCell ref="A3:M3"/>
    <mergeCell ref="B10:K10"/>
    <mergeCell ref="L10:M10"/>
    <mergeCell ref="A9:K9"/>
    <mergeCell ref="L9:M9"/>
    <mergeCell ref="A4:M4"/>
    <mergeCell ref="A6:M8"/>
  </mergeCells>
  <phoneticPr fontId="21" type="noConversion"/>
  <hyperlinks>
    <hyperlink ref="A10" location="Code_7090" display="Code_7090" xr:uid="{00000000-0004-0000-0600-000000000000}"/>
    <hyperlink ref="A11" location="Code_7104" display="Code_7104" xr:uid="{00000000-0004-0000-0600-000001000000}"/>
    <hyperlink ref="A12" location="Code_7106" display="Code_7106" xr:uid="{00000000-0004-0000-0600-000002000000}"/>
    <hyperlink ref="A14" location="Code_7125" display="Code_7125" xr:uid="{00000000-0004-0000-0600-000003000000}"/>
    <hyperlink ref="A15" location="Code_7098" display="Code_7098" xr:uid="{00000000-0004-0000-0600-000004000000}"/>
    <hyperlink ref="A16" location="Code_7100" display="Code_7100" xr:uid="{00000000-0004-0000-0600-000005000000}"/>
  </hyperlinks>
  <pageMargins left="0.75" right="0.75" top="1" bottom="1" header="0.5" footer="0.5"/>
  <pageSetup scale="75" orientation="portrait" horizontalDpi="1200" verticalDpi="1200" r:id="rId1"/>
  <headerFooter alignWithMargins="0">
    <oddFooter xml:space="preserve">&amp;LMDH
www.health.state.mn.us/data/economics/hccis/index.html
Phone: 651-201-3572 
Fax: 651-201-5179
&amp;CPage &amp;P
2021 Hospital Annual Report
Health Care Cost  Information System (HCCIS)
&amp;RMHA
Jsanislo@mnhospitals.org
Phone: 651-659-1440
Fax: 651-659-1477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dimension ref="A1:O132"/>
  <sheetViews>
    <sheetView showGridLines="0" view="pageBreakPreview" zoomScaleNormal="100" zoomScaleSheetLayoutView="100" workbookViewId="0">
      <selection activeCell="S29" sqref="S29"/>
    </sheetView>
  </sheetViews>
  <sheetFormatPr defaultRowHeight="12.75" x14ac:dyDescent="0.2"/>
  <cols>
    <col min="2" max="2" width="10.28515625" customWidth="1"/>
  </cols>
  <sheetData>
    <row r="1" spans="1:15" x14ac:dyDescent="0.2">
      <c r="A1" s="421" t="str">
        <f>'2021 HAR'!$A$33</f>
        <v xml:space="preserve"> </v>
      </c>
      <c r="B1" s="421"/>
      <c r="C1" s="421"/>
      <c r="D1" s="421"/>
      <c r="E1" s="421"/>
      <c r="F1" s="421"/>
      <c r="G1" s="421"/>
      <c r="H1" s="421"/>
      <c r="I1" s="421"/>
      <c r="J1" s="421"/>
      <c r="K1" s="421"/>
      <c r="L1" s="421"/>
      <c r="O1" s="434">
        <f>'2021 HAR'!D5</f>
        <v>0</v>
      </c>
    </row>
    <row r="2" spans="1:15" ht="18.75" x14ac:dyDescent="0.2">
      <c r="A2" s="1511" t="s">
        <v>2850</v>
      </c>
      <c r="B2" s="1512"/>
      <c r="C2" s="1512"/>
      <c r="D2" s="1512"/>
      <c r="E2" s="1512"/>
      <c r="F2" s="1512"/>
      <c r="G2" s="1512"/>
      <c r="H2" s="1512"/>
      <c r="I2" s="1512"/>
      <c r="J2" s="1512"/>
      <c r="K2" s="1512"/>
      <c r="L2" s="1513"/>
      <c r="M2" s="1523" t="s">
        <v>1981</v>
      </c>
    </row>
    <row r="3" spans="1:15" x14ac:dyDescent="0.2">
      <c r="A3" s="1514" t="s">
        <v>2851</v>
      </c>
      <c r="B3" s="1515"/>
      <c r="C3" s="1515"/>
      <c r="D3" s="1515"/>
      <c r="E3" s="1515"/>
      <c r="F3" s="1515"/>
      <c r="G3" s="1515"/>
      <c r="H3" s="1515"/>
      <c r="I3" s="1515"/>
      <c r="J3" s="1515"/>
      <c r="K3" s="1515"/>
      <c r="L3" s="1516"/>
      <c r="M3" s="1523"/>
    </row>
    <row r="4" spans="1:15" ht="36" customHeight="1" x14ac:dyDescent="0.2">
      <c r="A4" s="1517"/>
      <c r="B4" s="1518"/>
      <c r="C4" s="1518"/>
      <c r="D4" s="1518"/>
      <c r="E4" s="1518"/>
      <c r="F4" s="1518"/>
      <c r="G4" s="1518"/>
      <c r="H4" s="1518"/>
      <c r="I4" s="1518"/>
      <c r="J4" s="1518"/>
      <c r="K4" s="1518"/>
      <c r="L4" s="1519"/>
      <c r="M4" s="1523"/>
    </row>
    <row r="5" spans="1:15" ht="9" customHeight="1" x14ac:dyDescent="0.2">
      <c r="A5" s="422"/>
      <c r="B5" s="422"/>
      <c r="C5" s="422"/>
      <c r="D5" s="422"/>
      <c r="E5" s="422"/>
      <c r="F5" s="422"/>
      <c r="G5" s="422"/>
      <c r="H5" s="422"/>
      <c r="I5" s="422"/>
      <c r="J5" s="422"/>
      <c r="K5" s="422"/>
      <c r="L5" s="422"/>
      <c r="M5" s="1523"/>
    </row>
    <row r="6" spans="1:15" ht="52.5" customHeight="1" x14ac:dyDescent="0.2">
      <c r="A6" s="1520" t="s">
        <v>2852</v>
      </c>
      <c r="B6" s="1521"/>
      <c r="C6" s="1521"/>
      <c r="D6" s="1521"/>
      <c r="E6" s="1521"/>
      <c r="F6" s="1521"/>
      <c r="G6" s="1521"/>
      <c r="H6" s="1521"/>
      <c r="I6" s="1521"/>
      <c r="J6" s="1521"/>
      <c r="K6" s="1521"/>
      <c r="L6" s="1522"/>
      <c r="M6" s="1523"/>
    </row>
    <row r="7" spans="1:15" ht="8.25" customHeight="1" thickBot="1" x14ac:dyDescent="0.25">
      <c r="A7" s="422"/>
      <c r="B7" s="422"/>
      <c r="C7" s="422"/>
      <c r="D7" s="422"/>
      <c r="E7" s="422"/>
      <c r="F7" s="422"/>
      <c r="G7" s="422"/>
      <c r="H7" s="422"/>
      <c r="I7" s="422"/>
      <c r="J7" s="422"/>
      <c r="K7" s="422"/>
      <c r="L7" s="422"/>
      <c r="M7" s="1523"/>
    </row>
    <row r="8" spans="1:15" ht="15.75" x14ac:dyDescent="0.25">
      <c r="A8" s="423" t="s">
        <v>1979</v>
      </c>
      <c r="B8" s="424">
        <v>1</v>
      </c>
      <c r="C8" s="424"/>
      <c r="D8" s="424"/>
      <c r="E8" s="424"/>
      <c r="F8" s="1502" t="s">
        <v>1942</v>
      </c>
      <c r="G8" s="1502"/>
      <c r="H8" s="1502"/>
      <c r="I8" s="1502"/>
      <c r="J8" s="1502"/>
      <c r="K8" s="1503" t="str">
        <f>IFERROR(CONCATENATE(VLOOKUP($M$9,'CAP Data'!$C$3:$Q$2682,3,FALSE),"-",VLOOKUP($M$9,'CAP Data'!$C$3:$Q$2682,4,FALSE)),"")</f>
        <v/>
      </c>
      <c r="L8" s="1504"/>
      <c r="M8" s="433"/>
    </row>
    <row r="9" spans="1:15" ht="15" x14ac:dyDescent="0.2">
      <c r="A9" s="1505" t="s">
        <v>1943</v>
      </c>
      <c r="B9" s="1506"/>
      <c r="C9" s="1507" t="str">
        <f>IFERROR(VLOOKUP($M$9,'CAP Data'!$C$3:$Q$2682,5,FALSE),"")</f>
        <v/>
      </c>
      <c r="D9" s="1508"/>
      <c r="E9" s="425"/>
      <c r="F9" s="1509" t="s">
        <v>1944</v>
      </c>
      <c r="G9" s="1509"/>
      <c r="H9" s="1509"/>
      <c r="I9" s="1509"/>
      <c r="J9" s="1509"/>
      <c r="K9" s="1509"/>
      <c r="L9" s="1510"/>
      <c r="M9" s="435" t="str">
        <f>CONCATENATE($O$1,B8)</f>
        <v>01</v>
      </c>
    </row>
    <row r="10" spans="1:15" ht="15" x14ac:dyDescent="0.2">
      <c r="A10" s="1494" t="s">
        <v>1945</v>
      </c>
      <c r="B10" s="1495"/>
      <c r="C10" s="1496" t="str">
        <f>IFERROR(VLOOKUP($M$9,'CAP Data'!$C$3:$Q$2682,10,FALSE),"")</f>
        <v/>
      </c>
      <c r="D10" s="1496"/>
      <c r="E10" s="426"/>
      <c r="F10" s="1497" t="str">
        <f>IFERROR(VLOOKUP($M$9,'CAP Data'!$C$3:$Q$2682,12,FALSE),"")</f>
        <v/>
      </c>
      <c r="G10" s="1497"/>
      <c r="H10" s="1497"/>
      <c r="I10" s="1497"/>
      <c r="J10" s="1497"/>
      <c r="K10" s="1497"/>
      <c r="L10" s="1498"/>
    </row>
    <row r="11" spans="1:15" ht="15" x14ac:dyDescent="0.2">
      <c r="A11" s="1494" t="s">
        <v>1946</v>
      </c>
      <c r="B11" s="1495"/>
      <c r="C11" s="1499" t="str">
        <f>IFERROR(VLOOKUP($M$9,'CAP Data'!$C$3:$Q$2682,11,FALSE),"")</f>
        <v/>
      </c>
      <c r="D11" s="1499"/>
      <c r="E11" s="426"/>
      <c r="F11" s="1497" t="str">
        <f>IFERROR(VLOOKUP($M$9,'CAP Data'!$C$3:$Q$2682,13,FALSE),"")</f>
        <v/>
      </c>
      <c r="G11" s="1497"/>
      <c r="H11" s="1497"/>
      <c r="I11" s="1497"/>
      <c r="J11" s="1500" t="str">
        <f>IFERROR(VLOOKUP($M$9,'CAP Data'!$C$3:$Q$2682,14,FALSE),"")</f>
        <v/>
      </c>
      <c r="K11" s="1500"/>
      <c r="L11" s="1501"/>
    </row>
    <row r="12" spans="1:15" ht="39" customHeight="1" thickBot="1" x14ac:dyDescent="0.25">
      <c r="A12" s="1489" t="s">
        <v>1947</v>
      </c>
      <c r="B12" s="1490"/>
      <c r="C12" s="1491" t="str">
        <f>IFERROR(VLOOKUP($M$9,'CAP Data'!$C$3:$Q$2682,15,FALSE),"")</f>
        <v/>
      </c>
      <c r="D12" s="1492"/>
      <c r="E12" s="1492"/>
      <c r="F12" s="1492"/>
      <c r="G12" s="1492"/>
      <c r="H12" s="1492"/>
      <c r="I12" s="1492"/>
      <c r="J12" s="1492"/>
      <c r="K12" s="1492"/>
      <c r="L12" s="1493"/>
    </row>
    <row r="13" spans="1:15" ht="13.5" thickBot="1" x14ac:dyDescent="0.25">
      <c r="A13" s="421"/>
      <c r="B13" s="421"/>
      <c r="C13" s="421"/>
      <c r="D13" s="421"/>
      <c r="E13" s="421"/>
      <c r="F13" s="421"/>
      <c r="G13" s="421"/>
      <c r="H13" s="421"/>
      <c r="I13" s="421"/>
      <c r="J13" s="421"/>
      <c r="K13" s="421"/>
      <c r="L13" s="421"/>
    </row>
    <row r="14" spans="1:15" ht="15.75" x14ac:dyDescent="0.25">
      <c r="A14" s="423" t="s">
        <v>1979</v>
      </c>
      <c r="B14" s="424">
        <v>2</v>
      </c>
      <c r="C14" s="424"/>
      <c r="D14" s="424"/>
      <c r="E14" s="424"/>
      <c r="F14" s="1502" t="s">
        <v>1942</v>
      </c>
      <c r="G14" s="1502"/>
      <c r="H14" s="1502"/>
      <c r="I14" s="1502"/>
      <c r="J14" s="1502"/>
      <c r="K14" s="1503" t="str">
        <f>IFERROR(CONCATENATE(VLOOKUP($M$15,'CAP Data'!$C$3:$Q$2682,3,FALSE),"-",VLOOKUP($M$15,'CAP Data'!$C$3:$Q$2682,4,FALSE)),"")</f>
        <v/>
      </c>
      <c r="L14" s="1504"/>
      <c r="M14" s="433"/>
    </row>
    <row r="15" spans="1:15" ht="15" x14ac:dyDescent="0.2">
      <c r="A15" s="1505" t="s">
        <v>1943</v>
      </c>
      <c r="B15" s="1506"/>
      <c r="C15" s="1507" t="str">
        <f>IFERROR(VLOOKUP($M$15,'CAP Data'!$C$3:$Q$2682,5,FALSE),"")</f>
        <v/>
      </c>
      <c r="D15" s="1508"/>
      <c r="E15" s="425"/>
      <c r="F15" s="1509" t="s">
        <v>1944</v>
      </c>
      <c r="G15" s="1509"/>
      <c r="H15" s="1509"/>
      <c r="I15" s="1509"/>
      <c r="J15" s="1509"/>
      <c r="K15" s="1509"/>
      <c r="L15" s="1510"/>
      <c r="M15" s="435" t="str">
        <f>CONCATENATE($O$1,B14)</f>
        <v>02</v>
      </c>
    </row>
    <row r="16" spans="1:15" ht="15" x14ac:dyDescent="0.2">
      <c r="A16" s="1494" t="s">
        <v>1945</v>
      </c>
      <c r="B16" s="1495"/>
      <c r="C16" s="1496" t="str">
        <f>IFERROR(VLOOKUP($M$15,'CAP Data'!$C$3:$Q$2682,10,FALSE),"")</f>
        <v/>
      </c>
      <c r="D16" s="1496"/>
      <c r="E16" s="426"/>
      <c r="F16" s="1497" t="str">
        <f>IFERROR(VLOOKUP($M$15,'CAP Data'!$C$3:$Q$2682,12,FALSE),"")</f>
        <v/>
      </c>
      <c r="G16" s="1497"/>
      <c r="H16" s="1497"/>
      <c r="I16" s="1497"/>
      <c r="J16" s="1497"/>
      <c r="K16" s="1497"/>
      <c r="L16" s="1498"/>
    </row>
    <row r="17" spans="1:13" ht="15" x14ac:dyDescent="0.2">
      <c r="A17" s="1494" t="s">
        <v>1946</v>
      </c>
      <c r="B17" s="1495"/>
      <c r="C17" s="1499" t="str">
        <f>IFERROR(VLOOKUP($M$15,'CAP Data'!$C$3:$Q$2682,11,FALSE),"")</f>
        <v/>
      </c>
      <c r="D17" s="1499"/>
      <c r="E17" s="426"/>
      <c r="F17" s="1497" t="str">
        <f>IFERROR(VLOOKUP($M$15,'CAP Data'!$C$3:$Q$2682,13,FALSE),"")</f>
        <v/>
      </c>
      <c r="G17" s="1497"/>
      <c r="H17" s="1497"/>
      <c r="I17" s="1497"/>
      <c r="J17" s="1500" t="str">
        <f>IFERROR(VLOOKUP($M$15,'CAP Data'!$C$3:$Q$2682,14,FALSE),"")</f>
        <v/>
      </c>
      <c r="K17" s="1500"/>
      <c r="L17" s="1501"/>
    </row>
    <row r="18" spans="1:13" ht="39" customHeight="1" thickBot="1" x14ac:dyDescent="0.25">
      <c r="A18" s="1489" t="s">
        <v>1947</v>
      </c>
      <c r="B18" s="1490"/>
      <c r="C18" s="1491" t="str">
        <f>IFERROR(VLOOKUP($M$15,'CAP Data'!$C$3:$Q$2682,15,FALSE),"")</f>
        <v/>
      </c>
      <c r="D18" s="1492"/>
      <c r="E18" s="1492"/>
      <c r="F18" s="1492"/>
      <c r="G18" s="1492"/>
      <c r="H18" s="1492"/>
      <c r="I18" s="1492"/>
      <c r="J18" s="1492"/>
      <c r="K18" s="1492"/>
      <c r="L18" s="1493"/>
    </row>
    <row r="19" spans="1:13" ht="13.5" thickBot="1" x14ac:dyDescent="0.25">
      <c r="A19" s="421"/>
      <c r="B19" s="421"/>
      <c r="C19" s="421"/>
      <c r="D19" s="421"/>
      <c r="E19" s="421"/>
      <c r="F19" s="421"/>
      <c r="G19" s="421"/>
      <c r="H19" s="421"/>
      <c r="I19" s="421"/>
      <c r="J19" s="421"/>
      <c r="K19" s="421"/>
      <c r="L19" s="421"/>
    </row>
    <row r="20" spans="1:13" ht="15.75" x14ac:dyDescent="0.25">
      <c r="A20" s="423" t="s">
        <v>1979</v>
      </c>
      <c r="B20" s="424">
        <v>3</v>
      </c>
      <c r="C20" s="424"/>
      <c r="D20" s="424"/>
      <c r="E20" s="424"/>
      <c r="F20" s="1502" t="s">
        <v>1942</v>
      </c>
      <c r="G20" s="1502"/>
      <c r="H20" s="1502"/>
      <c r="I20" s="1502"/>
      <c r="J20" s="1502"/>
      <c r="K20" s="1503" t="str">
        <f>IFERROR(CONCATENATE(VLOOKUP($M$21,'CAP Data'!$C$3:$Q$2682,3,FALSE),"-",VLOOKUP($M$21,'CAP Data'!$C$3:$Q$2682,4,FALSE)),"")</f>
        <v/>
      </c>
      <c r="L20" s="1504"/>
      <c r="M20" s="433"/>
    </row>
    <row r="21" spans="1:13" ht="15" x14ac:dyDescent="0.2">
      <c r="A21" s="1505" t="s">
        <v>1943</v>
      </c>
      <c r="B21" s="1506"/>
      <c r="C21" s="1507" t="str">
        <f>IFERROR(VLOOKUP($M$21,'CAP Data'!$C$3:$Q$2682,5,FALSE),"")</f>
        <v/>
      </c>
      <c r="D21" s="1508"/>
      <c r="E21" s="425"/>
      <c r="F21" s="1509" t="s">
        <v>1944</v>
      </c>
      <c r="G21" s="1509"/>
      <c r="H21" s="1509"/>
      <c r="I21" s="1509"/>
      <c r="J21" s="1509"/>
      <c r="K21" s="1509"/>
      <c r="L21" s="1510"/>
      <c r="M21" s="435" t="str">
        <f>CONCATENATE($O$1,B20)</f>
        <v>03</v>
      </c>
    </row>
    <row r="22" spans="1:13" ht="15" x14ac:dyDescent="0.2">
      <c r="A22" s="1494" t="s">
        <v>1945</v>
      </c>
      <c r="B22" s="1495"/>
      <c r="C22" s="1496" t="str">
        <f>IFERROR(VLOOKUP($M$21,'CAP Data'!$C$3:$Q$2682,10,FALSE),"")</f>
        <v/>
      </c>
      <c r="D22" s="1496"/>
      <c r="E22" s="426"/>
      <c r="F22" s="1497" t="str">
        <f>IFERROR(VLOOKUP($M$21,'CAP Data'!$C$3:$Q$2682,12,FALSE),"")</f>
        <v/>
      </c>
      <c r="G22" s="1497"/>
      <c r="H22" s="1497"/>
      <c r="I22" s="1497"/>
      <c r="J22" s="1497"/>
      <c r="K22" s="1497"/>
      <c r="L22" s="1498"/>
    </row>
    <row r="23" spans="1:13" ht="15" x14ac:dyDescent="0.2">
      <c r="A23" s="1494" t="s">
        <v>1946</v>
      </c>
      <c r="B23" s="1495"/>
      <c r="C23" s="1499" t="str">
        <f>IFERROR(VLOOKUP($M$21,'CAP Data'!$C$3:$Q$2682,11,FALSE),"")</f>
        <v/>
      </c>
      <c r="D23" s="1499"/>
      <c r="E23" s="426"/>
      <c r="F23" s="1497" t="str">
        <f>IFERROR(VLOOKUP($M$21,'CAP Data'!$C$3:$Q$2682,13,FALSE),"")</f>
        <v/>
      </c>
      <c r="G23" s="1497"/>
      <c r="H23" s="1497"/>
      <c r="I23" s="1497"/>
      <c r="J23" s="1500" t="str">
        <f>IFERROR(VLOOKUP($M$21,'CAP Data'!$C$3:$Q$2682,14,FALSE),"")</f>
        <v/>
      </c>
      <c r="K23" s="1500"/>
      <c r="L23" s="1501"/>
    </row>
    <row r="24" spans="1:13" ht="39" customHeight="1" thickBot="1" x14ac:dyDescent="0.25">
      <c r="A24" s="1489" t="s">
        <v>1947</v>
      </c>
      <c r="B24" s="1490"/>
      <c r="C24" s="1491" t="str">
        <f>IFERROR(VLOOKUP($M$21,'CAP Data'!$C$3:$Q$2682,15,FALSE),"")</f>
        <v/>
      </c>
      <c r="D24" s="1492"/>
      <c r="E24" s="1492"/>
      <c r="F24" s="1492"/>
      <c r="G24" s="1492"/>
      <c r="H24" s="1492"/>
      <c r="I24" s="1492"/>
      <c r="J24" s="1492"/>
      <c r="K24" s="1492"/>
      <c r="L24" s="1493"/>
    </row>
    <row r="25" spans="1:13" ht="13.5" thickBot="1" x14ac:dyDescent="0.25">
      <c r="A25" s="421"/>
      <c r="B25" s="421"/>
      <c r="C25" s="421"/>
      <c r="D25" s="421"/>
      <c r="E25" s="421"/>
      <c r="F25" s="421"/>
      <c r="G25" s="421"/>
      <c r="H25" s="421"/>
      <c r="I25" s="421"/>
      <c r="J25" s="421"/>
      <c r="K25" s="421"/>
      <c r="L25" s="421"/>
    </row>
    <row r="26" spans="1:13" ht="15.75" x14ac:dyDescent="0.25">
      <c r="A26" s="423" t="s">
        <v>1979</v>
      </c>
      <c r="B26" s="424">
        <v>4</v>
      </c>
      <c r="C26" s="424"/>
      <c r="D26" s="424"/>
      <c r="E26" s="424"/>
      <c r="F26" s="1502" t="s">
        <v>1942</v>
      </c>
      <c r="G26" s="1502"/>
      <c r="H26" s="1502"/>
      <c r="I26" s="1502"/>
      <c r="J26" s="1502"/>
      <c r="K26" s="1503" t="str">
        <f>IFERROR(CONCATENATE(VLOOKUP($M$27,'CAP Data'!$C$3:$Q$2682,3,FALSE),"-",VLOOKUP($M$27,'CAP Data'!$C$3:$Q$2682,4,FALSE)),"")</f>
        <v/>
      </c>
      <c r="L26" s="1504"/>
      <c r="M26" s="433"/>
    </row>
    <row r="27" spans="1:13" ht="15" x14ac:dyDescent="0.2">
      <c r="A27" s="1505" t="s">
        <v>1943</v>
      </c>
      <c r="B27" s="1506"/>
      <c r="C27" s="1507" t="str">
        <f>IFERROR(VLOOKUP($M$27,'CAP Data'!$C$3:$Q$2682,5,FALSE),"")</f>
        <v/>
      </c>
      <c r="D27" s="1508"/>
      <c r="E27" s="425"/>
      <c r="F27" s="1509" t="s">
        <v>1944</v>
      </c>
      <c r="G27" s="1509"/>
      <c r="H27" s="1509"/>
      <c r="I27" s="1509"/>
      <c r="J27" s="1509"/>
      <c r="K27" s="1509"/>
      <c r="L27" s="1510"/>
      <c r="M27" s="435" t="str">
        <f>CONCATENATE($O$1,B26)</f>
        <v>04</v>
      </c>
    </row>
    <row r="28" spans="1:13" ht="15" x14ac:dyDescent="0.2">
      <c r="A28" s="1494" t="s">
        <v>1945</v>
      </c>
      <c r="B28" s="1495"/>
      <c r="C28" s="1496" t="str">
        <f>IFERROR(VLOOKUP($M$27,'CAP Data'!$C$3:$Q$2682,10,FALSE),"")</f>
        <v/>
      </c>
      <c r="D28" s="1496"/>
      <c r="E28" s="426"/>
      <c r="F28" s="1497" t="str">
        <f>IFERROR(VLOOKUP($M$27,'CAP Data'!$C$3:$Q$2682,12,FALSE),"")</f>
        <v/>
      </c>
      <c r="G28" s="1497"/>
      <c r="H28" s="1497"/>
      <c r="I28" s="1497"/>
      <c r="J28" s="1497"/>
      <c r="K28" s="1497"/>
      <c r="L28" s="1498"/>
    </row>
    <row r="29" spans="1:13" ht="15" x14ac:dyDescent="0.2">
      <c r="A29" s="1494" t="s">
        <v>1946</v>
      </c>
      <c r="B29" s="1495"/>
      <c r="C29" s="1499" t="str">
        <f>IFERROR(VLOOKUP($M$27,'CAP Data'!$C$3:$Q$2682,11,FALSE),"")</f>
        <v/>
      </c>
      <c r="D29" s="1499"/>
      <c r="E29" s="426"/>
      <c r="F29" s="1497" t="str">
        <f>IFERROR(VLOOKUP($M$27,'CAP Data'!$C$3:$Q$2682,13,FALSE),"")</f>
        <v/>
      </c>
      <c r="G29" s="1497"/>
      <c r="H29" s="1497"/>
      <c r="I29" s="1497"/>
      <c r="J29" s="1500" t="str">
        <f>IFERROR(VLOOKUP($M$27,'CAP Data'!$C$3:$Q$2682,14,FALSE),"")</f>
        <v/>
      </c>
      <c r="K29" s="1500"/>
      <c r="L29" s="1501"/>
    </row>
    <row r="30" spans="1:13" ht="39" customHeight="1" thickBot="1" x14ac:dyDescent="0.25">
      <c r="A30" s="1489" t="s">
        <v>1947</v>
      </c>
      <c r="B30" s="1490"/>
      <c r="C30" s="1491" t="str">
        <f>IFERROR(VLOOKUP($M$27,'CAP Data'!$C$3:$Q$2682,15,FALSE),"")</f>
        <v/>
      </c>
      <c r="D30" s="1492"/>
      <c r="E30" s="1492"/>
      <c r="F30" s="1492"/>
      <c r="G30" s="1492"/>
      <c r="H30" s="1492"/>
      <c r="I30" s="1492"/>
      <c r="J30" s="1492"/>
      <c r="K30" s="1492"/>
      <c r="L30" s="1493"/>
    </row>
    <row r="31" spans="1:13" ht="13.5" thickBot="1" x14ac:dyDescent="0.25"/>
    <row r="32" spans="1:13" ht="15.75" x14ac:dyDescent="0.25">
      <c r="A32" s="423" t="s">
        <v>1979</v>
      </c>
      <c r="B32" s="424">
        <v>5</v>
      </c>
      <c r="C32" s="424"/>
      <c r="D32" s="424"/>
      <c r="E32" s="424"/>
      <c r="F32" s="1502" t="s">
        <v>1942</v>
      </c>
      <c r="G32" s="1502"/>
      <c r="H32" s="1502"/>
      <c r="I32" s="1502"/>
      <c r="J32" s="1502"/>
      <c r="K32" s="1503" t="str">
        <f>IFERROR(CONCATENATE(VLOOKUP($M$33,'CAP Data'!$C$3:$Q$2682,3,FALSE),"-",VLOOKUP($M$33,'CAP Data'!$C$3:$Q$2682,4,FALSE)),"")</f>
        <v/>
      </c>
      <c r="L32" s="1504"/>
      <c r="M32" s="433"/>
    </row>
    <row r="33" spans="1:13" ht="15" x14ac:dyDescent="0.2">
      <c r="A33" s="1505" t="s">
        <v>1943</v>
      </c>
      <c r="B33" s="1506"/>
      <c r="C33" s="1507" t="str">
        <f>IFERROR(VLOOKUP($M$33,'CAP Data'!$C$3:$Q$2682,5,FALSE),"")</f>
        <v/>
      </c>
      <c r="D33" s="1508"/>
      <c r="E33" s="425"/>
      <c r="F33" s="1509" t="s">
        <v>1944</v>
      </c>
      <c r="G33" s="1509"/>
      <c r="H33" s="1509"/>
      <c r="I33" s="1509"/>
      <c r="J33" s="1509"/>
      <c r="K33" s="1509"/>
      <c r="L33" s="1510"/>
      <c r="M33" s="435" t="str">
        <f>CONCATENATE($O$1,B32)</f>
        <v>05</v>
      </c>
    </row>
    <row r="34" spans="1:13" ht="15" x14ac:dyDescent="0.2">
      <c r="A34" s="1494" t="s">
        <v>1945</v>
      </c>
      <c r="B34" s="1495"/>
      <c r="C34" s="1496" t="str">
        <f>IFERROR(VLOOKUP($M$33,'CAP Data'!$C$3:$Q$2682,10,FALSE),"")</f>
        <v/>
      </c>
      <c r="D34" s="1496"/>
      <c r="E34" s="426"/>
      <c r="F34" s="1497" t="str">
        <f>IFERROR(VLOOKUP($M$33,'CAP Data'!$C$3:$Q$2682,12,FALSE),"")</f>
        <v/>
      </c>
      <c r="G34" s="1497"/>
      <c r="H34" s="1497"/>
      <c r="I34" s="1497"/>
      <c r="J34" s="1497"/>
      <c r="K34" s="1497"/>
      <c r="L34" s="1498"/>
    </row>
    <row r="35" spans="1:13" ht="15" x14ac:dyDescent="0.2">
      <c r="A35" s="1494" t="s">
        <v>1946</v>
      </c>
      <c r="B35" s="1495"/>
      <c r="C35" s="1499" t="str">
        <f>IFERROR(VLOOKUP($M$33,'CAP Data'!$C$3:$Q$2682,11,FALSE),"")</f>
        <v/>
      </c>
      <c r="D35" s="1499"/>
      <c r="E35" s="426"/>
      <c r="F35" s="1497" t="str">
        <f>IFERROR(VLOOKUP($M$33,'CAP Data'!$C$3:$Q$2682,13,FALSE),"")</f>
        <v/>
      </c>
      <c r="G35" s="1497"/>
      <c r="H35" s="1497"/>
      <c r="I35" s="1497"/>
      <c r="J35" s="1500" t="str">
        <f>IFERROR(VLOOKUP($M$33,'CAP Data'!$C$3:$Q$2682,14,FALSE),"")</f>
        <v/>
      </c>
      <c r="K35" s="1500"/>
      <c r="L35" s="1501"/>
    </row>
    <row r="36" spans="1:13" ht="39" customHeight="1" thickBot="1" x14ac:dyDescent="0.25">
      <c r="A36" s="1489" t="s">
        <v>1947</v>
      </c>
      <c r="B36" s="1490"/>
      <c r="C36" s="1491" t="str">
        <f>IFERROR(VLOOKUP($M$33,'CAP Data'!$C$3:$Q$2682,15,FALSE),"")</f>
        <v/>
      </c>
      <c r="D36" s="1492"/>
      <c r="E36" s="1492"/>
      <c r="F36" s="1492"/>
      <c r="G36" s="1492"/>
      <c r="H36" s="1492"/>
      <c r="I36" s="1492"/>
      <c r="J36" s="1492"/>
      <c r="K36" s="1492"/>
      <c r="L36" s="1493"/>
    </row>
    <row r="37" spans="1:13" ht="13.5" thickBot="1" x14ac:dyDescent="0.25"/>
    <row r="38" spans="1:13" ht="15.75" x14ac:dyDescent="0.25">
      <c r="A38" s="423" t="s">
        <v>1979</v>
      </c>
      <c r="B38" s="424">
        <v>6</v>
      </c>
      <c r="C38" s="424"/>
      <c r="D38" s="424"/>
      <c r="E38" s="424"/>
      <c r="F38" s="1502" t="s">
        <v>1942</v>
      </c>
      <c r="G38" s="1502"/>
      <c r="H38" s="1502"/>
      <c r="I38" s="1502"/>
      <c r="J38" s="1502"/>
      <c r="K38" s="1503" t="str">
        <f>IFERROR(CONCATENATE(VLOOKUP($M$39,'CAP Data'!$C$3:$Q$2682,3,FALSE),"-",VLOOKUP($M$39,'CAP Data'!$C$3:$Q$2682,4,FALSE)),"")</f>
        <v/>
      </c>
      <c r="L38" s="1504"/>
      <c r="M38" s="433"/>
    </row>
    <row r="39" spans="1:13" ht="15" x14ac:dyDescent="0.2">
      <c r="A39" s="1505" t="s">
        <v>1943</v>
      </c>
      <c r="B39" s="1506"/>
      <c r="C39" s="1507" t="str">
        <f>IFERROR(VLOOKUP($M$39,'CAP Data'!$C$3:$Q$2682,5,FALSE),"")</f>
        <v/>
      </c>
      <c r="D39" s="1508"/>
      <c r="E39" s="425"/>
      <c r="F39" s="1509" t="s">
        <v>1944</v>
      </c>
      <c r="G39" s="1509"/>
      <c r="H39" s="1509"/>
      <c r="I39" s="1509"/>
      <c r="J39" s="1509"/>
      <c r="K39" s="1509"/>
      <c r="L39" s="1510"/>
      <c r="M39" s="435" t="str">
        <f>CONCATENATE($O$1,B38)</f>
        <v>06</v>
      </c>
    </row>
    <row r="40" spans="1:13" ht="15" x14ac:dyDescent="0.2">
      <c r="A40" s="1494" t="s">
        <v>1945</v>
      </c>
      <c r="B40" s="1495"/>
      <c r="C40" s="1496" t="str">
        <f>IFERROR(VLOOKUP($M$39,'CAP Data'!$C$3:$Q$2682,10,FALSE),"")</f>
        <v/>
      </c>
      <c r="D40" s="1496"/>
      <c r="E40" s="426"/>
      <c r="F40" s="1497" t="str">
        <f>IFERROR(VLOOKUP($M$39,'CAP Data'!$C$3:$Q$2682,12,FALSE),"")</f>
        <v/>
      </c>
      <c r="G40" s="1497"/>
      <c r="H40" s="1497"/>
      <c r="I40" s="1497"/>
      <c r="J40" s="1497"/>
      <c r="K40" s="1497"/>
      <c r="L40" s="1498"/>
    </row>
    <row r="41" spans="1:13" ht="15" x14ac:dyDescent="0.2">
      <c r="A41" s="1494" t="s">
        <v>1946</v>
      </c>
      <c r="B41" s="1495"/>
      <c r="C41" s="1499" t="str">
        <f>IFERROR(VLOOKUP($M$39,'CAP Data'!$C$3:$Q$2682,11,FALSE),"")</f>
        <v/>
      </c>
      <c r="D41" s="1499"/>
      <c r="E41" s="426"/>
      <c r="F41" s="1497" t="str">
        <f>IFERROR(VLOOKUP($M$39,'CAP Data'!$C$3:$Q$2682,13,FALSE),"")</f>
        <v/>
      </c>
      <c r="G41" s="1497"/>
      <c r="H41" s="1497"/>
      <c r="I41" s="1497"/>
      <c r="J41" s="1500" t="str">
        <f>IFERROR(VLOOKUP($M$39,'CAP Data'!$C$3:$Q$2682,14,FALSE),"")</f>
        <v/>
      </c>
      <c r="K41" s="1500"/>
      <c r="L41" s="1501"/>
    </row>
    <row r="42" spans="1:13" ht="39" customHeight="1" thickBot="1" x14ac:dyDescent="0.25">
      <c r="A42" s="1489" t="s">
        <v>1947</v>
      </c>
      <c r="B42" s="1490"/>
      <c r="C42" s="1491" t="str">
        <f>IFERROR(VLOOKUP($M$39,'CAP Data'!$C$3:$Q$2682,15,FALSE),"")</f>
        <v/>
      </c>
      <c r="D42" s="1492"/>
      <c r="E42" s="1492"/>
      <c r="F42" s="1492"/>
      <c r="G42" s="1492"/>
      <c r="H42" s="1492"/>
      <c r="I42" s="1492"/>
      <c r="J42" s="1492"/>
      <c r="K42" s="1492"/>
      <c r="L42" s="1493"/>
    </row>
    <row r="43" spans="1:13" ht="13.5" thickBot="1" x14ac:dyDescent="0.25"/>
    <row r="44" spans="1:13" ht="15.75" x14ac:dyDescent="0.25">
      <c r="A44" s="423" t="s">
        <v>1979</v>
      </c>
      <c r="B44" s="424">
        <v>7</v>
      </c>
      <c r="C44" s="424"/>
      <c r="D44" s="424"/>
      <c r="E44" s="424"/>
      <c r="F44" s="1502" t="s">
        <v>1942</v>
      </c>
      <c r="G44" s="1502"/>
      <c r="H44" s="1502"/>
      <c r="I44" s="1502"/>
      <c r="J44" s="1502"/>
      <c r="K44" s="1503" t="str">
        <f>IFERROR(CONCATENATE(VLOOKUP($M$45,'CAP Data'!$C$3:$Q$2682,3,FALSE),"-",VLOOKUP($M$45,'CAP Data'!$C$3:$Q$2682,4,FALSE)),"")</f>
        <v/>
      </c>
      <c r="L44" s="1504"/>
      <c r="M44" s="433"/>
    </row>
    <row r="45" spans="1:13" ht="15" x14ac:dyDescent="0.2">
      <c r="A45" s="1505" t="s">
        <v>1943</v>
      </c>
      <c r="B45" s="1506"/>
      <c r="C45" s="1507" t="str">
        <f>IFERROR(VLOOKUP($M$45,'CAP Data'!$C$3:$Q$2682,5,FALSE),"")</f>
        <v/>
      </c>
      <c r="D45" s="1508"/>
      <c r="E45" s="425"/>
      <c r="F45" s="1509" t="s">
        <v>1944</v>
      </c>
      <c r="G45" s="1509"/>
      <c r="H45" s="1509"/>
      <c r="I45" s="1509"/>
      <c r="J45" s="1509"/>
      <c r="K45" s="1509"/>
      <c r="L45" s="1510"/>
      <c r="M45" s="435" t="str">
        <f>CONCATENATE($O$1,B44)</f>
        <v>07</v>
      </c>
    </row>
    <row r="46" spans="1:13" ht="15" x14ac:dyDescent="0.2">
      <c r="A46" s="1494" t="s">
        <v>1945</v>
      </c>
      <c r="B46" s="1495"/>
      <c r="C46" s="1496" t="str">
        <f>IFERROR(VLOOKUP($M$45,'CAP Data'!$C$3:$Q$2682,10,FALSE),"")</f>
        <v/>
      </c>
      <c r="D46" s="1496"/>
      <c r="E46" s="426"/>
      <c r="F46" s="1497" t="str">
        <f>IFERROR(VLOOKUP($M$45,'CAP Data'!$C$3:$Q$2682,12,FALSE),"")</f>
        <v/>
      </c>
      <c r="G46" s="1497"/>
      <c r="H46" s="1497"/>
      <c r="I46" s="1497"/>
      <c r="J46" s="1497"/>
      <c r="K46" s="1497"/>
      <c r="L46" s="1498"/>
    </row>
    <row r="47" spans="1:13" ht="15" x14ac:dyDescent="0.2">
      <c r="A47" s="1494" t="s">
        <v>1946</v>
      </c>
      <c r="B47" s="1495"/>
      <c r="C47" s="1499" t="str">
        <f>IFERROR(VLOOKUP($M$45,'CAP Data'!$C$3:$Q$2682,11,FALSE),"")</f>
        <v/>
      </c>
      <c r="D47" s="1499"/>
      <c r="E47" s="426"/>
      <c r="F47" s="1497" t="str">
        <f>IFERROR(VLOOKUP($M$45,'CAP Data'!$C$3:$Q$2682,13,FALSE),"")</f>
        <v/>
      </c>
      <c r="G47" s="1497"/>
      <c r="H47" s="1497"/>
      <c r="I47" s="1497"/>
      <c r="J47" s="1500" t="str">
        <f>IFERROR(VLOOKUP($M$45,'CAP Data'!$C$3:$Q$2682,14,FALSE),"")</f>
        <v/>
      </c>
      <c r="K47" s="1500"/>
      <c r="L47" s="1501"/>
    </row>
    <row r="48" spans="1:13" ht="39" customHeight="1" thickBot="1" x14ac:dyDescent="0.25">
      <c r="A48" s="1489" t="s">
        <v>1947</v>
      </c>
      <c r="B48" s="1490"/>
      <c r="C48" s="1491" t="str">
        <f>IFERROR(VLOOKUP($M$45,'CAP Data'!$C$3:$Q$2682,15,FALSE),"")</f>
        <v/>
      </c>
      <c r="D48" s="1492"/>
      <c r="E48" s="1492"/>
      <c r="F48" s="1492"/>
      <c r="G48" s="1492"/>
      <c r="H48" s="1492"/>
      <c r="I48" s="1492"/>
      <c r="J48" s="1492"/>
      <c r="K48" s="1492"/>
      <c r="L48" s="1493"/>
    </row>
    <row r="49" spans="1:13" ht="13.5" thickBot="1" x14ac:dyDescent="0.25"/>
    <row r="50" spans="1:13" ht="15.75" x14ac:dyDescent="0.25">
      <c r="A50" s="423" t="s">
        <v>1979</v>
      </c>
      <c r="B50" s="424">
        <v>8</v>
      </c>
      <c r="C50" s="424"/>
      <c r="D50" s="424"/>
      <c r="E50" s="424"/>
      <c r="F50" s="1502" t="s">
        <v>1942</v>
      </c>
      <c r="G50" s="1502"/>
      <c r="H50" s="1502"/>
      <c r="I50" s="1502"/>
      <c r="J50" s="1502"/>
      <c r="K50" s="1503" t="str">
        <f>IFERROR(CONCATENATE(VLOOKUP($M$51,'CAP Data'!$C$3:$Q$2682,3,FALSE),"-",VLOOKUP($M$51,'CAP Data'!$C$3:$Q$2682,4,FALSE)),"")</f>
        <v/>
      </c>
      <c r="L50" s="1504"/>
      <c r="M50" s="433"/>
    </row>
    <row r="51" spans="1:13" ht="15" x14ac:dyDescent="0.2">
      <c r="A51" s="1505" t="s">
        <v>1943</v>
      </c>
      <c r="B51" s="1506"/>
      <c r="C51" s="1507" t="str">
        <f>IFERROR(VLOOKUP($M$51,'CAP Data'!$C$3:$Q$2682,5,FALSE),"")</f>
        <v/>
      </c>
      <c r="D51" s="1508"/>
      <c r="E51" s="425"/>
      <c r="F51" s="1509" t="s">
        <v>1944</v>
      </c>
      <c r="G51" s="1509"/>
      <c r="H51" s="1509"/>
      <c r="I51" s="1509"/>
      <c r="J51" s="1509"/>
      <c r="K51" s="1509"/>
      <c r="L51" s="1510"/>
      <c r="M51" s="435" t="str">
        <f>CONCATENATE($O$1,B50)</f>
        <v>08</v>
      </c>
    </row>
    <row r="52" spans="1:13" ht="15" x14ac:dyDescent="0.2">
      <c r="A52" s="1494" t="s">
        <v>1945</v>
      </c>
      <c r="B52" s="1495"/>
      <c r="C52" s="1496" t="str">
        <f>IFERROR(VLOOKUP($M$51,'CAP Data'!$C$3:$Q$2682,10,FALSE),"")</f>
        <v/>
      </c>
      <c r="D52" s="1496"/>
      <c r="E52" s="426"/>
      <c r="F52" s="1497" t="str">
        <f>IFERROR(VLOOKUP($M$51,'CAP Data'!$C$3:$Q$2682,12,FALSE),"")</f>
        <v/>
      </c>
      <c r="G52" s="1497"/>
      <c r="H52" s="1497"/>
      <c r="I52" s="1497"/>
      <c r="J52" s="1497"/>
      <c r="K52" s="1497"/>
      <c r="L52" s="1498"/>
    </row>
    <row r="53" spans="1:13" ht="15" x14ac:dyDescent="0.2">
      <c r="A53" s="1494" t="s">
        <v>1946</v>
      </c>
      <c r="B53" s="1495"/>
      <c r="C53" s="1499" t="str">
        <f>IFERROR(VLOOKUP($M$51,'CAP Data'!$C$3:$Q$2682,11,FALSE),"")</f>
        <v/>
      </c>
      <c r="D53" s="1499"/>
      <c r="E53" s="426"/>
      <c r="F53" s="1497" t="str">
        <f>IFERROR(VLOOKUP($M$51,'CAP Data'!$C$3:$Q$2682,13,FALSE),"")</f>
        <v/>
      </c>
      <c r="G53" s="1497"/>
      <c r="H53" s="1497"/>
      <c r="I53" s="1497"/>
      <c r="J53" s="1500" t="str">
        <f>IFERROR(VLOOKUP($M$51,'CAP Data'!$C$3:$Q$2682,14,FALSE),"")</f>
        <v/>
      </c>
      <c r="K53" s="1500"/>
      <c r="L53" s="1501"/>
    </row>
    <row r="54" spans="1:13" ht="39" customHeight="1" thickBot="1" x14ac:dyDescent="0.25">
      <c r="A54" s="1489" t="s">
        <v>1947</v>
      </c>
      <c r="B54" s="1490"/>
      <c r="C54" s="1491" t="str">
        <f>IFERROR(VLOOKUP($M$51,'CAP Data'!$C$3:$Q$2682,15,FALSE),"")</f>
        <v/>
      </c>
      <c r="D54" s="1492"/>
      <c r="E54" s="1492"/>
      <c r="F54" s="1492"/>
      <c r="G54" s="1492"/>
      <c r="H54" s="1492"/>
      <c r="I54" s="1492"/>
      <c r="J54" s="1492"/>
      <c r="K54" s="1492"/>
      <c r="L54" s="1493"/>
    </row>
    <row r="55" spans="1:13" ht="13.5" thickBot="1" x14ac:dyDescent="0.25"/>
    <row r="56" spans="1:13" ht="15.75" x14ac:dyDescent="0.25">
      <c r="A56" s="423" t="s">
        <v>1979</v>
      </c>
      <c r="B56" s="424">
        <v>9</v>
      </c>
      <c r="C56" s="424"/>
      <c r="D56" s="424"/>
      <c r="E56" s="424"/>
      <c r="F56" s="1502" t="s">
        <v>1942</v>
      </c>
      <c r="G56" s="1502"/>
      <c r="H56" s="1502"/>
      <c r="I56" s="1502"/>
      <c r="J56" s="1502"/>
      <c r="K56" s="1503" t="str">
        <f>IFERROR(CONCATENATE(VLOOKUP($M$57,'CAP Data'!$C$3:$Q$2682,3,FALSE),"-",VLOOKUP($M$57,'CAP Data'!$C$3:$Q$2682,4,FALSE)),"")</f>
        <v/>
      </c>
      <c r="L56" s="1504"/>
      <c r="M56" s="433"/>
    </row>
    <row r="57" spans="1:13" ht="15" x14ac:dyDescent="0.2">
      <c r="A57" s="1505" t="s">
        <v>1943</v>
      </c>
      <c r="B57" s="1506"/>
      <c r="C57" s="1507" t="str">
        <f>IFERROR(VLOOKUP($M$57,'CAP Data'!$C$3:$Q$2682,5,FALSE),"")</f>
        <v/>
      </c>
      <c r="D57" s="1508"/>
      <c r="E57" s="425"/>
      <c r="F57" s="1509" t="s">
        <v>1944</v>
      </c>
      <c r="G57" s="1509"/>
      <c r="H57" s="1509"/>
      <c r="I57" s="1509"/>
      <c r="J57" s="1509"/>
      <c r="K57" s="1509"/>
      <c r="L57" s="1510"/>
      <c r="M57" s="435" t="str">
        <f>CONCATENATE($O$1,B56)</f>
        <v>09</v>
      </c>
    </row>
    <row r="58" spans="1:13" ht="15" x14ac:dyDescent="0.2">
      <c r="A58" s="1494" t="s">
        <v>1945</v>
      </c>
      <c r="B58" s="1495"/>
      <c r="C58" s="1496" t="str">
        <f>IFERROR(VLOOKUP($M$57,'CAP Data'!$C$3:$Q$2682,10,FALSE),"")</f>
        <v/>
      </c>
      <c r="D58" s="1496"/>
      <c r="E58" s="426"/>
      <c r="F58" s="1497" t="str">
        <f>IFERROR(VLOOKUP($M$57,'CAP Data'!$C$3:$Q$2682,12,FALSE),"")</f>
        <v/>
      </c>
      <c r="G58" s="1497"/>
      <c r="H58" s="1497"/>
      <c r="I58" s="1497"/>
      <c r="J58" s="1497"/>
      <c r="K58" s="1497"/>
      <c r="L58" s="1498"/>
    </row>
    <row r="59" spans="1:13" ht="15" x14ac:dyDescent="0.2">
      <c r="A59" s="1494" t="s">
        <v>1946</v>
      </c>
      <c r="B59" s="1495"/>
      <c r="C59" s="1499" t="str">
        <f>IFERROR(VLOOKUP($M$57,'CAP Data'!$C$3:$Q$2682,11,FALSE),"")</f>
        <v/>
      </c>
      <c r="D59" s="1499"/>
      <c r="E59" s="426"/>
      <c r="F59" s="1497" t="str">
        <f>IFERROR(VLOOKUP($M$57,'CAP Data'!$C$3:$Q$2682,13,FALSE),"")</f>
        <v/>
      </c>
      <c r="G59" s="1497"/>
      <c r="H59" s="1497"/>
      <c r="I59" s="1497"/>
      <c r="J59" s="1500" t="str">
        <f>IFERROR(VLOOKUP($M$57,'CAP Data'!$C$3:$Q$2682,14,FALSE),"")</f>
        <v/>
      </c>
      <c r="K59" s="1500"/>
      <c r="L59" s="1501"/>
    </row>
    <row r="60" spans="1:13" ht="39" customHeight="1" thickBot="1" x14ac:dyDescent="0.25">
      <c r="A60" s="1489" t="s">
        <v>1947</v>
      </c>
      <c r="B60" s="1490"/>
      <c r="C60" s="1491" t="str">
        <f>IFERROR(VLOOKUP($M$57,'CAP Data'!$C$3:$Q$2682,15,FALSE),"")</f>
        <v/>
      </c>
      <c r="D60" s="1492"/>
      <c r="E60" s="1492"/>
      <c r="F60" s="1492"/>
      <c r="G60" s="1492"/>
      <c r="H60" s="1492"/>
      <c r="I60" s="1492"/>
      <c r="J60" s="1492"/>
      <c r="K60" s="1492"/>
      <c r="L60" s="1493"/>
    </row>
    <row r="61" spans="1:13" ht="13.5" thickBot="1" x14ac:dyDescent="0.25"/>
    <row r="62" spans="1:13" ht="15.75" x14ac:dyDescent="0.25">
      <c r="A62" s="423" t="s">
        <v>1979</v>
      </c>
      <c r="B62" s="424">
        <v>10</v>
      </c>
      <c r="C62" s="424"/>
      <c r="D62" s="424"/>
      <c r="E62" s="424"/>
      <c r="F62" s="1502" t="s">
        <v>1942</v>
      </c>
      <c r="G62" s="1502"/>
      <c r="H62" s="1502"/>
      <c r="I62" s="1502"/>
      <c r="J62" s="1502"/>
      <c r="K62" s="1503" t="str">
        <f>IFERROR(CONCATENATE(VLOOKUP($M$63,'CAP Data'!$C$3:$Q$2682,3,FALSE),"-",VLOOKUP($M$63,'CAP Data'!$C$3:$Q$2682,4,FALSE)),"")</f>
        <v/>
      </c>
      <c r="L62" s="1504"/>
      <c r="M62" s="433"/>
    </row>
    <row r="63" spans="1:13" ht="15" x14ac:dyDescent="0.2">
      <c r="A63" s="1505" t="s">
        <v>1943</v>
      </c>
      <c r="B63" s="1506"/>
      <c r="C63" s="1507" t="str">
        <f>IFERROR(VLOOKUP($M$63,'CAP Data'!$C$3:$Q$2682,5,FALSE),"")</f>
        <v/>
      </c>
      <c r="D63" s="1508"/>
      <c r="E63" s="425"/>
      <c r="F63" s="1509" t="s">
        <v>1944</v>
      </c>
      <c r="G63" s="1509"/>
      <c r="H63" s="1509"/>
      <c r="I63" s="1509"/>
      <c r="J63" s="1509"/>
      <c r="K63" s="1509"/>
      <c r="L63" s="1510"/>
      <c r="M63" s="435" t="str">
        <f>CONCATENATE($O$1,B62)</f>
        <v>010</v>
      </c>
    </row>
    <row r="64" spans="1:13" ht="15" x14ac:dyDescent="0.2">
      <c r="A64" s="1494" t="s">
        <v>1945</v>
      </c>
      <c r="B64" s="1495"/>
      <c r="C64" s="1496" t="str">
        <f>IFERROR(VLOOKUP($M$63,'CAP Data'!$C$3:$Q$2682,10,FALSE),"")</f>
        <v/>
      </c>
      <c r="D64" s="1496"/>
      <c r="E64" s="426"/>
      <c r="F64" s="1497" t="str">
        <f>IFERROR(VLOOKUP($M$63,'CAP Data'!$C$3:$Q$2682,12,FALSE),"")</f>
        <v/>
      </c>
      <c r="G64" s="1497"/>
      <c r="H64" s="1497"/>
      <c r="I64" s="1497"/>
      <c r="J64" s="1497"/>
      <c r="K64" s="1497"/>
      <c r="L64" s="1498"/>
    </row>
    <row r="65" spans="1:13" ht="15" x14ac:dyDescent="0.2">
      <c r="A65" s="1494" t="s">
        <v>1946</v>
      </c>
      <c r="B65" s="1495"/>
      <c r="C65" s="1499" t="str">
        <f>IFERROR(VLOOKUP($M$63,'CAP Data'!$C$3:$Q$2682,11,FALSE),"")</f>
        <v/>
      </c>
      <c r="D65" s="1499"/>
      <c r="E65" s="426"/>
      <c r="F65" s="1497" t="str">
        <f>IFERROR(VLOOKUP($M$63,'CAP Data'!$C$3:$Q$2682,13,FALSE),"")</f>
        <v/>
      </c>
      <c r="G65" s="1497"/>
      <c r="H65" s="1497"/>
      <c r="I65" s="1497"/>
      <c r="J65" s="1500" t="str">
        <f>IFERROR(VLOOKUP($M$63,'CAP Data'!$C$3:$Q$2682,14,FALSE),"")</f>
        <v/>
      </c>
      <c r="K65" s="1500"/>
      <c r="L65" s="1501"/>
    </row>
    <row r="66" spans="1:13" ht="39" customHeight="1" thickBot="1" x14ac:dyDescent="0.25">
      <c r="A66" s="1489" t="s">
        <v>1947</v>
      </c>
      <c r="B66" s="1490"/>
      <c r="C66" s="1491" t="str">
        <f>IFERROR(VLOOKUP($M$63,'CAP Data'!$C$3:$Q$2682,15,FALSE),"")</f>
        <v/>
      </c>
      <c r="D66" s="1492"/>
      <c r="E66" s="1492"/>
      <c r="F66" s="1492"/>
      <c r="G66" s="1492"/>
      <c r="H66" s="1492"/>
      <c r="I66" s="1492"/>
      <c r="J66" s="1492"/>
      <c r="K66" s="1492"/>
      <c r="L66" s="1493"/>
    </row>
    <row r="67" spans="1:13" ht="13.5" thickBot="1" x14ac:dyDescent="0.25"/>
    <row r="68" spans="1:13" ht="15.75" x14ac:dyDescent="0.25">
      <c r="A68" s="423" t="s">
        <v>1979</v>
      </c>
      <c r="B68" s="424">
        <v>11</v>
      </c>
      <c r="C68" s="424"/>
      <c r="D68" s="424"/>
      <c r="E68" s="424"/>
      <c r="F68" s="1502" t="s">
        <v>1942</v>
      </c>
      <c r="G68" s="1502"/>
      <c r="H68" s="1502"/>
      <c r="I68" s="1502"/>
      <c r="J68" s="1502"/>
      <c r="K68" s="1503" t="str">
        <f>IFERROR(CONCATENATE(VLOOKUP($M$69,'CAP Data'!$C$3:$Q$2682,3,FALSE),"-",VLOOKUP($M$69,'CAP Data'!$C$3:$Q$2682,4,FALSE)),"")</f>
        <v/>
      </c>
      <c r="L68" s="1504"/>
      <c r="M68" s="433"/>
    </row>
    <row r="69" spans="1:13" ht="15" x14ac:dyDescent="0.2">
      <c r="A69" s="1505" t="s">
        <v>1943</v>
      </c>
      <c r="B69" s="1506"/>
      <c r="C69" s="1507" t="str">
        <f>IFERROR(VLOOKUP($M$69,'CAP Data'!$C$3:$Q$2682,5,FALSE),"")</f>
        <v/>
      </c>
      <c r="D69" s="1508"/>
      <c r="E69" s="425"/>
      <c r="F69" s="1509" t="s">
        <v>1944</v>
      </c>
      <c r="G69" s="1509"/>
      <c r="H69" s="1509"/>
      <c r="I69" s="1509"/>
      <c r="J69" s="1509"/>
      <c r="K69" s="1509"/>
      <c r="L69" s="1510"/>
      <c r="M69" s="435" t="str">
        <f>CONCATENATE($O$1,B68)</f>
        <v>011</v>
      </c>
    </row>
    <row r="70" spans="1:13" ht="15" x14ac:dyDescent="0.2">
      <c r="A70" s="1494" t="s">
        <v>1945</v>
      </c>
      <c r="B70" s="1495"/>
      <c r="C70" s="1496" t="str">
        <f>IFERROR(VLOOKUP($M$69,'CAP Data'!$C$3:$Q$2682,10,FALSE),"")</f>
        <v/>
      </c>
      <c r="D70" s="1496"/>
      <c r="E70" s="426"/>
      <c r="F70" s="1497" t="str">
        <f>IFERROR(VLOOKUP($M$69,'CAP Data'!$C$3:$Q$2682,12,FALSE),"")</f>
        <v/>
      </c>
      <c r="G70" s="1497"/>
      <c r="H70" s="1497"/>
      <c r="I70" s="1497"/>
      <c r="J70" s="1497"/>
      <c r="K70" s="1497"/>
      <c r="L70" s="1498"/>
    </row>
    <row r="71" spans="1:13" ht="15" x14ac:dyDescent="0.2">
      <c r="A71" s="1494" t="s">
        <v>1946</v>
      </c>
      <c r="B71" s="1495"/>
      <c r="C71" s="1499" t="str">
        <f>IFERROR(VLOOKUP($M$69,'CAP Data'!$C$3:$Q$2682,11,FALSE),"")</f>
        <v/>
      </c>
      <c r="D71" s="1499"/>
      <c r="E71" s="426"/>
      <c r="F71" s="1497" t="str">
        <f>IFERROR(VLOOKUP($M$69,'CAP Data'!$C$3:$Q$2682,13,FALSE),"")</f>
        <v/>
      </c>
      <c r="G71" s="1497"/>
      <c r="H71" s="1497"/>
      <c r="I71" s="1497"/>
      <c r="J71" s="1500" t="str">
        <f>IFERROR(VLOOKUP($M$69,'CAP Data'!$C$3:$Q$2682,14,FALSE),"")</f>
        <v/>
      </c>
      <c r="K71" s="1500"/>
      <c r="L71" s="1501"/>
    </row>
    <row r="72" spans="1:13" ht="39" customHeight="1" thickBot="1" x14ac:dyDescent="0.25">
      <c r="A72" s="1489" t="s">
        <v>1947</v>
      </c>
      <c r="B72" s="1490"/>
      <c r="C72" s="1491" t="str">
        <f>IFERROR(VLOOKUP($M$69,'CAP Data'!$C$3:$Q$2682,15,FALSE),"")</f>
        <v/>
      </c>
      <c r="D72" s="1492"/>
      <c r="E72" s="1492"/>
      <c r="F72" s="1492"/>
      <c r="G72" s="1492"/>
      <c r="H72" s="1492"/>
      <c r="I72" s="1492"/>
      <c r="J72" s="1492"/>
      <c r="K72" s="1492"/>
      <c r="L72" s="1493"/>
    </row>
    <row r="73" spans="1:13" ht="13.5" thickBot="1" x14ac:dyDescent="0.25"/>
    <row r="74" spans="1:13" ht="15.75" x14ac:dyDescent="0.25">
      <c r="A74" s="423" t="s">
        <v>1979</v>
      </c>
      <c r="B74" s="424">
        <v>12</v>
      </c>
      <c r="C74" s="424"/>
      <c r="D74" s="424"/>
      <c r="E74" s="424"/>
      <c r="F74" s="1502" t="s">
        <v>1942</v>
      </c>
      <c r="G74" s="1502"/>
      <c r="H74" s="1502"/>
      <c r="I74" s="1502"/>
      <c r="J74" s="1502"/>
      <c r="K74" s="1503" t="str">
        <f>IFERROR(CONCATENATE(VLOOKUP($M$75,'CAP Data'!$C$3:$Q$2682,3,FALSE),"-",VLOOKUP($M$75,'CAP Data'!$C$3:$Q$2682,4,FALSE)),"")</f>
        <v/>
      </c>
      <c r="L74" s="1504"/>
      <c r="M74" s="433"/>
    </row>
    <row r="75" spans="1:13" ht="15" x14ac:dyDescent="0.2">
      <c r="A75" s="1505" t="s">
        <v>1943</v>
      </c>
      <c r="B75" s="1506"/>
      <c r="C75" s="1507" t="str">
        <f>IFERROR(VLOOKUP($M$75,'CAP Data'!$C$3:$Q$2682,5,FALSE),"")</f>
        <v/>
      </c>
      <c r="D75" s="1508"/>
      <c r="E75" s="425"/>
      <c r="F75" s="1509" t="s">
        <v>1944</v>
      </c>
      <c r="G75" s="1509"/>
      <c r="H75" s="1509"/>
      <c r="I75" s="1509"/>
      <c r="J75" s="1509"/>
      <c r="K75" s="1509"/>
      <c r="L75" s="1510"/>
      <c r="M75" s="435" t="str">
        <f>CONCATENATE($O$1,B74)</f>
        <v>012</v>
      </c>
    </row>
    <row r="76" spans="1:13" ht="15" x14ac:dyDescent="0.2">
      <c r="A76" s="1494" t="s">
        <v>1945</v>
      </c>
      <c r="B76" s="1495"/>
      <c r="C76" s="1496" t="str">
        <f>IFERROR(VLOOKUP($M$75,'CAP Data'!$C$3:$Q$2682,10,FALSE),"")</f>
        <v/>
      </c>
      <c r="D76" s="1496"/>
      <c r="E76" s="426"/>
      <c r="F76" s="1497" t="str">
        <f>IFERROR(VLOOKUP($M$75,'CAP Data'!$C$3:$Q$2682,12,FALSE),"")</f>
        <v/>
      </c>
      <c r="G76" s="1497"/>
      <c r="H76" s="1497"/>
      <c r="I76" s="1497"/>
      <c r="J76" s="1497"/>
      <c r="K76" s="1497"/>
      <c r="L76" s="1498"/>
    </row>
    <row r="77" spans="1:13" ht="15" x14ac:dyDescent="0.2">
      <c r="A77" s="1494" t="s">
        <v>1946</v>
      </c>
      <c r="B77" s="1495"/>
      <c r="C77" s="1499" t="str">
        <f>IFERROR(VLOOKUP($M$75,'CAP Data'!$C$3:$Q$2682,11,FALSE),"")</f>
        <v/>
      </c>
      <c r="D77" s="1499"/>
      <c r="E77" s="426"/>
      <c r="F77" s="1497" t="str">
        <f>IFERROR(VLOOKUP($M$75,'CAP Data'!$C$3:$Q$2682,13,FALSE),"")</f>
        <v/>
      </c>
      <c r="G77" s="1497"/>
      <c r="H77" s="1497"/>
      <c r="I77" s="1497"/>
      <c r="J77" s="1500" t="str">
        <f>IFERROR(VLOOKUP($M$75,'CAP Data'!$C$3:$Q$2682,14,FALSE),"")</f>
        <v/>
      </c>
      <c r="K77" s="1500"/>
      <c r="L77" s="1501"/>
    </row>
    <row r="78" spans="1:13" ht="39" customHeight="1" thickBot="1" x14ac:dyDescent="0.25">
      <c r="A78" s="1489" t="s">
        <v>1947</v>
      </c>
      <c r="B78" s="1490"/>
      <c r="C78" s="1491" t="str">
        <f>IFERROR(VLOOKUP($M$75,'CAP Data'!$C$3:$Q$2682,15,FALSE),"")</f>
        <v/>
      </c>
      <c r="D78" s="1492"/>
      <c r="E78" s="1492"/>
      <c r="F78" s="1492"/>
      <c r="G78" s="1492"/>
      <c r="H78" s="1492"/>
      <c r="I78" s="1492"/>
      <c r="J78" s="1492"/>
      <c r="K78" s="1492"/>
      <c r="L78" s="1493"/>
    </row>
    <row r="79" spans="1:13" ht="13.5" thickBot="1" x14ac:dyDescent="0.25"/>
    <row r="80" spans="1:13" ht="15.75" x14ac:dyDescent="0.25">
      <c r="A80" s="423" t="s">
        <v>1979</v>
      </c>
      <c r="B80" s="424">
        <v>13</v>
      </c>
      <c r="C80" s="424"/>
      <c r="D80" s="424"/>
      <c r="E80" s="424"/>
      <c r="F80" s="1502" t="s">
        <v>1942</v>
      </c>
      <c r="G80" s="1502"/>
      <c r="H80" s="1502"/>
      <c r="I80" s="1502"/>
      <c r="J80" s="1502"/>
      <c r="K80" s="1503" t="str">
        <f>IFERROR(CONCATENATE(VLOOKUP($M$81,'CAP Data'!$C$3:$Q$2682,3,FALSE),"-",VLOOKUP($M$81,'CAP Data'!$C$3:$Q$2682,4,FALSE)),"")</f>
        <v/>
      </c>
      <c r="L80" s="1504"/>
      <c r="M80" s="433"/>
    </row>
    <row r="81" spans="1:13" ht="15" x14ac:dyDescent="0.2">
      <c r="A81" s="1505" t="s">
        <v>1943</v>
      </c>
      <c r="B81" s="1506"/>
      <c r="C81" s="1507" t="str">
        <f>IFERROR(VLOOKUP($M$81,'CAP Data'!$C$3:$Q$2682,5,FALSE),"")</f>
        <v/>
      </c>
      <c r="D81" s="1508"/>
      <c r="E81" s="425"/>
      <c r="F81" s="1509" t="s">
        <v>1944</v>
      </c>
      <c r="G81" s="1509"/>
      <c r="H81" s="1509"/>
      <c r="I81" s="1509"/>
      <c r="J81" s="1509"/>
      <c r="K81" s="1509"/>
      <c r="L81" s="1510"/>
      <c r="M81" s="435" t="str">
        <f>CONCATENATE($O$1,B80)</f>
        <v>013</v>
      </c>
    </row>
    <row r="82" spans="1:13" ht="15" x14ac:dyDescent="0.2">
      <c r="A82" s="1494" t="s">
        <v>1945</v>
      </c>
      <c r="B82" s="1495"/>
      <c r="C82" s="1496" t="str">
        <f>IFERROR(VLOOKUP($M$81,'CAP Data'!$C$3:$Q$2682,10,FALSE),"")</f>
        <v/>
      </c>
      <c r="D82" s="1496"/>
      <c r="E82" s="426"/>
      <c r="F82" s="1497" t="str">
        <f>IFERROR(VLOOKUP($M$81,'CAP Data'!$C$3:$Q$2682,12,FALSE),"")</f>
        <v/>
      </c>
      <c r="G82" s="1497"/>
      <c r="H82" s="1497"/>
      <c r="I82" s="1497"/>
      <c r="J82" s="1497"/>
      <c r="K82" s="1497"/>
      <c r="L82" s="1498"/>
    </row>
    <row r="83" spans="1:13" ht="15" x14ac:dyDescent="0.2">
      <c r="A83" s="1494" t="s">
        <v>1946</v>
      </c>
      <c r="B83" s="1495"/>
      <c r="C83" s="1499" t="str">
        <f>IFERROR(VLOOKUP($M$81,'CAP Data'!$C$3:$Q$2682,11,FALSE),"")</f>
        <v/>
      </c>
      <c r="D83" s="1499"/>
      <c r="E83" s="426"/>
      <c r="F83" s="1497" t="str">
        <f>IFERROR(VLOOKUP($M$81,'CAP Data'!$C$3:$Q$2682,13,FALSE),"")</f>
        <v/>
      </c>
      <c r="G83" s="1497"/>
      <c r="H83" s="1497"/>
      <c r="I83" s="1497"/>
      <c r="J83" s="1500" t="str">
        <f>IFERROR(VLOOKUP($M$81,'CAP Data'!$C$3:$Q$2682,14,FALSE),"")</f>
        <v/>
      </c>
      <c r="K83" s="1500"/>
      <c r="L83" s="1501"/>
    </row>
    <row r="84" spans="1:13" ht="39" customHeight="1" thickBot="1" x14ac:dyDescent="0.25">
      <c r="A84" s="1489" t="s">
        <v>1947</v>
      </c>
      <c r="B84" s="1490"/>
      <c r="C84" s="1491" t="str">
        <f>IFERROR(VLOOKUP($M$81,'CAP Data'!$C$3:$Q$2682,15,FALSE),"")</f>
        <v/>
      </c>
      <c r="D84" s="1492"/>
      <c r="E84" s="1492"/>
      <c r="F84" s="1492"/>
      <c r="G84" s="1492"/>
      <c r="H84" s="1492"/>
      <c r="I84" s="1492"/>
      <c r="J84" s="1492"/>
      <c r="K84" s="1492"/>
      <c r="L84" s="1493"/>
    </row>
    <row r="85" spans="1:13" ht="13.5" thickBot="1" x14ac:dyDescent="0.25"/>
    <row r="86" spans="1:13" ht="15.75" x14ac:dyDescent="0.25">
      <c r="A86" s="423" t="s">
        <v>1979</v>
      </c>
      <c r="B86" s="424">
        <v>14</v>
      </c>
      <c r="C86" s="424"/>
      <c r="D86" s="424"/>
      <c r="E86" s="424"/>
      <c r="F86" s="1502" t="s">
        <v>1942</v>
      </c>
      <c r="G86" s="1502"/>
      <c r="H86" s="1502"/>
      <c r="I86" s="1502"/>
      <c r="J86" s="1502"/>
      <c r="K86" s="1503" t="str">
        <f>IFERROR(CONCATENATE(VLOOKUP($M$93,'CAP Data'!$C$3:$Q$2682,3,FALSE),"-",VLOOKUP($M$93,'CAP Data'!$C$3:$Q$2682,4,FALSE)),"")</f>
        <v/>
      </c>
      <c r="L86" s="1504"/>
      <c r="M86" s="433"/>
    </row>
    <row r="87" spans="1:13" ht="15" x14ac:dyDescent="0.2">
      <c r="A87" s="1505" t="s">
        <v>1943</v>
      </c>
      <c r="B87" s="1506"/>
      <c r="C87" s="1507" t="str">
        <f>IFERROR(VLOOKUP($M$93,'CAP Data'!$C$3:$Q$2682,5,FALSE),"")</f>
        <v/>
      </c>
      <c r="D87" s="1508"/>
      <c r="E87" s="425"/>
      <c r="F87" s="1509" t="s">
        <v>1944</v>
      </c>
      <c r="G87" s="1509"/>
      <c r="H87" s="1509"/>
      <c r="I87" s="1509"/>
      <c r="J87" s="1509"/>
      <c r="K87" s="1509"/>
      <c r="L87" s="1510"/>
      <c r="M87" s="435" t="str">
        <f>CONCATENATE($O$1,B86)</f>
        <v>014</v>
      </c>
    </row>
    <row r="88" spans="1:13" ht="15" x14ac:dyDescent="0.2">
      <c r="A88" s="1494" t="s">
        <v>1945</v>
      </c>
      <c r="B88" s="1495"/>
      <c r="C88" s="1496" t="str">
        <f>IFERROR(VLOOKUP($M$93,'CAP Data'!$C$3:$Q$2682,10,FALSE),"")</f>
        <v/>
      </c>
      <c r="D88" s="1496"/>
      <c r="E88" s="426"/>
      <c r="F88" s="1497" t="str">
        <f>IFERROR(VLOOKUP($M$93,'CAP Data'!$C$3:$Q$2682,12,FALSE),"")</f>
        <v/>
      </c>
      <c r="G88" s="1497"/>
      <c r="H88" s="1497"/>
      <c r="I88" s="1497"/>
      <c r="J88" s="1497"/>
      <c r="K88" s="1497"/>
      <c r="L88" s="1498"/>
    </row>
    <row r="89" spans="1:13" ht="15" x14ac:dyDescent="0.2">
      <c r="A89" s="1494" t="s">
        <v>1946</v>
      </c>
      <c r="B89" s="1495"/>
      <c r="C89" s="1499" t="str">
        <f>IFERROR(VLOOKUP($M$93,'CAP Data'!$C$3:$Q$2682,11,FALSE),"")</f>
        <v/>
      </c>
      <c r="D89" s="1499"/>
      <c r="E89" s="426"/>
      <c r="F89" s="1497" t="str">
        <f>IFERROR(VLOOKUP($M$93,'CAP Data'!$C$3:$Q$2682,13,FALSE),"")</f>
        <v/>
      </c>
      <c r="G89" s="1497"/>
      <c r="H89" s="1497"/>
      <c r="I89" s="1497"/>
      <c r="J89" s="1500" t="str">
        <f>IFERROR(VLOOKUP($M$93,'CAP Data'!$C$3:$Q$2682,14,FALSE),"")</f>
        <v/>
      </c>
      <c r="K89" s="1500"/>
      <c r="L89" s="1501"/>
    </row>
    <row r="90" spans="1:13" ht="39" customHeight="1" thickBot="1" x14ac:dyDescent="0.25">
      <c r="A90" s="1489" t="s">
        <v>1947</v>
      </c>
      <c r="B90" s="1490"/>
      <c r="C90" s="1491" t="str">
        <f>IFERROR(VLOOKUP($M$93,'CAP Data'!$C$3:$Q$2682,15,FALSE),"")</f>
        <v/>
      </c>
      <c r="D90" s="1492"/>
      <c r="E90" s="1492"/>
      <c r="F90" s="1492"/>
      <c r="G90" s="1492"/>
      <c r="H90" s="1492"/>
      <c r="I90" s="1492"/>
      <c r="J90" s="1492"/>
      <c r="K90" s="1492"/>
      <c r="L90" s="1493"/>
    </row>
    <row r="91" spans="1:13" ht="13.5" thickBot="1" x14ac:dyDescent="0.25"/>
    <row r="92" spans="1:13" ht="15.75" x14ac:dyDescent="0.25">
      <c r="A92" s="423" t="s">
        <v>1979</v>
      </c>
      <c r="B92" s="424">
        <v>15</v>
      </c>
      <c r="C92" s="424"/>
      <c r="D92" s="424"/>
      <c r="E92" s="424"/>
      <c r="F92" s="1502" t="s">
        <v>1942</v>
      </c>
      <c r="G92" s="1502"/>
      <c r="H92" s="1502"/>
      <c r="I92" s="1502"/>
      <c r="J92" s="1502"/>
      <c r="K92" s="1503" t="str">
        <f>IFERROR(CONCATENATE(VLOOKUP($M$93,'CAP Data'!$C$3:$Q$2682,3,FALSE),"-",VLOOKUP($M$93,'CAP Data'!$C$3:$Q$2682,4,FALSE)),"")</f>
        <v/>
      </c>
      <c r="L92" s="1504"/>
      <c r="M92" s="433"/>
    </row>
    <row r="93" spans="1:13" ht="15" x14ac:dyDescent="0.2">
      <c r="A93" s="1505" t="s">
        <v>1943</v>
      </c>
      <c r="B93" s="1506"/>
      <c r="C93" s="1507" t="str">
        <f>IFERROR(VLOOKUP($M$93,'CAP Data'!$C$3:$Q$2682,5,FALSE),"")</f>
        <v/>
      </c>
      <c r="D93" s="1508"/>
      <c r="E93" s="425"/>
      <c r="F93" s="1509" t="s">
        <v>1944</v>
      </c>
      <c r="G93" s="1509"/>
      <c r="H93" s="1509"/>
      <c r="I93" s="1509"/>
      <c r="J93" s="1509"/>
      <c r="K93" s="1509"/>
      <c r="L93" s="1510"/>
      <c r="M93" s="435" t="str">
        <f>CONCATENATE($O$1,B92)</f>
        <v>015</v>
      </c>
    </row>
    <row r="94" spans="1:13" ht="15" x14ac:dyDescent="0.2">
      <c r="A94" s="1494" t="s">
        <v>1945</v>
      </c>
      <c r="B94" s="1495"/>
      <c r="C94" s="1496" t="str">
        <f>IFERROR(VLOOKUP($M$93,'CAP Data'!$C$3:$Q$2682,10,FALSE),"")</f>
        <v/>
      </c>
      <c r="D94" s="1496"/>
      <c r="E94" s="426"/>
      <c r="F94" s="1497" t="str">
        <f>IFERROR(VLOOKUP($M$93,'CAP Data'!$C$3:$Q$2682,12,FALSE),"")</f>
        <v/>
      </c>
      <c r="G94" s="1497"/>
      <c r="H94" s="1497"/>
      <c r="I94" s="1497"/>
      <c r="J94" s="1497"/>
      <c r="K94" s="1497"/>
      <c r="L94" s="1498"/>
    </row>
    <row r="95" spans="1:13" ht="15" x14ac:dyDescent="0.2">
      <c r="A95" s="1494" t="s">
        <v>1946</v>
      </c>
      <c r="B95" s="1495"/>
      <c r="C95" s="1499" t="str">
        <f>IFERROR(VLOOKUP($M$93,'CAP Data'!$C$3:$Q$2682,11,FALSE),"")</f>
        <v/>
      </c>
      <c r="D95" s="1499"/>
      <c r="E95" s="426"/>
      <c r="F95" s="1497" t="str">
        <f>IFERROR(VLOOKUP($M$93,'CAP Data'!$C$3:$Q$2682,13,FALSE),"")</f>
        <v/>
      </c>
      <c r="G95" s="1497"/>
      <c r="H95" s="1497"/>
      <c r="I95" s="1497"/>
      <c r="J95" s="1500" t="str">
        <f>IFERROR(VLOOKUP($M$93,'CAP Data'!$C$3:$Q$2682,14,FALSE),"")</f>
        <v/>
      </c>
      <c r="K95" s="1500"/>
      <c r="L95" s="1501"/>
    </row>
    <row r="96" spans="1:13" ht="39" customHeight="1" thickBot="1" x14ac:dyDescent="0.25">
      <c r="A96" s="1489" t="s">
        <v>1947</v>
      </c>
      <c r="B96" s="1490"/>
      <c r="C96" s="1491" t="str">
        <f>IFERROR(VLOOKUP($M$93,'CAP Data'!$C$3:$Q$2682,15,FALSE),"")</f>
        <v/>
      </c>
      <c r="D96" s="1492"/>
      <c r="E96" s="1492"/>
      <c r="F96" s="1492"/>
      <c r="G96" s="1492"/>
      <c r="H96" s="1492"/>
      <c r="I96" s="1492"/>
      <c r="J96" s="1492"/>
      <c r="K96" s="1492"/>
      <c r="L96" s="1493"/>
    </row>
    <row r="97" spans="1:13" ht="13.5" thickBot="1" x14ac:dyDescent="0.25"/>
    <row r="98" spans="1:13" ht="15.75" x14ac:dyDescent="0.25">
      <c r="A98" s="423" t="s">
        <v>1979</v>
      </c>
      <c r="B98" s="424">
        <v>16</v>
      </c>
      <c r="C98" s="424"/>
      <c r="D98" s="424"/>
      <c r="E98" s="424"/>
      <c r="F98" s="1502" t="s">
        <v>1942</v>
      </c>
      <c r="G98" s="1502"/>
      <c r="H98" s="1502"/>
      <c r="I98" s="1502"/>
      <c r="J98" s="1502"/>
      <c r="K98" s="1503" t="str">
        <f>IFERROR(CONCATENATE(VLOOKUP($M$99,'CAP Data'!$C$3:$Q$2682,3,FALSE),"-",VLOOKUP($M$99,'CAP Data'!$C$3:$Q$2682,4,FALSE)),"")</f>
        <v/>
      </c>
      <c r="L98" s="1504"/>
      <c r="M98" s="433"/>
    </row>
    <row r="99" spans="1:13" ht="15" x14ac:dyDescent="0.2">
      <c r="A99" s="1505" t="s">
        <v>1943</v>
      </c>
      <c r="B99" s="1506"/>
      <c r="C99" s="1507" t="str">
        <f>IFERROR(VLOOKUP($M$99,'CAP Data'!$C$3:$Q$2682,5,FALSE),"")</f>
        <v/>
      </c>
      <c r="D99" s="1508"/>
      <c r="E99" s="425"/>
      <c r="F99" s="1509" t="s">
        <v>1944</v>
      </c>
      <c r="G99" s="1509"/>
      <c r="H99" s="1509"/>
      <c r="I99" s="1509"/>
      <c r="J99" s="1509"/>
      <c r="K99" s="1509"/>
      <c r="L99" s="1510"/>
      <c r="M99" s="435" t="str">
        <f>CONCATENATE($O$1,B98)</f>
        <v>016</v>
      </c>
    </row>
    <row r="100" spans="1:13" ht="15" x14ac:dyDescent="0.2">
      <c r="A100" s="1494" t="s">
        <v>1945</v>
      </c>
      <c r="B100" s="1495"/>
      <c r="C100" s="1496" t="str">
        <f>IFERROR(VLOOKUP($M$99,'CAP Data'!$C$3:$Q$2682,10,FALSE),"")</f>
        <v/>
      </c>
      <c r="D100" s="1496"/>
      <c r="E100" s="426"/>
      <c r="F100" s="1497" t="str">
        <f>IFERROR(VLOOKUP($M$99,'CAP Data'!$C$3:$Q$2682,12,FALSE),"")</f>
        <v/>
      </c>
      <c r="G100" s="1497"/>
      <c r="H100" s="1497"/>
      <c r="I100" s="1497"/>
      <c r="J100" s="1497"/>
      <c r="K100" s="1497"/>
      <c r="L100" s="1498"/>
    </row>
    <row r="101" spans="1:13" ht="15" x14ac:dyDescent="0.2">
      <c r="A101" s="1494" t="s">
        <v>1946</v>
      </c>
      <c r="B101" s="1495"/>
      <c r="C101" s="1499" t="str">
        <f>IFERROR(VLOOKUP($M$99,'CAP Data'!$C$3:$Q$2682,11,FALSE),"")</f>
        <v/>
      </c>
      <c r="D101" s="1499"/>
      <c r="E101" s="426"/>
      <c r="F101" s="1497" t="str">
        <f>IFERROR(VLOOKUP($M$99,'CAP Data'!$C$3:$Q$2682,13,FALSE),"")</f>
        <v/>
      </c>
      <c r="G101" s="1497"/>
      <c r="H101" s="1497"/>
      <c r="I101" s="1497"/>
      <c r="J101" s="1500" t="str">
        <f>IFERROR(VLOOKUP($M$99,'CAP Data'!$C$3:$Q$2682,14,FALSE),"")</f>
        <v/>
      </c>
      <c r="K101" s="1500"/>
      <c r="L101" s="1501"/>
    </row>
    <row r="102" spans="1:13" ht="39" customHeight="1" thickBot="1" x14ac:dyDescent="0.25">
      <c r="A102" s="1489" t="s">
        <v>1947</v>
      </c>
      <c r="B102" s="1490"/>
      <c r="C102" s="1491" t="str">
        <f>IFERROR(VLOOKUP($M$99,'CAP Data'!$C$3:$Q$2682,15,FALSE),"")</f>
        <v/>
      </c>
      <c r="D102" s="1492"/>
      <c r="E102" s="1492"/>
      <c r="F102" s="1492"/>
      <c r="G102" s="1492"/>
      <c r="H102" s="1492"/>
      <c r="I102" s="1492"/>
      <c r="J102" s="1492"/>
      <c r="K102" s="1492"/>
      <c r="L102" s="1493"/>
    </row>
    <row r="103" spans="1:13" ht="13.5" thickBot="1" x14ac:dyDescent="0.25"/>
    <row r="104" spans="1:13" ht="15.75" x14ac:dyDescent="0.25">
      <c r="A104" s="423" t="s">
        <v>1979</v>
      </c>
      <c r="B104" s="424">
        <v>17</v>
      </c>
      <c r="C104" s="424"/>
      <c r="D104" s="424"/>
      <c r="E104" s="424"/>
      <c r="F104" s="1502" t="s">
        <v>1942</v>
      </c>
      <c r="G104" s="1502"/>
      <c r="H104" s="1502"/>
      <c r="I104" s="1502"/>
      <c r="J104" s="1502"/>
      <c r="K104" s="1503" t="str">
        <f>IFERROR(CONCATENATE(VLOOKUP($M$105,'CAP Data'!$C$3:$Q$2682,3,FALSE),"-",VLOOKUP($M$105,'CAP Data'!$C$3:$Q$2682,4,FALSE)),"")</f>
        <v/>
      </c>
      <c r="L104" s="1504"/>
      <c r="M104" s="433"/>
    </row>
    <row r="105" spans="1:13" ht="15" x14ac:dyDescent="0.2">
      <c r="A105" s="1505" t="s">
        <v>1943</v>
      </c>
      <c r="B105" s="1506"/>
      <c r="C105" s="1507" t="str">
        <f>IFERROR(VLOOKUP($M$105,'CAP Data'!$C$3:$Q$2682,5,FALSE),"")</f>
        <v/>
      </c>
      <c r="D105" s="1508"/>
      <c r="E105" s="425"/>
      <c r="F105" s="1509" t="s">
        <v>1944</v>
      </c>
      <c r="G105" s="1509"/>
      <c r="H105" s="1509"/>
      <c r="I105" s="1509"/>
      <c r="J105" s="1509"/>
      <c r="K105" s="1509"/>
      <c r="L105" s="1510"/>
      <c r="M105" s="435" t="str">
        <f>CONCATENATE($O$1,B104)</f>
        <v>017</v>
      </c>
    </row>
    <row r="106" spans="1:13" ht="15" x14ac:dyDescent="0.2">
      <c r="A106" s="1494" t="s">
        <v>1945</v>
      </c>
      <c r="B106" s="1495"/>
      <c r="C106" s="1496" t="str">
        <f>IFERROR(VLOOKUP($M$105,'CAP Data'!$C$3:$Q$2682,10,FALSE),"")</f>
        <v/>
      </c>
      <c r="D106" s="1496"/>
      <c r="E106" s="426"/>
      <c r="F106" s="1497" t="str">
        <f>IFERROR(VLOOKUP($M$105,'CAP Data'!$C$3:$Q$2682,12,FALSE),"")</f>
        <v/>
      </c>
      <c r="G106" s="1497"/>
      <c r="H106" s="1497"/>
      <c r="I106" s="1497"/>
      <c r="J106" s="1497"/>
      <c r="K106" s="1497"/>
      <c r="L106" s="1498"/>
    </row>
    <row r="107" spans="1:13" ht="15" x14ac:dyDescent="0.2">
      <c r="A107" s="1494" t="s">
        <v>1946</v>
      </c>
      <c r="B107" s="1495"/>
      <c r="C107" s="1499" t="str">
        <f>IFERROR(VLOOKUP($M$105,'CAP Data'!$C$3:$Q$2682,11,FALSE),"")</f>
        <v/>
      </c>
      <c r="D107" s="1499"/>
      <c r="E107" s="426"/>
      <c r="F107" s="1497" t="str">
        <f>IFERROR(VLOOKUP($M$105,'CAP Data'!$C$3:$Q$2682,13,FALSE),"")</f>
        <v/>
      </c>
      <c r="G107" s="1497"/>
      <c r="H107" s="1497"/>
      <c r="I107" s="1497"/>
      <c r="J107" s="1500" t="str">
        <f>IFERROR(VLOOKUP($M$105,'CAP Data'!$C$3:$Q$2682,14,FALSE),"")</f>
        <v/>
      </c>
      <c r="K107" s="1500"/>
      <c r="L107" s="1501"/>
    </row>
    <row r="108" spans="1:13" ht="39" customHeight="1" thickBot="1" x14ac:dyDescent="0.25">
      <c r="A108" s="1489" t="s">
        <v>1947</v>
      </c>
      <c r="B108" s="1490"/>
      <c r="C108" s="1491" t="str">
        <f>IFERROR(VLOOKUP($M$105,'CAP Data'!$C$3:$Q$2682,15,FALSE),"")</f>
        <v/>
      </c>
      <c r="D108" s="1492"/>
      <c r="E108" s="1492"/>
      <c r="F108" s="1492"/>
      <c r="G108" s="1492"/>
      <c r="H108" s="1492"/>
      <c r="I108" s="1492"/>
      <c r="J108" s="1492"/>
      <c r="K108" s="1492"/>
      <c r="L108" s="1493"/>
    </row>
    <row r="109" spans="1:13" ht="13.5" thickBot="1" x14ac:dyDescent="0.25"/>
    <row r="110" spans="1:13" ht="15.75" x14ac:dyDescent="0.25">
      <c r="A110" s="423" t="s">
        <v>1979</v>
      </c>
      <c r="B110" s="424">
        <v>18</v>
      </c>
      <c r="C110" s="424"/>
      <c r="D110" s="424"/>
      <c r="E110" s="424"/>
      <c r="F110" s="1502" t="s">
        <v>1942</v>
      </c>
      <c r="G110" s="1502"/>
      <c r="H110" s="1502"/>
      <c r="I110" s="1502"/>
      <c r="J110" s="1502"/>
      <c r="K110" s="1503" t="str">
        <f>IFERROR(CONCATENATE(VLOOKUP($M$111,'CAP Data'!$C$3:$Q$2682,3,FALSE),"-",VLOOKUP($M$111,'CAP Data'!$C$3:$Q$2682,4,FALSE)),"")</f>
        <v/>
      </c>
      <c r="L110" s="1504"/>
      <c r="M110" s="433"/>
    </row>
    <row r="111" spans="1:13" ht="15" x14ac:dyDescent="0.2">
      <c r="A111" s="1505" t="s">
        <v>1943</v>
      </c>
      <c r="B111" s="1506"/>
      <c r="C111" s="1507" t="str">
        <f>IFERROR(VLOOKUP($M$111,'CAP Data'!$C$3:$Q$2682,5,FALSE),"")</f>
        <v/>
      </c>
      <c r="D111" s="1508"/>
      <c r="E111" s="425"/>
      <c r="F111" s="1509" t="s">
        <v>1944</v>
      </c>
      <c r="G111" s="1509"/>
      <c r="H111" s="1509"/>
      <c r="I111" s="1509"/>
      <c r="J111" s="1509"/>
      <c r="K111" s="1509"/>
      <c r="L111" s="1510"/>
      <c r="M111" s="435" t="str">
        <f>CONCATENATE($O$1,B110)</f>
        <v>018</v>
      </c>
    </row>
    <row r="112" spans="1:13" ht="15" x14ac:dyDescent="0.2">
      <c r="A112" s="1494" t="s">
        <v>1945</v>
      </c>
      <c r="B112" s="1495"/>
      <c r="C112" s="1496" t="str">
        <f>IFERROR(VLOOKUP($M$111,'CAP Data'!$C$3:$Q$2682,10,FALSE),"")</f>
        <v/>
      </c>
      <c r="D112" s="1496"/>
      <c r="E112" s="426"/>
      <c r="F112" s="1497" t="str">
        <f>IFERROR(VLOOKUP($M$111,'CAP Data'!$C$3:$Q$2682,12,FALSE),"")</f>
        <v/>
      </c>
      <c r="G112" s="1497"/>
      <c r="H112" s="1497"/>
      <c r="I112" s="1497"/>
      <c r="J112" s="1497"/>
      <c r="K112" s="1497"/>
      <c r="L112" s="1498"/>
    </row>
    <row r="113" spans="1:13" ht="15" x14ac:dyDescent="0.2">
      <c r="A113" s="1494" t="s">
        <v>1946</v>
      </c>
      <c r="B113" s="1495"/>
      <c r="C113" s="1499" t="str">
        <f>IFERROR(VLOOKUP($M$111,'CAP Data'!$C$3:$Q$2682,11,FALSE),"")</f>
        <v/>
      </c>
      <c r="D113" s="1499"/>
      <c r="E113" s="426"/>
      <c r="F113" s="1497" t="str">
        <f>IFERROR(VLOOKUP($M$111,'CAP Data'!$C$3:$Q$2682,13,FALSE),"")</f>
        <v/>
      </c>
      <c r="G113" s="1497"/>
      <c r="H113" s="1497"/>
      <c r="I113" s="1497"/>
      <c r="J113" s="1500" t="str">
        <f>IFERROR(VLOOKUP($M$111,'CAP Data'!$C$3:$Q$2682,14,FALSE),"")</f>
        <v/>
      </c>
      <c r="K113" s="1500"/>
      <c r="L113" s="1501"/>
    </row>
    <row r="114" spans="1:13" ht="39" customHeight="1" thickBot="1" x14ac:dyDescent="0.25">
      <c r="A114" s="1489" t="s">
        <v>1947</v>
      </c>
      <c r="B114" s="1490"/>
      <c r="C114" s="1491" t="str">
        <f>IFERROR(VLOOKUP($M$111,'CAP Data'!$C$3:$Q$2682,15,FALSE),"")</f>
        <v/>
      </c>
      <c r="D114" s="1492"/>
      <c r="E114" s="1492"/>
      <c r="F114" s="1492"/>
      <c r="G114" s="1492"/>
      <c r="H114" s="1492"/>
      <c r="I114" s="1492"/>
      <c r="J114" s="1492"/>
      <c r="K114" s="1492"/>
      <c r="L114" s="1493"/>
    </row>
    <row r="115" spans="1:13" ht="13.5" thickBot="1" x14ac:dyDescent="0.25"/>
    <row r="116" spans="1:13" ht="15.75" x14ac:dyDescent="0.25">
      <c r="A116" s="423" t="s">
        <v>1979</v>
      </c>
      <c r="B116" s="424">
        <v>19</v>
      </c>
      <c r="C116" s="424"/>
      <c r="D116" s="424"/>
      <c r="E116" s="424"/>
      <c r="F116" s="1502" t="s">
        <v>1942</v>
      </c>
      <c r="G116" s="1502"/>
      <c r="H116" s="1502"/>
      <c r="I116" s="1502"/>
      <c r="J116" s="1502"/>
      <c r="K116" s="1503" t="str">
        <f>IFERROR(CONCATENATE(VLOOKUP($M$117,'CAP Data'!$C$3:$Q$2682,3,FALSE),"-",VLOOKUP($M$117,'CAP Data'!$C$3:$Q$2682,4,FALSE)),"")</f>
        <v/>
      </c>
      <c r="L116" s="1504"/>
      <c r="M116" s="433"/>
    </row>
    <row r="117" spans="1:13" ht="15" x14ac:dyDescent="0.2">
      <c r="A117" s="1505" t="s">
        <v>1943</v>
      </c>
      <c r="B117" s="1506"/>
      <c r="C117" s="1507" t="str">
        <f>IFERROR(VLOOKUP($M$117,'CAP Data'!$C$3:$Q$2682,5,FALSE),"")</f>
        <v/>
      </c>
      <c r="D117" s="1508"/>
      <c r="E117" s="425"/>
      <c r="F117" s="1509" t="s">
        <v>1944</v>
      </c>
      <c r="G117" s="1509"/>
      <c r="H117" s="1509"/>
      <c r="I117" s="1509"/>
      <c r="J117" s="1509"/>
      <c r="K117" s="1509"/>
      <c r="L117" s="1510"/>
      <c r="M117" s="435" t="str">
        <f>CONCATENATE($O$1,B116)</f>
        <v>019</v>
      </c>
    </row>
    <row r="118" spans="1:13" ht="15" x14ac:dyDescent="0.2">
      <c r="A118" s="1494" t="s">
        <v>1945</v>
      </c>
      <c r="B118" s="1495"/>
      <c r="C118" s="1496" t="str">
        <f>IFERROR(VLOOKUP($M$117,'CAP Data'!$C$3:$Q$2682,10,FALSE),"")</f>
        <v/>
      </c>
      <c r="D118" s="1496"/>
      <c r="E118" s="426"/>
      <c r="F118" s="1497" t="str">
        <f>IFERROR(VLOOKUP($M$117,'CAP Data'!$C$3:$Q$2682,12,FALSE),"")</f>
        <v/>
      </c>
      <c r="G118" s="1497"/>
      <c r="H118" s="1497"/>
      <c r="I118" s="1497"/>
      <c r="J118" s="1497"/>
      <c r="K118" s="1497"/>
      <c r="L118" s="1498"/>
    </row>
    <row r="119" spans="1:13" ht="15" x14ac:dyDescent="0.2">
      <c r="A119" s="1494" t="s">
        <v>1946</v>
      </c>
      <c r="B119" s="1495"/>
      <c r="C119" s="1499" t="str">
        <f>IFERROR(VLOOKUP($M$117,'CAP Data'!$C$3:$Q$2682,11,FALSE),"")</f>
        <v/>
      </c>
      <c r="D119" s="1499"/>
      <c r="E119" s="426"/>
      <c r="F119" s="1497" t="str">
        <f>IFERROR(VLOOKUP($M$117,'CAP Data'!$C$3:$Q$2682,13,FALSE),"")</f>
        <v/>
      </c>
      <c r="G119" s="1497"/>
      <c r="H119" s="1497"/>
      <c r="I119" s="1497"/>
      <c r="J119" s="1500" t="str">
        <f>IFERROR(VLOOKUP($M$117,'CAP Data'!$C$3:$Q$2682,14,FALSE),"")</f>
        <v/>
      </c>
      <c r="K119" s="1500"/>
      <c r="L119" s="1501"/>
    </row>
    <row r="120" spans="1:13" ht="39" customHeight="1" thickBot="1" x14ac:dyDescent="0.25">
      <c r="A120" s="1489" t="s">
        <v>1947</v>
      </c>
      <c r="B120" s="1490"/>
      <c r="C120" s="1491" t="str">
        <f>IFERROR(VLOOKUP($M$117,'CAP Data'!$C$3:$Q$2682,15,FALSE),"")</f>
        <v/>
      </c>
      <c r="D120" s="1492"/>
      <c r="E120" s="1492"/>
      <c r="F120" s="1492"/>
      <c r="G120" s="1492"/>
      <c r="H120" s="1492"/>
      <c r="I120" s="1492"/>
      <c r="J120" s="1492"/>
      <c r="K120" s="1492"/>
      <c r="L120" s="1493"/>
    </row>
    <row r="121" spans="1:13" ht="13.5" thickBot="1" x14ac:dyDescent="0.25"/>
    <row r="122" spans="1:13" ht="15.75" x14ac:dyDescent="0.25">
      <c r="A122" s="423" t="s">
        <v>1979</v>
      </c>
      <c r="B122" s="424">
        <v>20</v>
      </c>
      <c r="C122" s="424"/>
      <c r="D122" s="424"/>
      <c r="E122" s="424"/>
      <c r="F122" s="1502" t="s">
        <v>1942</v>
      </c>
      <c r="G122" s="1502"/>
      <c r="H122" s="1502"/>
      <c r="I122" s="1502"/>
      <c r="J122" s="1502"/>
      <c r="K122" s="1503" t="str">
        <f>IFERROR(CONCATENATE(VLOOKUP($M$123,'CAP Data'!$C$3:$Q$2682,3,FALSE),"-",VLOOKUP($M$123,'CAP Data'!$C$3:$Q$2682,4,FALSE)),"")</f>
        <v/>
      </c>
      <c r="L122" s="1504"/>
      <c r="M122" s="433"/>
    </row>
    <row r="123" spans="1:13" ht="15" x14ac:dyDescent="0.2">
      <c r="A123" s="1505" t="s">
        <v>1943</v>
      </c>
      <c r="B123" s="1506"/>
      <c r="C123" s="1507" t="str">
        <f>IFERROR(VLOOKUP($M$123,'CAP Data'!$C$3:$Q$2682,5,FALSE),"")</f>
        <v/>
      </c>
      <c r="D123" s="1508"/>
      <c r="E123" s="425"/>
      <c r="F123" s="1509" t="s">
        <v>1944</v>
      </c>
      <c r="G123" s="1509"/>
      <c r="H123" s="1509"/>
      <c r="I123" s="1509"/>
      <c r="J123" s="1509"/>
      <c r="K123" s="1509"/>
      <c r="L123" s="1510"/>
      <c r="M123" s="435" t="str">
        <f>CONCATENATE($O$1,B122)</f>
        <v>020</v>
      </c>
    </row>
    <row r="124" spans="1:13" ht="15" x14ac:dyDescent="0.2">
      <c r="A124" s="1494" t="s">
        <v>1945</v>
      </c>
      <c r="B124" s="1495"/>
      <c r="C124" s="1496" t="str">
        <f>IFERROR(VLOOKUP($M$123,'CAP Data'!$C$3:$Q$2682,10,FALSE),"")</f>
        <v/>
      </c>
      <c r="D124" s="1496"/>
      <c r="E124" s="426"/>
      <c r="F124" s="1497" t="str">
        <f>IFERROR(VLOOKUP($M$123,'CAP Data'!$C$3:$Q$2682,12,FALSE),"")</f>
        <v/>
      </c>
      <c r="G124" s="1497"/>
      <c r="H124" s="1497"/>
      <c r="I124" s="1497"/>
      <c r="J124" s="1497"/>
      <c r="K124" s="1497"/>
      <c r="L124" s="1498"/>
    </row>
    <row r="125" spans="1:13" ht="15" x14ac:dyDescent="0.2">
      <c r="A125" s="1494" t="s">
        <v>1946</v>
      </c>
      <c r="B125" s="1495"/>
      <c r="C125" s="1499" t="str">
        <f>IFERROR(VLOOKUP($M$123,'CAP Data'!$C$3:$Q$2682,11,FALSE),"")</f>
        <v/>
      </c>
      <c r="D125" s="1499"/>
      <c r="E125" s="426"/>
      <c r="F125" s="1497" t="str">
        <f>IFERROR(VLOOKUP($M$123,'CAP Data'!$C$3:$Q$2682,13,FALSE),"")</f>
        <v/>
      </c>
      <c r="G125" s="1497"/>
      <c r="H125" s="1497"/>
      <c r="I125" s="1497"/>
      <c r="J125" s="1500" t="str">
        <f>IFERROR(VLOOKUP($M$123,'CAP Data'!$C$3:$Q$2682,14,FALSE),"")</f>
        <v/>
      </c>
      <c r="K125" s="1500"/>
      <c r="L125" s="1501"/>
    </row>
    <row r="126" spans="1:13" ht="39" customHeight="1" thickBot="1" x14ac:dyDescent="0.25">
      <c r="A126" s="1489" t="s">
        <v>1947</v>
      </c>
      <c r="B126" s="1490"/>
      <c r="C126" s="1491" t="str">
        <f>IFERROR(VLOOKUP($M$123,'CAP Data'!$C$3:$Q$2682,15,FALSE),"")</f>
        <v/>
      </c>
      <c r="D126" s="1492"/>
      <c r="E126" s="1492"/>
      <c r="F126" s="1492"/>
      <c r="G126" s="1492"/>
      <c r="H126" s="1492"/>
      <c r="I126" s="1492"/>
      <c r="J126" s="1492"/>
      <c r="K126" s="1492"/>
      <c r="L126" s="1493"/>
    </row>
    <row r="127" spans="1:13" ht="13.5" customHeight="1" thickBot="1" x14ac:dyDescent="0.25">
      <c r="A127" s="439"/>
      <c r="B127" s="440"/>
      <c r="C127" s="441"/>
      <c r="D127" s="441"/>
      <c r="E127" s="441"/>
      <c r="F127" s="441"/>
      <c r="G127" s="441"/>
      <c r="H127" s="441"/>
      <c r="I127" s="441"/>
      <c r="J127" s="441"/>
      <c r="K127" s="441"/>
      <c r="L127" s="442"/>
    </row>
    <row r="128" spans="1:13" ht="15.75" x14ac:dyDescent="0.2">
      <c r="A128" s="423" t="s">
        <v>1979</v>
      </c>
      <c r="B128" s="424">
        <v>21</v>
      </c>
      <c r="C128" s="424"/>
      <c r="D128" s="424"/>
      <c r="E128" s="424"/>
      <c r="F128" s="1502" t="s">
        <v>1942</v>
      </c>
      <c r="G128" s="1502"/>
      <c r="H128" s="1502"/>
      <c r="I128" s="1502"/>
      <c r="J128" s="1502"/>
      <c r="K128" s="1503" t="str">
        <f>IFERROR(CONCATENATE(VLOOKUP($M$123,'CAP Data'!$C$3:$Q$2682,3,FALSE),"-",VLOOKUP($M$123,'CAP Data'!$C$3:$Q$2682,4,FALSE)),"")</f>
        <v/>
      </c>
      <c r="L128" s="1504"/>
    </row>
    <row r="129" spans="1:13" ht="15" x14ac:dyDescent="0.2">
      <c r="A129" s="1505" t="s">
        <v>1943</v>
      </c>
      <c r="B129" s="1506"/>
      <c r="C129" s="1507" t="str">
        <f>IFERROR(VLOOKUP($M$129,'CAP Data'!$C$3:$Q$2682,5,FALSE),"")</f>
        <v/>
      </c>
      <c r="D129" s="1508"/>
      <c r="E129" s="425"/>
      <c r="F129" s="1509" t="s">
        <v>1944</v>
      </c>
      <c r="G129" s="1509"/>
      <c r="H129" s="1509"/>
      <c r="I129" s="1509"/>
      <c r="J129" s="1509"/>
      <c r="K129" s="1509"/>
      <c r="L129" s="1510"/>
      <c r="M129" s="435" t="str">
        <f>CONCATENATE($O$1,B128)</f>
        <v>021</v>
      </c>
    </row>
    <row r="130" spans="1:13" ht="15" x14ac:dyDescent="0.2">
      <c r="A130" s="1494" t="s">
        <v>1945</v>
      </c>
      <c r="B130" s="1495"/>
      <c r="C130" s="1496" t="str">
        <f>IFERROR(VLOOKUP($M$129,'CAP Data'!$C$3:$Q$2682,10,FALSE),"")</f>
        <v/>
      </c>
      <c r="D130" s="1496"/>
      <c r="E130" s="426"/>
      <c r="F130" s="1497" t="str">
        <f>IFERROR(VLOOKUP($M$129,'CAP Data'!$C$3:$Q$2682,12,FALSE),"")</f>
        <v/>
      </c>
      <c r="G130" s="1497"/>
      <c r="H130" s="1497"/>
      <c r="I130" s="1497"/>
      <c r="J130" s="1497"/>
      <c r="K130" s="1497"/>
      <c r="L130" s="1498"/>
    </row>
    <row r="131" spans="1:13" ht="15" x14ac:dyDescent="0.2">
      <c r="A131" s="1494" t="s">
        <v>1946</v>
      </c>
      <c r="B131" s="1495"/>
      <c r="C131" s="1499" t="str">
        <f>IFERROR(VLOOKUP($M$129,'CAP Data'!$C$3:$Q$2682,11,FALSE),"")</f>
        <v/>
      </c>
      <c r="D131" s="1499"/>
      <c r="E131" s="426"/>
      <c r="F131" s="1497" t="str">
        <f>IFERROR(VLOOKUP($M$129,'CAP Data'!$C$3:$Q$2682,13,FALSE),"")</f>
        <v/>
      </c>
      <c r="G131" s="1497"/>
      <c r="H131" s="1497"/>
      <c r="I131" s="1497"/>
      <c r="J131" s="1500" t="str">
        <f>IFERROR(VLOOKUP($M$129,'CAP Data'!$C$3:$Q$2682,14,FALSE),"")</f>
        <v/>
      </c>
      <c r="K131" s="1500"/>
      <c r="L131" s="1501"/>
    </row>
    <row r="132" spans="1:13" ht="39" customHeight="1" thickBot="1" x14ac:dyDescent="0.25">
      <c r="A132" s="1489" t="s">
        <v>1947</v>
      </c>
      <c r="B132" s="1490"/>
      <c r="C132" s="1491" t="str">
        <f>IFERROR(VLOOKUP($M$129,'CAP Data'!$C$3:$Q$2682,15,FALSE),"")</f>
        <v/>
      </c>
      <c r="D132" s="1492"/>
      <c r="E132" s="1492"/>
      <c r="F132" s="1492"/>
      <c r="G132" s="1492"/>
      <c r="H132" s="1492"/>
      <c r="I132" s="1492"/>
      <c r="J132" s="1492"/>
      <c r="K132" s="1492"/>
      <c r="L132" s="1493"/>
    </row>
  </sheetData>
  <sheetProtection algorithmName="SHA-512" hashValue="DjrLnwvgBDw8tDKAv9+/lfNkTaLxMMNKLcBRKRAb6dP7D81nPz/Y1518umRp4XFZ8mSCSLBSp0mrXw7gJ3tZ7Q==" saltValue="t/nwffnLQPASB6WGzs08fg==" spinCount="100000" sheet="1" objects="1" scenarios="1"/>
  <mergeCells count="298">
    <mergeCell ref="A132:B132"/>
    <mergeCell ref="C132:L132"/>
    <mergeCell ref="F128:J128"/>
    <mergeCell ref="K128:L128"/>
    <mergeCell ref="A129:B129"/>
    <mergeCell ref="C129:D129"/>
    <mergeCell ref="F129:L129"/>
    <mergeCell ref="A130:B130"/>
    <mergeCell ref="C130:D130"/>
    <mergeCell ref="F130:L130"/>
    <mergeCell ref="A131:B131"/>
    <mergeCell ref="C131:D131"/>
    <mergeCell ref="F131:I131"/>
    <mergeCell ref="J131:L131"/>
    <mergeCell ref="M2:M7"/>
    <mergeCell ref="A18:B18"/>
    <mergeCell ref="C18:L18"/>
    <mergeCell ref="F20:J20"/>
    <mergeCell ref="K20:L20"/>
    <mergeCell ref="A21:B21"/>
    <mergeCell ref="C21:D21"/>
    <mergeCell ref="F21:L21"/>
    <mergeCell ref="A24:B24"/>
    <mergeCell ref="C24:L24"/>
    <mergeCell ref="A22:B22"/>
    <mergeCell ref="C22:D22"/>
    <mergeCell ref="F22:L22"/>
    <mergeCell ref="A23:B23"/>
    <mergeCell ref="C23:D23"/>
    <mergeCell ref="F23:I23"/>
    <mergeCell ref="J23:L23"/>
    <mergeCell ref="A15:B15"/>
    <mergeCell ref="C15:D15"/>
    <mergeCell ref="F15:L15"/>
    <mergeCell ref="A16:B16"/>
    <mergeCell ref="C16:D16"/>
    <mergeCell ref="F16:L16"/>
    <mergeCell ref="A17:B17"/>
    <mergeCell ref="C17:D17"/>
    <mergeCell ref="F17:I17"/>
    <mergeCell ref="J17:L17"/>
    <mergeCell ref="F26:J26"/>
    <mergeCell ref="K26:L26"/>
    <mergeCell ref="A27:B27"/>
    <mergeCell ref="C27:D27"/>
    <mergeCell ref="F27:L27"/>
    <mergeCell ref="A9:B9"/>
    <mergeCell ref="C9:D9"/>
    <mergeCell ref="F9:L9"/>
    <mergeCell ref="A12:B12"/>
    <mergeCell ref="C12:L12"/>
    <mergeCell ref="F14:J14"/>
    <mergeCell ref="K14:L14"/>
    <mergeCell ref="A2:L2"/>
    <mergeCell ref="A3:L4"/>
    <mergeCell ref="A6:L6"/>
    <mergeCell ref="F8:J8"/>
    <mergeCell ref="K8:L8"/>
    <mergeCell ref="A10:B10"/>
    <mergeCell ref="C10:D10"/>
    <mergeCell ref="F10:L10"/>
    <mergeCell ref="A11:B11"/>
    <mergeCell ref="C11:D11"/>
    <mergeCell ref="F11:I11"/>
    <mergeCell ref="J11:L11"/>
    <mergeCell ref="A30:B30"/>
    <mergeCell ref="C30:L30"/>
    <mergeCell ref="F32:J32"/>
    <mergeCell ref="K32:L32"/>
    <mergeCell ref="A33:B33"/>
    <mergeCell ref="C33:D33"/>
    <mergeCell ref="F33:L33"/>
    <mergeCell ref="A28:B28"/>
    <mergeCell ref="C28:D28"/>
    <mergeCell ref="F28:L28"/>
    <mergeCell ref="A29:B29"/>
    <mergeCell ref="C29:D29"/>
    <mergeCell ref="F29:I29"/>
    <mergeCell ref="J29:L29"/>
    <mergeCell ref="A36:B36"/>
    <mergeCell ref="C36:L36"/>
    <mergeCell ref="F38:J38"/>
    <mergeCell ref="K38:L38"/>
    <mergeCell ref="A39:B39"/>
    <mergeCell ref="C39:D39"/>
    <mergeCell ref="F39:L39"/>
    <mergeCell ref="A34:B34"/>
    <mergeCell ref="C34:D34"/>
    <mergeCell ref="F34:L34"/>
    <mergeCell ref="A35:B35"/>
    <mergeCell ref="C35:D35"/>
    <mergeCell ref="F35:I35"/>
    <mergeCell ref="J35:L35"/>
    <mergeCell ref="A42:B42"/>
    <mergeCell ref="C42:L42"/>
    <mergeCell ref="F44:J44"/>
    <mergeCell ref="K44:L44"/>
    <mergeCell ref="A45:B45"/>
    <mergeCell ref="C45:D45"/>
    <mergeCell ref="F45:L45"/>
    <mergeCell ref="A40:B40"/>
    <mergeCell ref="C40:D40"/>
    <mergeCell ref="F40:L40"/>
    <mergeCell ref="A41:B41"/>
    <mergeCell ref="C41:D41"/>
    <mergeCell ref="F41:I41"/>
    <mergeCell ref="J41:L41"/>
    <mergeCell ref="A48:B48"/>
    <mergeCell ref="C48:L48"/>
    <mergeCell ref="F50:J50"/>
    <mergeCell ref="K50:L50"/>
    <mergeCell ref="A51:B51"/>
    <mergeCell ref="C51:D51"/>
    <mergeCell ref="F51:L51"/>
    <mergeCell ref="A46:B46"/>
    <mergeCell ref="C46:D46"/>
    <mergeCell ref="F46:L46"/>
    <mergeCell ref="A47:B47"/>
    <mergeCell ref="C47:D47"/>
    <mergeCell ref="F47:I47"/>
    <mergeCell ref="J47:L47"/>
    <mergeCell ref="A54:B54"/>
    <mergeCell ref="C54:L54"/>
    <mergeCell ref="F56:J56"/>
    <mergeCell ref="K56:L56"/>
    <mergeCell ref="A57:B57"/>
    <mergeCell ref="C57:D57"/>
    <mergeCell ref="F57:L57"/>
    <mergeCell ref="A52:B52"/>
    <mergeCell ref="C52:D52"/>
    <mergeCell ref="F52:L52"/>
    <mergeCell ref="A53:B53"/>
    <mergeCell ref="C53:D53"/>
    <mergeCell ref="F53:I53"/>
    <mergeCell ref="J53:L53"/>
    <mergeCell ref="A60:B60"/>
    <mergeCell ref="C60:L60"/>
    <mergeCell ref="F62:J62"/>
    <mergeCell ref="K62:L62"/>
    <mergeCell ref="A63:B63"/>
    <mergeCell ref="C63:D63"/>
    <mergeCell ref="F63:L63"/>
    <mergeCell ref="A58:B58"/>
    <mergeCell ref="C58:D58"/>
    <mergeCell ref="F58:L58"/>
    <mergeCell ref="A59:B59"/>
    <mergeCell ref="C59:D59"/>
    <mergeCell ref="F59:I59"/>
    <mergeCell ref="J59:L59"/>
    <mergeCell ref="A66:B66"/>
    <mergeCell ref="C66:L66"/>
    <mergeCell ref="F68:J68"/>
    <mergeCell ref="K68:L68"/>
    <mergeCell ref="A69:B69"/>
    <mergeCell ref="C69:D69"/>
    <mergeCell ref="F69:L69"/>
    <mergeCell ref="A64:B64"/>
    <mergeCell ref="C64:D64"/>
    <mergeCell ref="F64:L64"/>
    <mergeCell ref="A65:B65"/>
    <mergeCell ref="C65:D65"/>
    <mergeCell ref="F65:I65"/>
    <mergeCell ref="J65:L65"/>
    <mergeCell ref="A72:B72"/>
    <mergeCell ref="C72:L72"/>
    <mergeCell ref="F74:J74"/>
    <mergeCell ref="K74:L74"/>
    <mergeCell ref="A75:B75"/>
    <mergeCell ref="C75:D75"/>
    <mergeCell ref="F75:L75"/>
    <mergeCell ref="A70:B70"/>
    <mergeCell ref="C70:D70"/>
    <mergeCell ref="F70:L70"/>
    <mergeCell ref="A71:B71"/>
    <mergeCell ref="C71:D71"/>
    <mergeCell ref="F71:I71"/>
    <mergeCell ref="J71:L71"/>
    <mergeCell ref="A78:B78"/>
    <mergeCell ref="C78:L78"/>
    <mergeCell ref="F80:J80"/>
    <mergeCell ref="K80:L80"/>
    <mergeCell ref="A81:B81"/>
    <mergeCell ref="C81:D81"/>
    <mergeCell ref="F81:L81"/>
    <mergeCell ref="A76:B76"/>
    <mergeCell ref="C76:D76"/>
    <mergeCell ref="F76:L76"/>
    <mergeCell ref="A77:B77"/>
    <mergeCell ref="C77:D77"/>
    <mergeCell ref="F77:I77"/>
    <mergeCell ref="J77:L77"/>
    <mergeCell ref="A84:B84"/>
    <mergeCell ref="C84:L84"/>
    <mergeCell ref="F86:J86"/>
    <mergeCell ref="K86:L86"/>
    <mergeCell ref="A87:B87"/>
    <mergeCell ref="C87:D87"/>
    <mergeCell ref="F87:L87"/>
    <mergeCell ref="A82:B82"/>
    <mergeCell ref="C82:D82"/>
    <mergeCell ref="F82:L82"/>
    <mergeCell ref="A83:B83"/>
    <mergeCell ref="C83:D83"/>
    <mergeCell ref="F83:I83"/>
    <mergeCell ref="J83:L83"/>
    <mergeCell ref="A90:B90"/>
    <mergeCell ref="C90:L90"/>
    <mergeCell ref="F92:J92"/>
    <mergeCell ref="K92:L92"/>
    <mergeCell ref="A93:B93"/>
    <mergeCell ref="C93:D93"/>
    <mergeCell ref="F93:L93"/>
    <mergeCell ref="A88:B88"/>
    <mergeCell ref="C88:D88"/>
    <mergeCell ref="F88:L88"/>
    <mergeCell ref="A89:B89"/>
    <mergeCell ref="C89:D89"/>
    <mergeCell ref="F89:I89"/>
    <mergeCell ref="J89:L89"/>
    <mergeCell ref="A96:B96"/>
    <mergeCell ref="C96:L96"/>
    <mergeCell ref="F98:J98"/>
    <mergeCell ref="K98:L98"/>
    <mergeCell ref="A99:B99"/>
    <mergeCell ref="C99:D99"/>
    <mergeCell ref="F99:L99"/>
    <mergeCell ref="A94:B94"/>
    <mergeCell ref="C94:D94"/>
    <mergeCell ref="F94:L94"/>
    <mergeCell ref="A95:B95"/>
    <mergeCell ref="C95:D95"/>
    <mergeCell ref="F95:I95"/>
    <mergeCell ref="J95:L95"/>
    <mergeCell ref="A102:B102"/>
    <mergeCell ref="C102:L102"/>
    <mergeCell ref="F104:J104"/>
    <mergeCell ref="K104:L104"/>
    <mergeCell ref="A105:B105"/>
    <mergeCell ref="C105:D105"/>
    <mergeCell ref="F105:L105"/>
    <mergeCell ref="A100:B100"/>
    <mergeCell ref="C100:D100"/>
    <mergeCell ref="F100:L100"/>
    <mergeCell ref="A101:B101"/>
    <mergeCell ref="C101:D101"/>
    <mergeCell ref="F101:I101"/>
    <mergeCell ref="J101:L101"/>
    <mergeCell ref="A108:B108"/>
    <mergeCell ref="C108:L108"/>
    <mergeCell ref="F110:J110"/>
    <mergeCell ref="K110:L110"/>
    <mergeCell ref="A111:B111"/>
    <mergeCell ref="C111:D111"/>
    <mergeCell ref="F111:L111"/>
    <mergeCell ref="A106:B106"/>
    <mergeCell ref="C106:D106"/>
    <mergeCell ref="F106:L106"/>
    <mergeCell ref="A107:B107"/>
    <mergeCell ref="C107:D107"/>
    <mergeCell ref="F107:I107"/>
    <mergeCell ref="J107:L107"/>
    <mergeCell ref="A114:B114"/>
    <mergeCell ref="C114:L114"/>
    <mergeCell ref="F116:J116"/>
    <mergeCell ref="K116:L116"/>
    <mergeCell ref="A117:B117"/>
    <mergeCell ref="C117:D117"/>
    <mergeCell ref="F117:L117"/>
    <mergeCell ref="A112:B112"/>
    <mergeCell ref="C112:D112"/>
    <mergeCell ref="F112:L112"/>
    <mergeCell ref="A113:B113"/>
    <mergeCell ref="C113:D113"/>
    <mergeCell ref="F113:I113"/>
    <mergeCell ref="J113:L113"/>
    <mergeCell ref="A120:B120"/>
    <mergeCell ref="C120:L120"/>
    <mergeCell ref="F122:J122"/>
    <mergeCell ref="K122:L122"/>
    <mergeCell ref="A123:B123"/>
    <mergeCell ref="C123:D123"/>
    <mergeCell ref="F123:L123"/>
    <mergeCell ref="A118:B118"/>
    <mergeCell ref="C118:D118"/>
    <mergeCell ref="F118:L118"/>
    <mergeCell ref="A119:B119"/>
    <mergeCell ref="C119:D119"/>
    <mergeCell ref="F119:I119"/>
    <mergeCell ref="J119:L119"/>
    <mergeCell ref="A126:B126"/>
    <mergeCell ref="C126:L126"/>
    <mergeCell ref="A124:B124"/>
    <mergeCell ref="C124:D124"/>
    <mergeCell ref="F124:L124"/>
    <mergeCell ref="A125:B125"/>
    <mergeCell ref="C125:D125"/>
    <mergeCell ref="F125:I125"/>
    <mergeCell ref="J125:L125"/>
  </mergeCells>
  <hyperlinks>
    <hyperlink ref="M2:M7" location="'Capital Expend Project Specific'!A1" display="Return to Capital Expend Project Specific tab" xr:uid="{00000000-0004-0000-0700-000000000000}"/>
  </hyperlinks>
  <pageMargins left="0.7" right="0.7" top="0.75" bottom="0.75" header="0.3" footer="0.3"/>
  <pageSetup scale="76" orientation="portrait" r:id="rId1"/>
  <headerFooter>
    <oddFooter>&amp;LMDH
www.health.state.mn.us/data/economics/hccis/index.html
Phone: 651-201-3572 
Fax: 651-201-5179&amp;CPage &amp;P
2021 Hospital Annual Report
Health Care Cost  Information System (HCCIS)&amp;RMHA
Jsanislo@mnhospitals.org
Phone: 651-659-1440 
Fax: 651-659-1477</oddFooter>
  </headerFooter>
  <rowBreaks count="2" manualBreakCount="2">
    <brk id="43" max="12" man="1"/>
    <brk id="85" max="12"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A1:R76"/>
  <sheetViews>
    <sheetView zoomScaleNormal="100" workbookViewId="0"/>
  </sheetViews>
  <sheetFormatPr defaultColWidth="9.140625" defaultRowHeight="12.75" x14ac:dyDescent="0.2"/>
  <cols>
    <col min="1" max="1" width="10.28515625" style="95" customWidth="1"/>
    <col min="2" max="2" width="36.85546875" style="95" bestFit="1" customWidth="1"/>
    <col min="3" max="3" width="20" style="95" customWidth="1"/>
    <col min="4" max="5" width="14" style="95" bestFit="1" customWidth="1"/>
    <col min="6" max="6" width="15" style="95" bestFit="1" customWidth="1"/>
    <col min="7" max="7" width="14" style="95" bestFit="1" customWidth="1"/>
    <col min="8" max="8" width="16.42578125" style="95" bestFit="1" customWidth="1"/>
    <col min="9" max="9" width="16.42578125" style="95" customWidth="1"/>
    <col min="10" max="11" width="14.7109375" style="95" bestFit="1" customWidth="1"/>
    <col min="12" max="12" width="15.5703125" style="95" bestFit="1" customWidth="1"/>
    <col min="13" max="13" width="16.28515625" style="95" customWidth="1"/>
    <col min="14" max="14" width="52.42578125" style="95" customWidth="1"/>
    <col min="15" max="16384" width="9.140625" style="95"/>
  </cols>
  <sheetData>
    <row r="1" spans="1:15" ht="18" x14ac:dyDescent="0.25">
      <c r="A1" s="92" t="s">
        <v>1404</v>
      </c>
      <c r="B1" s="93"/>
      <c r="C1" s="94"/>
    </row>
    <row r="2" spans="1:15" x14ac:dyDescent="0.2">
      <c r="A2" s="96" t="s">
        <v>2853</v>
      </c>
      <c r="B2" s="94"/>
      <c r="C2" s="94"/>
    </row>
    <row r="3" spans="1:15" ht="25.5" customHeight="1" x14ac:dyDescent="0.2">
      <c r="A3" s="1524" t="s">
        <v>2854</v>
      </c>
      <c r="B3" s="1525"/>
      <c r="C3" s="1525"/>
    </row>
    <row r="4" spans="1:15" ht="15.75" x14ac:dyDescent="0.25">
      <c r="A4" s="97" t="s">
        <v>1405</v>
      </c>
      <c r="B4" s="97"/>
      <c r="C4" s="97"/>
      <c r="D4" s="98" t="s">
        <v>1406</v>
      </c>
      <c r="E4" s="98"/>
      <c r="F4" s="98"/>
      <c r="G4" s="98"/>
      <c r="H4" s="98"/>
      <c r="I4" s="98"/>
      <c r="J4" s="98"/>
      <c r="K4" s="98"/>
      <c r="L4" s="94"/>
      <c r="M4" s="94"/>
      <c r="N4" s="94"/>
    </row>
    <row r="5" spans="1:15" s="101" customFormat="1" ht="38.25" x14ac:dyDescent="0.2">
      <c r="A5" s="99" t="s">
        <v>568</v>
      </c>
      <c r="B5" s="100" t="s">
        <v>569</v>
      </c>
      <c r="C5" s="100" t="s">
        <v>570</v>
      </c>
      <c r="D5" s="100" t="s">
        <v>571</v>
      </c>
      <c r="E5" s="100" t="s">
        <v>1136</v>
      </c>
      <c r="F5" s="100" t="s">
        <v>505</v>
      </c>
      <c r="G5" s="100" t="s">
        <v>572</v>
      </c>
      <c r="H5" s="100" t="s">
        <v>573</v>
      </c>
      <c r="I5" s="100" t="s">
        <v>574</v>
      </c>
      <c r="J5" s="100" t="s">
        <v>575</v>
      </c>
      <c r="K5" s="100" t="s">
        <v>575</v>
      </c>
      <c r="L5" s="100" t="s">
        <v>576</v>
      </c>
      <c r="M5" s="100" t="s">
        <v>577</v>
      </c>
      <c r="N5" s="100" t="s">
        <v>578</v>
      </c>
    </row>
    <row r="6" spans="1:15" x14ac:dyDescent="0.2">
      <c r="A6" s="94">
        <v>210</v>
      </c>
      <c r="B6" s="94" t="s">
        <v>239</v>
      </c>
      <c r="C6" s="247"/>
      <c r="D6" s="102"/>
      <c r="E6" s="102"/>
      <c r="F6" s="103"/>
      <c r="G6" s="103"/>
      <c r="H6" s="103"/>
      <c r="I6" s="103"/>
      <c r="J6" s="103"/>
      <c r="K6" s="103"/>
      <c r="L6" s="104">
        <f>Code_0210</f>
        <v>0</v>
      </c>
      <c r="M6" s="105">
        <f t="shared" ref="M6:M17" si="0">L6-(C6+D6+E6+F6+G6+H6+I6+J6+K6)</f>
        <v>0</v>
      </c>
      <c r="O6" s="106"/>
    </row>
    <row r="7" spans="1:15" ht="15" x14ac:dyDescent="0.35">
      <c r="A7" s="107">
        <v>220</v>
      </c>
      <c r="B7" s="107" t="s">
        <v>240</v>
      </c>
      <c r="C7" s="108"/>
      <c r="D7" s="108"/>
      <c r="E7" s="108"/>
      <c r="F7" s="108"/>
      <c r="G7" s="108"/>
      <c r="H7" s="108"/>
      <c r="I7" s="108"/>
      <c r="J7" s="108"/>
      <c r="K7" s="108"/>
      <c r="L7" s="109">
        <f>Code_0220</f>
        <v>0</v>
      </c>
      <c r="M7" s="105">
        <f t="shared" si="0"/>
        <v>0</v>
      </c>
      <c r="O7" s="106"/>
    </row>
    <row r="8" spans="1:15" x14ac:dyDescent="0.2">
      <c r="A8" s="94">
        <v>219</v>
      </c>
      <c r="B8" s="94" t="s">
        <v>579</v>
      </c>
      <c r="C8" s="110"/>
      <c r="D8" s="111">
        <f t="shared" ref="D8:K8" si="1">D6+D7</f>
        <v>0</v>
      </c>
      <c r="E8" s="111">
        <f t="shared" si="1"/>
        <v>0</v>
      </c>
      <c r="F8" s="111">
        <f t="shared" si="1"/>
        <v>0</v>
      </c>
      <c r="G8" s="111">
        <f t="shared" si="1"/>
        <v>0</v>
      </c>
      <c r="H8" s="111">
        <f t="shared" si="1"/>
        <v>0</v>
      </c>
      <c r="I8" s="111">
        <f t="shared" si="1"/>
        <v>0</v>
      </c>
      <c r="J8" s="111">
        <f t="shared" si="1"/>
        <v>0</v>
      </c>
      <c r="K8" s="111">
        <f t="shared" si="1"/>
        <v>0</v>
      </c>
      <c r="L8" s="105">
        <f>Code_0219</f>
        <v>0</v>
      </c>
      <c r="M8" s="105">
        <f t="shared" si="0"/>
        <v>0</v>
      </c>
    </row>
    <row r="9" spans="1:15" ht="15" x14ac:dyDescent="0.35">
      <c r="A9" s="107">
        <v>240</v>
      </c>
      <c r="B9" s="107" t="s">
        <v>1116</v>
      </c>
      <c r="C9" s="108"/>
      <c r="D9" s="112"/>
      <c r="E9" s="112"/>
      <c r="F9" s="112"/>
      <c r="G9" s="112"/>
      <c r="H9" s="112"/>
      <c r="I9" s="112"/>
      <c r="J9" s="112"/>
      <c r="K9" s="112"/>
      <c r="L9" s="109">
        <f>Code_0240</f>
        <v>0</v>
      </c>
      <c r="M9" s="105">
        <f t="shared" si="0"/>
        <v>0</v>
      </c>
    </row>
    <row r="10" spans="1:15" x14ac:dyDescent="0.2">
      <c r="A10" s="94">
        <v>250</v>
      </c>
      <c r="B10" s="94" t="s">
        <v>580</v>
      </c>
      <c r="C10" s="110"/>
      <c r="D10" s="111">
        <f t="shared" ref="D10:K10" si="2">D8+D9</f>
        <v>0</v>
      </c>
      <c r="E10" s="111">
        <f t="shared" si="2"/>
        <v>0</v>
      </c>
      <c r="F10" s="111">
        <f t="shared" si="2"/>
        <v>0</v>
      </c>
      <c r="G10" s="111">
        <f t="shared" si="2"/>
        <v>0</v>
      </c>
      <c r="H10" s="111">
        <f t="shared" si="2"/>
        <v>0</v>
      </c>
      <c r="I10" s="111">
        <f t="shared" si="2"/>
        <v>0</v>
      </c>
      <c r="J10" s="111">
        <f t="shared" si="2"/>
        <v>0</v>
      </c>
      <c r="K10" s="111">
        <f t="shared" si="2"/>
        <v>0</v>
      </c>
      <c r="L10" s="105">
        <f>Code_0250</f>
        <v>0</v>
      </c>
      <c r="M10" s="105">
        <f t="shared" si="0"/>
        <v>0</v>
      </c>
    </row>
    <row r="11" spans="1:15" s="101" customFormat="1" x14ac:dyDescent="0.2">
      <c r="A11" s="113">
        <v>260</v>
      </c>
      <c r="B11" s="113" t="s">
        <v>1455</v>
      </c>
      <c r="C11" s="114"/>
      <c r="D11" s="114"/>
      <c r="E11" s="114"/>
      <c r="F11" s="114"/>
      <c r="G11" s="115"/>
      <c r="H11" s="114"/>
      <c r="I11" s="114"/>
      <c r="J11" s="114"/>
      <c r="K11" s="114"/>
      <c r="L11" s="116">
        <f>Code_0260</f>
        <v>0</v>
      </c>
      <c r="M11" s="116">
        <f t="shared" si="0"/>
        <v>0</v>
      </c>
      <c r="N11" s="117"/>
    </row>
    <row r="12" spans="1:15" s="101" customFormat="1" x14ac:dyDescent="0.2">
      <c r="A12" s="118">
        <v>200</v>
      </c>
      <c r="B12" s="118" t="s">
        <v>581</v>
      </c>
      <c r="C12" s="119"/>
      <c r="D12" s="111">
        <f t="shared" ref="D12:K12" si="3">D10-D11</f>
        <v>0</v>
      </c>
      <c r="E12" s="111">
        <f t="shared" si="3"/>
        <v>0</v>
      </c>
      <c r="F12" s="111">
        <f t="shared" si="3"/>
        <v>0</v>
      </c>
      <c r="G12" s="111">
        <f t="shared" si="3"/>
        <v>0</v>
      </c>
      <c r="H12" s="111">
        <f t="shared" si="3"/>
        <v>0</v>
      </c>
      <c r="I12" s="111">
        <f t="shared" si="3"/>
        <v>0</v>
      </c>
      <c r="J12" s="111">
        <f t="shared" si="3"/>
        <v>0</v>
      </c>
      <c r="K12" s="111">
        <f t="shared" si="3"/>
        <v>0</v>
      </c>
      <c r="L12" s="120">
        <f>Code_0200</f>
        <v>0</v>
      </c>
      <c r="M12" s="105">
        <f t="shared" si="0"/>
        <v>0</v>
      </c>
    </row>
    <row r="13" spans="1:15" x14ac:dyDescent="0.2">
      <c r="A13" s="94"/>
      <c r="B13" s="94"/>
      <c r="C13" s="110"/>
      <c r="D13" s="103"/>
      <c r="E13" s="103"/>
      <c r="F13" s="110"/>
      <c r="G13" s="110"/>
      <c r="H13" s="110"/>
      <c r="I13" s="110"/>
      <c r="J13" s="110"/>
      <c r="K13" s="110"/>
      <c r="L13" s="105"/>
      <c r="M13" s="105">
        <f t="shared" si="0"/>
        <v>0</v>
      </c>
    </row>
    <row r="14" spans="1:15" x14ac:dyDescent="0.2">
      <c r="A14" s="94">
        <v>320</v>
      </c>
      <c r="B14" s="94" t="s">
        <v>1121</v>
      </c>
      <c r="C14" s="103"/>
      <c r="D14" s="103"/>
      <c r="E14" s="103"/>
      <c r="F14" s="110"/>
      <c r="G14" s="110"/>
      <c r="H14" s="110"/>
      <c r="I14" s="110"/>
      <c r="J14" s="110"/>
      <c r="K14" s="110"/>
      <c r="L14" s="111">
        <f>Code_0320</f>
        <v>0</v>
      </c>
      <c r="M14" s="105">
        <f t="shared" si="0"/>
        <v>0</v>
      </c>
    </row>
    <row r="15" spans="1:15" s="101" customFormat="1" x14ac:dyDescent="0.2">
      <c r="A15" s="118">
        <v>330</v>
      </c>
      <c r="B15" s="118" t="s">
        <v>1122</v>
      </c>
      <c r="C15" s="103"/>
      <c r="D15" s="103"/>
      <c r="E15" s="103"/>
      <c r="F15" s="119"/>
      <c r="G15" s="119"/>
      <c r="H15" s="119"/>
      <c r="I15" s="119"/>
      <c r="J15" s="119"/>
      <c r="K15" s="119"/>
      <c r="L15" s="111">
        <f>Code_0330</f>
        <v>0</v>
      </c>
      <c r="M15" s="120">
        <f t="shared" si="0"/>
        <v>0</v>
      </c>
    </row>
    <row r="16" spans="1:15" s="101" customFormat="1" x14ac:dyDescent="0.2">
      <c r="A16" s="118">
        <v>333</v>
      </c>
      <c r="B16" s="121" t="s">
        <v>1123</v>
      </c>
      <c r="C16" s="103"/>
      <c r="D16" s="103"/>
      <c r="E16" s="103"/>
      <c r="F16" s="119"/>
      <c r="G16" s="119"/>
      <c r="H16" s="119"/>
      <c r="I16" s="119"/>
      <c r="J16" s="119"/>
      <c r="K16" s="119"/>
      <c r="L16" s="111">
        <f>Code_0333</f>
        <v>0</v>
      </c>
      <c r="M16" s="120">
        <f t="shared" si="0"/>
        <v>0</v>
      </c>
    </row>
    <row r="17" spans="1:18" s="101" customFormat="1" ht="13.5" thickBot="1" x14ac:dyDescent="0.25">
      <c r="A17" s="122">
        <v>300</v>
      </c>
      <c r="B17" s="122" t="s">
        <v>1124</v>
      </c>
      <c r="C17" s="123"/>
      <c r="D17" s="124">
        <f t="shared" ref="D17:K17" si="4">D12+D14-D15+D16</f>
        <v>0</v>
      </c>
      <c r="E17" s="124">
        <f t="shared" si="4"/>
        <v>0</v>
      </c>
      <c r="F17" s="124">
        <f t="shared" si="4"/>
        <v>0</v>
      </c>
      <c r="G17" s="124">
        <f t="shared" si="4"/>
        <v>0</v>
      </c>
      <c r="H17" s="124">
        <f t="shared" si="4"/>
        <v>0</v>
      </c>
      <c r="I17" s="124">
        <f t="shared" si="4"/>
        <v>0</v>
      </c>
      <c r="J17" s="124">
        <f t="shared" si="4"/>
        <v>0</v>
      </c>
      <c r="K17" s="124">
        <f t="shared" si="4"/>
        <v>0</v>
      </c>
      <c r="L17" s="125">
        <f>Code_0300</f>
        <v>0</v>
      </c>
      <c r="M17" s="125">
        <f t="shared" si="0"/>
        <v>0</v>
      </c>
      <c r="N17" s="126"/>
    </row>
    <row r="18" spans="1:18" s="101" customFormat="1" ht="13.5" thickTop="1" x14ac:dyDescent="0.2">
      <c r="A18" s="118"/>
      <c r="B18" s="118"/>
      <c r="C18" s="119"/>
      <c r="D18" s="119"/>
      <c r="E18" s="119"/>
      <c r="F18" s="119"/>
      <c r="G18" s="119"/>
      <c r="H18" s="119"/>
      <c r="I18" s="119"/>
      <c r="J18" s="119"/>
      <c r="K18" s="119"/>
      <c r="L18" s="120"/>
      <c r="M18" s="127"/>
    </row>
    <row r="19" spans="1:18" s="101" customFormat="1" x14ac:dyDescent="0.2">
      <c r="A19" s="128">
        <v>340</v>
      </c>
      <c r="B19" s="128" t="s">
        <v>582</v>
      </c>
      <c r="C19" s="119"/>
      <c r="D19" s="119"/>
      <c r="E19" s="119"/>
      <c r="F19" s="119"/>
      <c r="G19" s="119"/>
      <c r="H19" s="119"/>
      <c r="I19" s="119"/>
      <c r="J19" s="119"/>
      <c r="K19" s="119"/>
      <c r="L19" s="120">
        <f>Code_0340</f>
        <v>0</v>
      </c>
      <c r="M19" s="105">
        <f>L19-(C19+D19+E19+F19+G19+H19+I19+J19+K19)</f>
        <v>0</v>
      </c>
    </row>
    <row r="20" spans="1:18" s="101" customFormat="1" x14ac:dyDescent="0.2">
      <c r="A20" s="129"/>
      <c r="B20" s="129"/>
      <c r="C20" s="130"/>
      <c r="D20" s="130"/>
      <c r="E20" s="130"/>
      <c r="F20" s="130"/>
      <c r="G20" s="130"/>
      <c r="H20" s="130"/>
      <c r="I20" s="130"/>
      <c r="J20" s="130"/>
      <c r="K20" s="130"/>
      <c r="L20" s="130"/>
      <c r="M20" s="131"/>
    </row>
    <row r="21" spans="1:18" s="101" customFormat="1" x14ac:dyDescent="0.2">
      <c r="A21" s="129"/>
      <c r="B21" s="129"/>
      <c r="C21" s="130"/>
      <c r="D21" s="130"/>
      <c r="E21" s="130"/>
      <c r="F21" s="130"/>
      <c r="G21" s="130"/>
      <c r="H21" s="130"/>
      <c r="I21" s="130"/>
      <c r="J21" s="130"/>
      <c r="K21" s="130"/>
      <c r="L21" s="130"/>
      <c r="M21" s="131"/>
    </row>
    <row r="22" spans="1:18" s="101" customFormat="1" x14ac:dyDescent="0.2">
      <c r="A22" s="129"/>
      <c r="B22" s="129"/>
      <c r="C22" s="130"/>
      <c r="D22" s="130"/>
      <c r="E22" s="130"/>
      <c r="F22" s="130"/>
      <c r="G22" s="130"/>
      <c r="H22" s="130"/>
      <c r="I22" s="130"/>
      <c r="J22" s="130"/>
      <c r="K22" s="130"/>
      <c r="L22" s="130"/>
      <c r="M22" s="131"/>
    </row>
    <row r="23" spans="1:18" s="101" customFormat="1" x14ac:dyDescent="0.2">
      <c r="A23" s="129"/>
      <c r="B23" s="129"/>
      <c r="C23" s="130"/>
      <c r="D23" s="130"/>
      <c r="E23" s="130"/>
      <c r="F23" s="130"/>
      <c r="G23" s="130"/>
      <c r="H23" s="130"/>
      <c r="I23" s="130"/>
      <c r="J23" s="130"/>
      <c r="K23" s="130"/>
      <c r="L23" s="130"/>
      <c r="M23" s="131"/>
    </row>
    <row r="24" spans="1:18" s="101" customFormat="1" x14ac:dyDescent="0.2">
      <c r="A24" s="129"/>
      <c r="B24" s="129"/>
      <c r="C24" s="130"/>
      <c r="D24" s="130"/>
      <c r="E24" s="130"/>
      <c r="F24" s="130"/>
      <c r="G24" s="130"/>
      <c r="H24" s="130"/>
      <c r="I24" s="130"/>
      <c r="J24" s="130"/>
      <c r="K24" s="130"/>
      <c r="L24" s="130"/>
      <c r="M24" s="131"/>
    </row>
    <row r="25" spans="1:18" s="101" customFormat="1" x14ac:dyDescent="0.2">
      <c r="A25" s="129"/>
      <c r="B25" s="129"/>
      <c r="C25" s="130"/>
      <c r="D25" s="130"/>
      <c r="E25" s="130"/>
      <c r="F25" s="130"/>
      <c r="G25" s="130"/>
      <c r="H25" s="130"/>
      <c r="I25" s="130"/>
      <c r="J25" s="130"/>
      <c r="K25" s="130"/>
      <c r="L25" s="130"/>
      <c r="M25" s="131"/>
    </row>
    <row r="26" spans="1:18" ht="15.75" x14ac:dyDescent="0.25">
      <c r="A26" s="97" t="s">
        <v>1982</v>
      </c>
      <c r="B26" s="97"/>
      <c r="C26" s="97"/>
      <c r="D26" s="98" t="s">
        <v>1406</v>
      </c>
      <c r="E26" s="98"/>
      <c r="F26" s="98"/>
      <c r="G26" s="98"/>
      <c r="H26" s="98"/>
      <c r="I26" s="98"/>
      <c r="J26" s="98"/>
      <c r="K26" s="98"/>
      <c r="L26" s="94"/>
      <c r="M26" s="94"/>
      <c r="N26" s="94"/>
    </row>
    <row r="27" spans="1:18" s="101" customFormat="1" ht="25.5" x14ac:dyDescent="0.2">
      <c r="A27" s="132" t="s">
        <v>583</v>
      </c>
      <c r="B27" s="133" t="s">
        <v>569</v>
      </c>
      <c r="C27" s="134" t="s">
        <v>584</v>
      </c>
      <c r="D27" s="132" t="s">
        <v>571</v>
      </c>
      <c r="E27" s="132" t="s">
        <v>1136</v>
      </c>
      <c r="F27" s="132" t="s">
        <v>505</v>
      </c>
      <c r="G27" s="132" t="s">
        <v>572</v>
      </c>
      <c r="H27" s="132" t="s">
        <v>573</v>
      </c>
      <c r="I27" s="132" t="s">
        <v>585</v>
      </c>
      <c r="J27" s="132" t="s">
        <v>575</v>
      </c>
      <c r="K27" s="132" t="s">
        <v>575</v>
      </c>
      <c r="L27" s="132" t="s">
        <v>576</v>
      </c>
      <c r="M27" s="132" t="s">
        <v>577</v>
      </c>
      <c r="N27" s="135" t="s">
        <v>586</v>
      </c>
    </row>
    <row r="28" spans="1:18" x14ac:dyDescent="0.2">
      <c r="A28" s="94">
        <v>740</v>
      </c>
      <c r="B28" s="94" t="s">
        <v>239</v>
      </c>
      <c r="C28" s="102"/>
      <c r="D28" s="102"/>
      <c r="E28" s="102"/>
      <c r="F28" s="103"/>
      <c r="G28" s="103"/>
      <c r="H28" s="103"/>
      <c r="I28" s="103"/>
      <c r="J28" s="103"/>
      <c r="K28" s="103"/>
      <c r="L28" s="104">
        <f>Code_0740</f>
        <v>0</v>
      </c>
      <c r="M28" s="105">
        <f t="shared" ref="M28:M39" si="5">L28-(C28+D28+E28+F28+G28+H28+I28+J28+K28)</f>
        <v>0</v>
      </c>
      <c r="R28" s="106"/>
    </row>
    <row r="29" spans="1:18" s="136" customFormat="1" ht="15" x14ac:dyDescent="0.35">
      <c r="A29" s="107">
        <v>760</v>
      </c>
      <c r="B29" s="107" t="s">
        <v>240</v>
      </c>
      <c r="C29" s="108"/>
      <c r="D29" s="108"/>
      <c r="E29" s="108"/>
      <c r="F29" s="108"/>
      <c r="G29" s="108"/>
      <c r="H29" s="108"/>
      <c r="I29" s="108"/>
      <c r="J29" s="108"/>
      <c r="K29" s="108"/>
      <c r="L29" s="109">
        <f>Code_8063</f>
        <v>0</v>
      </c>
      <c r="M29" s="105">
        <f t="shared" si="5"/>
        <v>0</v>
      </c>
      <c r="R29" s="137"/>
    </row>
    <row r="30" spans="1:18" ht="13.5" customHeight="1" x14ac:dyDescent="0.2">
      <c r="A30" s="94">
        <v>750</v>
      </c>
      <c r="B30" s="94" t="s">
        <v>579</v>
      </c>
      <c r="C30" s="110"/>
      <c r="D30" s="111">
        <f t="shared" ref="D30:K30" si="6">D28+D29</f>
        <v>0</v>
      </c>
      <c r="E30" s="111">
        <f t="shared" si="6"/>
        <v>0</v>
      </c>
      <c r="F30" s="111">
        <f t="shared" si="6"/>
        <v>0</v>
      </c>
      <c r="G30" s="111">
        <f t="shared" si="6"/>
        <v>0</v>
      </c>
      <c r="H30" s="111">
        <f t="shared" si="6"/>
        <v>0</v>
      </c>
      <c r="I30" s="111">
        <f t="shared" si="6"/>
        <v>0</v>
      </c>
      <c r="J30" s="111">
        <f t="shared" si="6"/>
        <v>0</v>
      </c>
      <c r="K30" s="111">
        <f t="shared" si="6"/>
        <v>0</v>
      </c>
      <c r="L30" s="105">
        <f>Code_0750</f>
        <v>0</v>
      </c>
      <c r="M30" s="105">
        <f t="shared" si="5"/>
        <v>0</v>
      </c>
    </row>
    <row r="31" spans="1:18" s="136" customFormat="1" ht="15" x14ac:dyDescent="0.35">
      <c r="A31" s="107">
        <v>770</v>
      </c>
      <c r="B31" s="107" t="s">
        <v>1116</v>
      </c>
      <c r="C31" s="108"/>
      <c r="D31" s="112"/>
      <c r="E31" s="112"/>
      <c r="F31" s="112"/>
      <c r="G31" s="112"/>
      <c r="H31" s="112"/>
      <c r="I31" s="112"/>
      <c r="J31" s="112"/>
      <c r="K31" s="112"/>
      <c r="L31" s="109">
        <f>Code_0770</f>
        <v>0</v>
      </c>
      <c r="M31" s="105">
        <f t="shared" si="5"/>
        <v>0</v>
      </c>
    </row>
    <row r="32" spans="1:18" x14ac:dyDescent="0.2">
      <c r="A32" s="94">
        <v>780</v>
      </c>
      <c r="B32" s="94" t="s">
        <v>580</v>
      </c>
      <c r="C32" s="110"/>
      <c r="D32" s="111">
        <f t="shared" ref="D32:K32" si="7">D30+D31</f>
        <v>0</v>
      </c>
      <c r="E32" s="111">
        <f t="shared" si="7"/>
        <v>0</v>
      </c>
      <c r="F32" s="111">
        <f t="shared" si="7"/>
        <v>0</v>
      </c>
      <c r="G32" s="111">
        <f t="shared" si="7"/>
        <v>0</v>
      </c>
      <c r="H32" s="111">
        <f t="shared" si="7"/>
        <v>0</v>
      </c>
      <c r="I32" s="111">
        <f t="shared" si="7"/>
        <v>0</v>
      </c>
      <c r="J32" s="111">
        <f t="shared" si="7"/>
        <v>0</v>
      </c>
      <c r="K32" s="111">
        <f t="shared" si="7"/>
        <v>0</v>
      </c>
      <c r="L32" s="105">
        <f>Code_0780</f>
        <v>0</v>
      </c>
      <c r="M32" s="105">
        <f t="shared" si="5"/>
        <v>0</v>
      </c>
    </row>
    <row r="33" spans="1:14" s="101" customFormat="1" x14ac:dyDescent="0.2">
      <c r="A33" s="113">
        <v>790</v>
      </c>
      <c r="B33" s="113" t="s">
        <v>1455</v>
      </c>
      <c r="C33" s="114"/>
      <c r="D33" s="114"/>
      <c r="E33" s="114"/>
      <c r="F33" s="114"/>
      <c r="G33" s="115"/>
      <c r="H33" s="114"/>
      <c r="I33" s="114"/>
      <c r="J33" s="114"/>
      <c r="K33" s="114"/>
      <c r="L33" s="116">
        <f>Code_0790</f>
        <v>0</v>
      </c>
      <c r="M33" s="116">
        <f t="shared" si="5"/>
        <v>0</v>
      </c>
      <c r="N33" s="138"/>
    </row>
    <row r="34" spans="1:14" s="101" customFormat="1" x14ac:dyDescent="0.2">
      <c r="A34" s="118">
        <v>700</v>
      </c>
      <c r="B34" s="118" t="s">
        <v>587</v>
      </c>
      <c r="C34" s="119"/>
      <c r="D34" s="111">
        <f t="shared" ref="D34:K34" si="8">D32-D33</f>
        <v>0</v>
      </c>
      <c r="E34" s="111">
        <f t="shared" si="8"/>
        <v>0</v>
      </c>
      <c r="F34" s="111">
        <f t="shared" si="8"/>
        <v>0</v>
      </c>
      <c r="G34" s="111">
        <f t="shared" si="8"/>
        <v>0</v>
      </c>
      <c r="H34" s="111">
        <f t="shared" si="8"/>
        <v>0</v>
      </c>
      <c r="I34" s="111">
        <f t="shared" si="8"/>
        <v>0</v>
      </c>
      <c r="J34" s="111">
        <f t="shared" si="8"/>
        <v>0</v>
      </c>
      <c r="K34" s="111">
        <f t="shared" si="8"/>
        <v>0</v>
      </c>
      <c r="L34" s="120">
        <f>Code_0700</f>
        <v>0</v>
      </c>
      <c r="M34" s="105">
        <f t="shared" si="5"/>
        <v>0</v>
      </c>
      <c r="N34" s="130"/>
    </row>
    <row r="35" spans="1:14" x14ac:dyDescent="0.2">
      <c r="A35" s="94"/>
      <c r="B35" s="94"/>
      <c r="C35" s="110"/>
      <c r="D35" s="110"/>
      <c r="E35" s="110"/>
      <c r="F35" s="103"/>
      <c r="G35" s="103"/>
      <c r="H35" s="110"/>
      <c r="I35" s="110"/>
      <c r="J35" s="110"/>
      <c r="K35" s="110"/>
      <c r="L35" s="105"/>
      <c r="M35" s="105">
        <f t="shared" si="5"/>
        <v>0</v>
      </c>
    </row>
    <row r="36" spans="1:14" x14ac:dyDescent="0.2">
      <c r="A36" s="94">
        <v>820</v>
      </c>
      <c r="B36" s="94" t="s">
        <v>1121</v>
      </c>
      <c r="C36" s="103"/>
      <c r="D36" s="103"/>
      <c r="E36" s="103"/>
      <c r="F36" s="103"/>
      <c r="G36" s="103"/>
      <c r="H36" s="103"/>
      <c r="I36" s="103"/>
      <c r="J36" s="103"/>
      <c r="K36" s="103"/>
      <c r="L36" s="139">
        <f>Code_0820</f>
        <v>0</v>
      </c>
      <c r="M36" s="105">
        <f t="shared" si="5"/>
        <v>0</v>
      </c>
    </row>
    <row r="37" spans="1:14" s="101" customFormat="1" x14ac:dyDescent="0.2">
      <c r="A37" s="118">
        <v>830</v>
      </c>
      <c r="B37" s="118" t="s">
        <v>1122</v>
      </c>
      <c r="C37" s="103"/>
      <c r="D37" s="119"/>
      <c r="E37" s="119"/>
      <c r="F37" s="103"/>
      <c r="G37" s="119"/>
      <c r="H37" s="119"/>
      <c r="I37" s="119"/>
      <c r="J37" s="119"/>
      <c r="K37" s="119"/>
      <c r="L37" s="111">
        <f>Code_0830</f>
        <v>0</v>
      </c>
      <c r="M37" s="120">
        <f t="shared" si="5"/>
        <v>0</v>
      </c>
      <c r="N37" s="130"/>
    </row>
    <row r="38" spans="1:14" s="101" customFormat="1" x14ac:dyDescent="0.2">
      <c r="A38" s="118">
        <v>831</v>
      </c>
      <c r="B38" s="121" t="s">
        <v>1123</v>
      </c>
      <c r="C38" s="103"/>
      <c r="D38" s="119"/>
      <c r="E38" s="119"/>
      <c r="F38" s="103"/>
      <c r="G38" s="119"/>
      <c r="H38" s="119"/>
      <c r="I38" s="119"/>
      <c r="J38" s="119"/>
      <c r="K38" s="119"/>
      <c r="L38" s="111">
        <f>Code_0831</f>
        <v>0</v>
      </c>
      <c r="M38" s="120">
        <f t="shared" si="5"/>
        <v>0</v>
      </c>
      <c r="N38" s="130"/>
    </row>
    <row r="39" spans="1:14" s="101" customFormat="1" ht="13.5" thickBot="1" x14ac:dyDescent="0.25">
      <c r="A39" s="122">
        <v>800</v>
      </c>
      <c r="B39" s="122" t="s">
        <v>1124</v>
      </c>
      <c r="C39" s="123"/>
      <c r="D39" s="124">
        <f t="shared" ref="D39:K39" si="9">D34+D36-D37+D38</f>
        <v>0</v>
      </c>
      <c r="E39" s="124">
        <f t="shared" si="9"/>
        <v>0</v>
      </c>
      <c r="F39" s="124">
        <f t="shared" si="9"/>
        <v>0</v>
      </c>
      <c r="G39" s="124">
        <f t="shared" si="9"/>
        <v>0</v>
      </c>
      <c r="H39" s="124">
        <f t="shared" si="9"/>
        <v>0</v>
      </c>
      <c r="I39" s="124">
        <f t="shared" si="9"/>
        <v>0</v>
      </c>
      <c r="J39" s="124">
        <f t="shared" si="9"/>
        <v>0</v>
      </c>
      <c r="K39" s="124">
        <f t="shared" si="9"/>
        <v>0</v>
      </c>
      <c r="L39" s="125">
        <f>Code_0800</f>
        <v>0</v>
      </c>
      <c r="M39" s="125">
        <f t="shared" si="5"/>
        <v>0</v>
      </c>
      <c r="N39" s="140"/>
    </row>
    <row r="40" spans="1:14" ht="13.5" thickTop="1" x14ac:dyDescent="0.2">
      <c r="A40" s="94"/>
      <c r="B40" s="94"/>
      <c r="C40" s="119"/>
      <c r="D40" s="110"/>
      <c r="E40" s="110"/>
      <c r="F40" s="110"/>
      <c r="G40" s="110"/>
      <c r="H40" s="110"/>
      <c r="I40" s="110"/>
      <c r="J40" s="110"/>
      <c r="K40" s="110"/>
      <c r="L40" s="120"/>
      <c r="M40" s="127"/>
    </row>
    <row r="41" spans="1:14" s="101" customFormat="1" x14ac:dyDescent="0.2">
      <c r="A41" s="128">
        <v>840</v>
      </c>
      <c r="B41" s="128" t="s">
        <v>582</v>
      </c>
      <c r="C41" s="119"/>
      <c r="D41" s="119"/>
      <c r="E41" s="119"/>
      <c r="F41" s="119"/>
      <c r="G41" s="119"/>
      <c r="H41" s="119"/>
      <c r="I41" s="119"/>
      <c r="J41" s="119"/>
      <c r="K41" s="119"/>
      <c r="L41" s="120">
        <f>Code_0840</f>
        <v>0</v>
      </c>
      <c r="M41" s="105">
        <f>L41-(C41+D41+E41+F41+G41+H41+I41+J41+K41)</f>
        <v>0</v>
      </c>
    </row>
    <row r="42" spans="1:14" x14ac:dyDescent="0.2">
      <c r="C42" s="131"/>
      <c r="D42" s="131"/>
      <c r="E42" s="131"/>
      <c r="F42" s="131"/>
      <c r="G42" s="131"/>
      <c r="H42" s="131"/>
      <c r="I42" s="131"/>
      <c r="J42" s="131"/>
      <c r="K42" s="131"/>
      <c r="L42" s="131"/>
      <c r="M42" s="131"/>
    </row>
    <row r="43" spans="1:14" x14ac:dyDescent="0.2">
      <c r="A43" s="141" t="s">
        <v>588</v>
      </c>
      <c r="B43" s="141"/>
      <c r="C43" s="142"/>
      <c r="D43" s="131"/>
      <c r="E43" s="131"/>
      <c r="F43" s="131"/>
      <c r="G43" s="131"/>
      <c r="H43" s="131"/>
      <c r="I43" s="131"/>
      <c r="J43" s="131"/>
      <c r="K43" s="131"/>
      <c r="L43" s="131"/>
      <c r="M43" s="131"/>
    </row>
    <row r="44" spans="1:14" x14ac:dyDescent="0.2">
      <c r="A44" s="141" t="s">
        <v>589</v>
      </c>
      <c r="B44" s="141"/>
      <c r="C44" s="142"/>
      <c r="D44" s="131"/>
      <c r="E44" s="131"/>
      <c r="F44" s="131"/>
      <c r="G44" s="131"/>
      <c r="H44" s="131"/>
      <c r="I44" s="131"/>
      <c r="J44" s="131"/>
      <c r="K44" s="131"/>
      <c r="L44" s="131"/>
      <c r="M44" s="131"/>
    </row>
    <row r="45" spans="1:14" x14ac:dyDescent="0.2">
      <c r="A45" s="143" t="s">
        <v>590</v>
      </c>
      <c r="B45" s="143"/>
      <c r="C45" s="144"/>
      <c r="D45" s="131"/>
      <c r="E45" s="131"/>
      <c r="F45" s="131"/>
      <c r="G45" s="131"/>
      <c r="H45" s="131"/>
      <c r="I45" s="131"/>
      <c r="J45" s="131"/>
      <c r="K45" s="131"/>
      <c r="L45" s="131"/>
      <c r="M45" s="131"/>
    </row>
    <row r="46" spans="1:14" x14ac:dyDescent="0.2">
      <c r="A46" s="143" t="s">
        <v>1428</v>
      </c>
      <c r="B46" s="143"/>
      <c r="C46" s="144"/>
      <c r="D46" s="131"/>
      <c r="E46" s="131"/>
      <c r="F46" s="131"/>
      <c r="G46" s="131"/>
      <c r="H46" s="131"/>
      <c r="I46" s="131"/>
      <c r="J46" s="131"/>
      <c r="K46" s="131"/>
      <c r="L46" s="131"/>
      <c r="M46" s="131"/>
    </row>
    <row r="47" spans="1:14" x14ac:dyDescent="0.2">
      <c r="C47" s="131"/>
      <c r="D47" s="131"/>
      <c r="E47" s="131"/>
      <c r="F47" s="131"/>
      <c r="G47" s="131"/>
      <c r="H47" s="131"/>
      <c r="I47" s="131"/>
      <c r="J47" s="131"/>
      <c r="K47" s="131"/>
      <c r="L47" s="131"/>
      <c r="M47" s="131"/>
    </row>
    <row r="48" spans="1:14" x14ac:dyDescent="0.2">
      <c r="C48" s="131"/>
      <c r="D48" s="131"/>
      <c r="E48" s="131"/>
      <c r="F48" s="131"/>
      <c r="G48" s="131"/>
      <c r="H48" s="131"/>
      <c r="I48" s="131"/>
      <c r="J48" s="131"/>
      <c r="K48" s="131"/>
      <c r="L48" s="131"/>
      <c r="M48" s="131"/>
    </row>
    <row r="49" spans="3:13" x14ac:dyDescent="0.2">
      <c r="C49" s="131"/>
      <c r="D49" s="131"/>
      <c r="E49" s="131"/>
      <c r="F49" s="131"/>
      <c r="G49" s="131"/>
      <c r="H49" s="131"/>
      <c r="I49" s="131"/>
      <c r="J49" s="131"/>
      <c r="K49" s="131"/>
      <c r="L49" s="131"/>
      <c r="M49" s="131"/>
    </row>
    <row r="50" spans="3:13" x14ac:dyDescent="0.2">
      <c r="C50" s="131"/>
      <c r="D50" s="131"/>
      <c r="E50" s="131"/>
      <c r="F50" s="131"/>
      <c r="G50" s="131"/>
      <c r="H50" s="131"/>
      <c r="I50" s="131"/>
      <c r="J50" s="131"/>
      <c r="K50" s="131"/>
      <c r="L50" s="131"/>
      <c r="M50" s="131"/>
    </row>
    <row r="51" spans="3:13" x14ac:dyDescent="0.2">
      <c r="C51" s="131"/>
      <c r="D51" s="131"/>
      <c r="E51" s="131"/>
      <c r="F51" s="131"/>
      <c r="G51" s="131"/>
      <c r="H51" s="131"/>
      <c r="I51" s="131"/>
      <c r="J51" s="131"/>
      <c r="K51" s="131"/>
      <c r="L51" s="131"/>
      <c r="M51" s="131"/>
    </row>
    <row r="52" spans="3:13" x14ac:dyDescent="0.2">
      <c r="C52" s="131"/>
      <c r="D52" s="131"/>
      <c r="E52" s="131"/>
      <c r="F52" s="131"/>
      <c r="G52" s="131"/>
      <c r="H52" s="131"/>
      <c r="I52" s="131"/>
      <c r="J52" s="131"/>
      <c r="K52" s="131"/>
      <c r="L52" s="131"/>
      <c r="M52" s="131"/>
    </row>
    <row r="53" spans="3:13" x14ac:dyDescent="0.2">
      <c r="C53" s="131"/>
      <c r="D53" s="131"/>
      <c r="E53" s="131"/>
      <c r="F53" s="131"/>
      <c r="G53" s="131"/>
      <c r="H53" s="131"/>
      <c r="I53" s="131"/>
      <c r="J53" s="131"/>
      <c r="K53" s="131"/>
      <c r="L53" s="131"/>
      <c r="M53" s="131"/>
    </row>
    <row r="54" spans="3:13" x14ac:dyDescent="0.2">
      <c r="C54" s="131"/>
      <c r="D54" s="131"/>
      <c r="E54" s="131"/>
      <c r="F54" s="131"/>
      <c r="G54" s="131"/>
      <c r="H54" s="131"/>
      <c r="I54" s="131"/>
      <c r="J54" s="131"/>
      <c r="K54" s="131"/>
      <c r="L54" s="131"/>
      <c r="M54" s="131"/>
    </row>
    <row r="55" spans="3:13" x14ac:dyDescent="0.2">
      <c r="C55" s="131"/>
      <c r="D55" s="131"/>
      <c r="E55" s="131"/>
      <c r="F55" s="131"/>
      <c r="G55" s="131"/>
      <c r="H55" s="131"/>
      <c r="I55" s="131"/>
      <c r="J55" s="131"/>
      <c r="K55" s="131"/>
      <c r="L55" s="131"/>
      <c r="M55" s="131"/>
    </row>
    <row r="56" spans="3:13" x14ac:dyDescent="0.2">
      <c r="C56" s="131"/>
      <c r="D56" s="131"/>
      <c r="E56" s="131"/>
      <c r="F56" s="131"/>
      <c r="G56" s="131"/>
      <c r="H56" s="131"/>
      <c r="I56" s="131"/>
      <c r="J56" s="131"/>
      <c r="K56" s="131"/>
      <c r="L56" s="131"/>
      <c r="M56" s="131"/>
    </row>
    <row r="57" spans="3:13" x14ac:dyDescent="0.2">
      <c r="C57" s="131"/>
      <c r="D57" s="131"/>
      <c r="E57" s="131"/>
      <c r="F57" s="131"/>
      <c r="G57" s="131"/>
      <c r="H57" s="131"/>
      <c r="I57" s="131"/>
      <c r="J57" s="131"/>
      <c r="K57" s="131"/>
      <c r="L57" s="131"/>
      <c r="M57" s="131"/>
    </row>
    <row r="58" spans="3:13" x14ac:dyDescent="0.2">
      <c r="C58" s="131"/>
      <c r="D58" s="131"/>
      <c r="E58" s="131"/>
      <c r="F58" s="131"/>
      <c r="G58" s="131"/>
      <c r="H58" s="131"/>
      <c r="I58" s="131"/>
      <c r="J58" s="131"/>
      <c r="K58" s="131"/>
      <c r="L58" s="131"/>
      <c r="M58" s="131"/>
    </row>
    <row r="59" spans="3:13" x14ac:dyDescent="0.2">
      <c r="C59" s="131"/>
      <c r="D59" s="131"/>
      <c r="E59" s="131"/>
      <c r="F59" s="131"/>
      <c r="G59" s="131"/>
      <c r="H59" s="131"/>
      <c r="I59" s="131"/>
      <c r="J59" s="131"/>
      <c r="K59" s="131"/>
      <c r="L59" s="131"/>
      <c r="M59" s="131"/>
    </row>
    <row r="60" spans="3:13" x14ac:dyDescent="0.2">
      <c r="C60" s="131"/>
      <c r="D60" s="131"/>
      <c r="E60" s="131"/>
      <c r="F60" s="131"/>
      <c r="G60" s="131"/>
      <c r="H60" s="131"/>
      <c r="I60" s="131"/>
      <c r="J60" s="131"/>
      <c r="K60" s="131"/>
      <c r="L60" s="131"/>
      <c r="M60" s="131"/>
    </row>
    <row r="61" spans="3:13" x14ac:dyDescent="0.2">
      <c r="C61" s="131"/>
      <c r="D61" s="131"/>
      <c r="E61" s="131"/>
      <c r="F61" s="131"/>
      <c r="G61" s="131"/>
      <c r="H61" s="131"/>
      <c r="I61" s="131"/>
      <c r="J61" s="131"/>
      <c r="K61" s="131"/>
      <c r="L61" s="131"/>
      <c r="M61" s="131"/>
    </row>
    <row r="62" spans="3:13" x14ac:dyDescent="0.2">
      <c r="C62" s="131"/>
      <c r="D62" s="131"/>
      <c r="E62" s="131"/>
      <c r="F62" s="131"/>
      <c r="G62" s="131"/>
      <c r="H62" s="131"/>
      <c r="I62" s="131"/>
      <c r="J62" s="131"/>
      <c r="K62" s="131"/>
      <c r="L62" s="131"/>
      <c r="M62" s="131"/>
    </row>
    <row r="63" spans="3:13" x14ac:dyDescent="0.2">
      <c r="C63" s="131"/>
      <c r="D63" s="131"/>
      <c r="E63" s="131"/>
      <c r="F63" s="131"/>
      <c r="G63" s="131"/>
      <c r="H63" s="131"/>
      <c r="I63" s="131"/>
      <c r="J63" s="131"/>
      <c r="K63" s="131"/>
      <c r="L63" s="131"/>
      <c r="M63" s="131"/>
    </row>
    <row r="64" spans="3:13" x14ac:dyDescent="0.2">
      <c r="C64" s="131"/>
      <c r="D64" s="131"/>
      <c r="E64" s="131"/>
      <c r="F64" s="131"/>
      <c r="G64" s="131"/>
      <c r="H64" s="131"/>
      <c r="I64" s="131"/>
      <c r="J64" s="131"/>
      <c r="K64" s="131"/>
      <c r="L64" s="131"/>
      <c r="M64" s="131"/>
    </row>
    <row r="65" spans="3:13" x14ac:dyDescent="0.2">
      <c r="C65" s="131"/>
      <c r="D65" s="131"/>
      <c r="E65" s="131"/>
      <c r="F65" s="131"/>
      <c r="G65" s="131"/>
      <c r="H65" s="131"/>
      <c r="I65" s="131"/>
      <c r="J65" s="131"/>
      <c r="K65" s="131"/>
      <c r="L65" s="131"/>
      <c r="M65" s="131"/>
    </row>
    <row r="66" spans="3:13" x14ac:dyDescent="0.2">
      <c r="C66" s="131"/>
      <c r="D66" s="131"/>
      <c r="E66" s="131"/>
      <c r="F66" s="131"/>
      <c r="G66" s="131"/>
      <c r="H66" s="131"/>
      <c r="I66" s="131"/>
      <c r="J66" s="131"/>
      <c r="K66" s="131"/>
      <c r="L66" s="131"/>
      <c r="M66" s="131"/>
    </row>
    <row r="67" spans="3:13" x14ac:dyDescent="0.2">
      <c r="C67" s="131"/>
      <c r="D67" s="131"/>
      <c r="E67" s="131"/>
      <c r="F67" s="131"/>
      <c r="G67" s="131"/>
      <c r="H67" s="131"/>
      <c r="I67" s="131"/>
      <c r="J67" s="131"/>
      <c r="K67" s="131"/>
      <c r="L67" s="131"/>
      <c r="M67" s="131"/>
    </row>
    <row r="68" spans="3:13" x14ac:dyDescent="0.2">
      <c r="C68" s="131"/>
      <c r="D68" s="131"/>
      <c r="E68" s="131"/>
      <c r="F68" s="131"/>
      <c r="G68" s="131"/>
      <c r="H68" s="131"/>
      <c r="I68" s="131"/>
      <c r="J68" s="131"/>
      <c r="K68" s="131"/>
      <c r="L68" s="131"/>
      <c r="M68" s="131"/>
    </row>
    <row r="69" spans="3:13" x14ac:dyDescent="0.2">
      <c r="C69" s="131"/>
      <c r="D69" s="131"/>
      <c r="E69" s="131"/>
      <c r="F69" s="131"/>
      <c r="G69" s="131"/>
      <c r="H69" s="131"/>
      <c r="I69" s="131"/>
      <c r="J69" s="131"/>
      <c r="K69" s="131"/>
      <c r="L69" s="131"/>
      <c r="M69" s="131"/>
    </row>
    <row r="70" spans="3:13" x14ac:dyDescent="0.2">
      <c r="C70" s="131"/>
      <c r="D70" s="131"/>
      <c r="E70" s="131"/>
      <c r="F70" s="131"/>
      <c r="G70" s="131"/>
      <c r="H70" s="131"/>
      <c r="I70" s="131"/>
      <c r="J70" s="131"/>
      <c r="K70" s="131"/>
      <c r="L70" s="131"/>
      <c r="M70" s="131"/>
    </row>
    <row r="71" spans="3:13" x14ac:dyDescent="0.2">
      <c r="C71" s="131"/>
      <c r="D71" s="131"/>
      <c r="E71" s="131"/>
      <c r="F71" s="131"/>
      <c r="G71" s="131"/>
      <c r="H71" s="131"/>
      <c r="I71" s="131"/>
      <c r="J71" s="131"/>
      <c r="K71" s="131"/>
      <c r="L71" s="131"/>
      <c r="M71" s="131"/>
    </row>
    <row r="72" spans="3:13" x14ac:dyDescent="0.2">
      <c r="C72" s="131"/>
      <c r="D72" s="131"/>
      <c r="E72" s="131"/>
      <c r="F72" s="131"/>
      <c r="G72" s="131"/>
      <c r="H72" s="131"/>
      <c r="I72" s="131"/>
      <c r="J72" s="131"/>
      <c r="K72" s="131"/>
      <c r="L72" s="131"/>
      <c r="M72" s="131"/>
    </row>
    <row r="73" spans="3:13" x14ac:dyDescent="0.2">
      <c r="C73" s="131"/>
      <c r="D73" s="131"/>
      <c r="E73" s="131"/>
      <c r="F73" s="131"/>
      <c r="G73" s="131"/>
      <c r="H73" s="131"/>
      <c r="I73" s="131"/>
      <c r="J73" s="131"/>
      <c r="K73" s="131"/>
      <c r="L73" s="131"/>
      <c r="M73" s="131"/>
    </row>
    <row r="74" spans="3:13" x14ac:dyDescent="0.2">
      <c r="C74" s="131"/>
      <c r="D74" s="131"/>
      <c r="E74" s="131"/>
      <c r="F74" s="131"/>
      <c r="G74" s="131"/>
      <c r="H74" s="131"/>
      <c r="I74" s="131"/>
      <c r="J74" s="131"/>
      <c r="K74" s="131"/>
      <c r="L74" s="131"/>
      <c r="M74" s="131"/>
    </row>
    <row r="75" spans="3:13" x14ac:dyDescent="0.2">
      <c r="C75" s="131"/>
      <c r="D75" s="131"/>
      <c r="E75" s="131"/>
      <c r="F75" s="131"/>
      <c r="G75" s="131"/>
      <c r="H75" s="131"/>
      <c r="I75" s="131"/>
      <c r="J75" s="131"/>
      <c r="K75" s="131"/>
      <c r="L75" s="131"/>
      <c r="M75" s="131"/>
    </row>
    <row r="76" spans="3:13" x14ac:dyDescent="0.2">
      <c r="C76" s="131"/>
      <c r="D76" s="131"/>
      <c r="E76" s="131"/>
      <c r="F76" s="131"/>
      <c r="G76" s="131"/>
      <c r="H76" s="131"/>
      <c r="I76" s="131"/>
      <c r="J76" s="131"/>
      <c r="K76" s="131"/>
      <c r="L76" s="131"/>
      <c r="M76" s="131"/>
    </row>
  </sheetData>
  <sheetProtection algorithmName="SHA-512" hashValue="iS9Q1nO1KG0DrQClYycOGokQfh2Z/Gecp91xovfwCwzNujKkQPKc3tK+7aJIJnt9UKkwLif1kNxzVqkh9J4RtQ==" saltValue="AfV45AV2KWSX4nsw+eQmPQ==" spinCount="100000" sheet="1" objects="1" scenarios="1"/>
  <mergeCells count="1">
    <mergeCell ref="A3:C3"/>
  </mergeCells>
  <phoneticPr fontId="0" type="noConversion"/>
  <conditionalFormatting sqref="M18 M20:M25 M40">
    <cfRule type="cellIs" dxfId="8" priority="1" stopIfTrue="1" operator="notBetween">
      <formula>-10</formula>
      <formula>10</formula>
    </cfRule>
  </conditionalFormatting>
  <conditionalFormatting sqref="M42:M53">
    <cfRule type="cellIs" dxfId="7" priority="2" stopIfTrue="1" operator="notEqual">
      <formula>0</formula>
    </cfRule>
  </conditionalFormatting>
  <conditionalFormatting sqref="M6:M17 M28:M39">
    <cfRule type="cellIs" dxfId="6" priority="3" stopIfTrue="1" operator="notBetween">
      <formula>-10</formula>
      <formula>10</formula>
    </cfRule>
  </conditionalFormatting>
  <conditionalFormatting sqref="C30 C32 L30 L32 C8 C10 L8 L10">
    <cfRule type="expression" dxfId="5" priority="4" stopIfTrue="1">
      <formula>NOT((C6+C7)=C8)</formula>
    </cfRule>
  </conditionalFormatting>
  <conditionalFormatting sqref="L12 L34 C34">
    <cfRule type="expression" dxfId="4" priority="5" stopIfTrue="1">
      <formula>NOT((C10-C11)=C12)</formula>
    </cfRule>
  </conditionalFormatting>
  <conditionalFormatting sqref="C39">
    <cfRule type="expression" dxfId="3" priority="6" stopIfTrue="1">
      <formula>NOT((C34+C36-C37)=C39)</formula>
    </cfRule>
  </conditionalFormatting>
  <conditionalFormatting sqref="C12">
    <cfRule type="expression" dxfId="2" priority="7" stopIfTrue="1">
      <formula>NOT(($C$10-$C$11)=$C$12)</formula>
    </cfRule>
  </conditionalFormatting>
  <conditionalFormatting sqref="L17 C17 L39">
    <cfRule type="expression" dxfId="1" priority="8" stopIfTrue="1">
      <formula>NOT((C12+C14-C15+C16)=C17)</formula>
    </cfRule>
  </conditionalFormatting>
  <pageMargins left="0.75" right="0.75" top="1" bottom="1" header="0.5" footer="0.5"/>
  <pageSetup scale="59" fitToWidth="2" orientation="landscape" r:id="rId1"/>
  <headerFooter alignWithMargins="0">
    <oddFooter>&amp;LMDH
www.health.state.mn.us/data/economics/hccis/index.html
Phone: 651-201-3572 
Fax: 651-201-5179&amp;CPage &amp;P
2021 Hospital Annual Report
Health Care Cost  Information System (HCCIS)&amp;RMHA
Jsanislo@mnhospitals.org
Phone: 651-659-1440 
Fax: 651-659-1477</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458</vt:i4>
      </vt:variant>
    </vt:vector>
  </HeadingPairs>
  <TitlesOfParts>
    <vt:vector size="472" baseType="lpstr">
      <vt:lpstr>Tip Sheet</vt:lpstr>
      <vt:lpstr>2021 HAR</vt:lpstr>
      <vt:lpstr>Service Line Data</vt:lpstr>
      <vt:lpstr>Capital Expend Project Specific</vt:lpstr>
      <vt:lpstr>Offsite Locations</vt:lpstr>
      <vt:lpstr>Audit Checks</vt:lpstr>
      <vt:lpstr>Verify_Data_MA_Surcharge</vt:lpstr>
      <vt:lpstr>Prior Cap Exp Report</vt:lpstr>
      <vt:lpstr>Reclassifications</vt:lpstr>
      <vt:lpstr>Definitions</vt:lpstr>
      <vt:lpstr>HCCIS_ID</vt:lpstr>
      <vt:lpstr>Audit_Tab_Data</vt:lpstr>
      <vt:lpstr>CapExpData</vt:lpstr>
      <vt:lpstr>CAP Data</vt:lpstr>
      <vt:lpstr>Cap_Expend_Name</vt:lpstr>
      <vt:lpstr>Code_0200</vt:lpstr>
      <vt:lpstr>Code_0201</vt:lpstr>
      <vt:lpstr>Code_0202</vt:lpstr>
      <vt:lpstr>Code_0203</vt:lpstr>
      <vt:lpstr>Code_0204</vt:lpstr>
      <vt:lpstr>Code_0207</vt:lpstr>
      <vt:lpstr>Code_0208</vt:lpstr>
      <vt:lpstr>Code_0210</vt:lpstr>
      <vt:lpstr>Code_0215</vt:lpstr>
      <vt:lpstr>Code_0216</vt:lpstr>
      <vt:lpstr>Code_0219</vt:lpstr>
      <vt:lpstr>Code_0220</vt:lpstr>
      <vt:lpstr>Code_0240</vt:lpstr>
      <vt:lpstr>Code_0250</vt:lpstr>
      <vt:lpstr>Code_0260</vt:lpstr>
      <vt:lpstr>Code_0300</vt:lpstr>
      <vt:lpstr>Code_0320</vt:lpstr>
      <vt:lpstr>Code_0330</vt:lpstr>
      <vt:lpstr>Code_0333</vt:lpstr>
      <vt:lpstr>Code_0340</vt:lpstr>
      <vt:lpstr>Code_0600</vt:lpstr>
      <vt:lpstr>Code_0601</vt:lpstr>
      <vt:lpstr>Code_0602</vt:lpstr>
      <vt:lpstr>Code_0604</vt:lpstr>
      <vt:lpstr>Code_0608</vt:lpstr>
      <vt:lpstr>Code_0615</vt:lpstr>
      <vt:lpstr>Code_0616</vt:lpstr>
      <vt:lpstr>Code_0618</vt:lpstr>
      <vt:lpstr>Code_0619</vt:lpstr>
      <vt:lpstr>Code_0622</vt:lpstr>
      <vt:lpstr>Code_0623</vt:lpstr>
      <vt:lpstr>Code_0625</vt:lpstr>
      <vt:lpstr>Code_0630</vt:lpstr>
      <vt:lpstr>Code_0632</vt:lpstr>
      <vt:lpstr>Code_0634</vt:lpstr>
      <vt:lpstr>Code_0635</vt:lpstr>
      <vt:lpstr>Code_0636</vt:lpstr>
      <vt:lpstr>Code_0637</vt:lpstr>
      <vt:lpstr>Code_0639</vt:lpstr>
      <vt:lpstr>Code_0641</vt:lpstr>
      <vt:lpstr>Code_0647</vt:lpstr>
      <vt:lpstr>Code_0648</vt:lpstr>
      <vt:lpstr>Code_0650</vt:lpstr>
      <vt:lpstr>Code_0655</vt:lpstr>
      <vt:lpstr>Code_0700</vt:lpstr>
      <vt:lpstr>Code_0711</vt:lpstr>
      <vt:lpstr>Code_0715</vt:lpstr>
      <vt:lpstr>Code_0717</vt:lpstr>
      <vt:lpstr>Code_0730</vt:lpstr>
      <vt:lpstr>Code_0738</vt:lpstr>
      <vt:lpstr>Code_0739</vt:lpstr>
      <vt:lpstr>Code_0740</vt:lpstr>
      <vt:lpstr>Code_0741</vt:lpstr>
      <vt:lpstr>Code_0742</vt:lpstr>
      <vt:lpstr>Code_0743</vt:lpstr>
      <vt:lpstr>Code_0744</vt:lpstr>
      <vt:lpstr>Code_0750</vt:lpstr>
      <vt:lpstr>Code_0751</vt:lpstr>
      <vt:lpstr>Code_0752</vt:lpstr>
      <vt:lpstr>Code_0754</vt:lpstr>
      <vt:lpstr>Code_0760</vt:lpstr>
      <vt:lpstr>Code_0762</vt:lpstr>
      <vt:lpstr>Code_0770</vt:lpstr>
      <vt:lpstr>Code_0772</vt:lpstr>
      <vt:lpstr>Code_0773</vt:lpstr>
      <vt:lpstr>Code_0775</vt:lpstr>
      <vt:lpstr>Code_0776</vt:lpstr>
      <vt:lpstr>Code_0777</vt:lpstr>
      <vt:lpstr>Code_0778</vt:lpstr>
      <vt:lpstr>Code_0780</vt:lpstr>
      <vt:lpstr>Code_0790</vt:lpstr>
      <vt:lpstr>Code_0800</vt:lpstr>
      <vt:lpstr>Code_0801</vt:lpstr>
      <vt:lpstr>Code_0806</vt:lpstr>
      <vt:lpstr>Code_0811</vt:lpstr>
      <vt:lpstr>Code_0813</vt:lpstr>
      <vt:lpstr>Code_0815</vt:lpstr>
      <vt:lpstr>Code_0819</vt:lpstr>
      <vt:lpstr>Code_0820</vt:lpstr>
      <vt:lpstr>Code_0821</vt:lpstr>
      <vt:lpstr>Code_0823</vt:lpstr>
      <vt:lpstr>Code_0825</vt:lpstr>
      <vt:lpstr>Code_0830</vt:lpstr>
      <vt:lpstr>Code_0831</vt:lpstr>
      <vt:lpstr>Code_0834</vt:lpstr>
      <vt:lpstr>Code_0837</vt:lpstr>
      <vt:lpstr>Code_0840</vt:lpstr>
      <vt:lpstr>Code_0841</vt:lpstr>
      <vt:lpstr>Code_0842</vt:lpstr>
      <vt:lpstr>Code_0843</vt:lpstr>
      <vt:lpstr>Code_0847</vt:lpstr>
      <vt:lpstr>Code_0850</vt:lpstr>
      <vt:lpstr>Code_0851</vt:lpstr>
      <vt:lpstr>Code_0852</vt:lpstr>
      <vt:lpstr>Code_0853</vt:lpstr>
      <vt:lpstr>Code_0854</vt:lpstr>
      <vt:lpstr>Code_0860</vt:lpstr>
      <vt:lpstr>Code_0871</vt:lpstr>
      <vt:lpstr>Code_0872</vt:lpstr>
      <vt:lpstr>Code_0873</vt:lpstr>
      <vt:lpstr>Code_0876</vt:lpstr>
      <vt:lpstr>Code_0880</vt:lpstr>
      <vt:lpstr>Code_2021</vt:lpstr>
      <vt:lpstr>Code_2022</vt:lpstr>
      <vt:lpstr>Code_2023</vt:lpstr>
      <vt:lpstr>Code_2024</vt:lpstr>
      <vt:lpstr>Code_2026</vt:lpstr>
      <vt:lpstr>Code_2027</vt:lpstr>
      <vt:lpstr>Code_2028</vt:lpstr>
      <vt:lpstr>Code_2030</vt:lpstr>
      <vt:lpstr>Code_2031</vt:lpstr>
      <vt:lpstr>Code_2032</vt:lpstr>
      <vt:lpstr>Code_2033</vt:lpstr>
      <vt:lpstr>Code_2034</vt:lpstr>
      <vt:lpstr>Code_2036</vt:lpstr>
      <vt:lpstr>Code_2037</vt:lpstr>
      <vt:lpstr>Code_2038</vt:lpstr>
      <vt:lpstr>Code_2040</vt:lpstr>
      <vt:lpstr>Code_2050</vt:lpstr>
      <vt:lpstr>Code_2060</vt:lpstr>
      <vt:lpstr>Code_2070</vt:lpstr>
      <vt:lpstr>Code_2071</vt:lpstr>
      <vt:lpstr>Code_2072</vt:lpstr>
      <vt:lpstr>Code_2073</vt:lpstr>
      <vt:lpstr>Code_2074</vt:lpstr>
      <vt:lpstr>Code_2076</vt:lpstr>
      <vt:lpstr>Code_2077</vt:lpstr>
      <vt:lpstr>Code_2078</vt:lpstr>
      <vt:lpstr>Code_2080</vt:lpstr>
      <vt:lpstr>Code_2104</vt:lpstr>
      <vt:lpstr>Code_2114</vt:lpstr>
      <vt:lpstr>Code_2121</vt:lpstr>
      <vt:lpstr>Code_2122</vt:lpstr>
      <vt:lpstr>Code_2123</vt:lpstr>
      <vt:lpstr>Code_2125</vt:lpstr>
      <vt:lpstr>Code_2128</vt:lpstr>
      <vt:lpstr>Code_2131</vt:lpstr>
      <vt:lpstr>Code_2132</vt:lpstr>
      <vt:lpstr>Code_2133</vt:lpstr>
      <vt:lpstr>Code_2135</vt:lpstr>
      <vt:lpstr>Code_2138</vt:lpstr>
      <vt:lpstr>Code_2148</vt:lpstr>
      <vt:lpstr>Code_2158</vt:lpstr>
      <vt:lpstr>Code_2168</vt:lpstr>
      <vt:lpstr>Code_2171</vt:lpstr>
      <vt:lpstr>Code_2172</vt:lpstr>
      <vt:lpstr>Code_2173</vt:lpstr>
      <vt:lpstr>Code_2175</vt:lpstr>
      <vt:lpstr>Code_2176</vt:lpstr>
      <vt:lpstr>Code_2178</vt:lpstr>
      <vt:lpstr>Code_2188</vt:lpstr>
      <vt:lpstr>Code_2194</vt:lpstr>
      <vt:lpstr>Code_2198</vt:lpstr>
      <vt:lpstr>Code_4020</vt:lpstr>
      <vt:lpstr>Code_4022</vt:lpstr>
      <vt:lpstr>Code_4025</vt:lpstr>
      <vt:lpstr>Code_4026</vt:lpstr>
      <vt:lpstr>Code_4030</vt:lpstr>
      <vt:lpstr>Code_4033</vt:lpstr>
      <vt:lpstr>Code_4034</vt:lpstr>
      <vt:lpstr>Code_4035</vt:lpstr>
      <vt:lpstr>Code_4037</vt:lpstr>
      <vt:lpstr>Code_4041</vt:lpstr>
      <vt:lpstr>Code_4320</vt:lpstr>
      <vt:lpstr>Code_4322</vt:lpstr>
      <vt:lpstr>Code_4323</vt:lpstr>
      <vt:lpstr>Code_4324</vt:lpstr>
      <vt:lpstr>Code_4326</vt:lpstr>
      <vt:lpstr>Code_4327</vt:lpstr>
      <vt:lpstr>Code_4329</vt:lpstr>
      <vt:lpstr>Code_4331</vt:lpstr>
      <vt:lpstr>Code_4333</vt:lpstr>
      <vt:lpstr>Code_4335</vt:lpstr>
      <vt:lpstr>Code_4336</vt:lpstr>
      <vt:lpstr>Code_4337</vt:lpstr>
      <vt:lpstr>Code_4339</vt:lpstr>
      <vt:lpstr>Code_4340</vt:lpstr>
      <vt:lpstr>Code_4341</vt:lpstr>
      <vt:lpstr>Code_4342</vt:lpstr>
      <vt:lpstr>Code_4344</vt:lpstr>
      <vt:lpstr>Code_4352</vt:lpstr>
      <vt:lpstr>Code_4353</vt:lpstr>
      <vt:lpstr>Code_4355</vt:lpstr>
      <vt:lpstr>Code_4356</vt:lpstr>
      <vt:lpstr>Code_4357</vt:lpstr>
      <vt:lpstr>Code_4363</vt:lpstr>
      <vt:lpstr>Code_4364</vt:lpstr>
      <vt:lpstr>Code_4365</vt:lpstr>
      <vt:lpstr>Code_4366</vt:lpstr>
      <vt:lpstr>Code_4367</vt:lpstr>
      <vt:lpstr>Code_4369</vt:lpstr>
      <vt:lpstr>Code_4370</vt:lpstr>
      <vt:lpstr>Code_4373</vt:lpstr>
      <vt:lpstr>Code_4376</vt:lpstr>
      <vt:lpstr>Code_4379</vt:lpstr>
      <vt:lpstr>Code_4380</vt:lpstr>
      <vt:lpstr>Code_4383</vt:lpstr>
      <vt:lpstr>Code_4386</vt:lpstr>
      <vt:lpstr>Code_4389</vt:lpstr>
      <vt:lpstr>Code_4501</vt:lpstr>
      <vt:lpstr>Code_4502</vt:lpstr>
      <vt:lpstr>Code_4503</vt:lpstr>
      <vt:lpstr>Code_4504</vt:lpstr>
      <vt:lpstr>Code_4505</vt:lpstr>
      <vt:lpstr>Code_4520</vt:lpstr>
      <vt:lpstr>Code_4530</vt:lpstr>
      <vt:lpstr>Code_4531</vt:lpstr>
      <vt:lpstr>Code_5501</vt:lpstr>
      <vt:lpstr>Code_5502</vt:lpstr>
      <vt:lpstr>Code_5503</vt:lpstr>
      <vt:lpstr>Code_5504</vt:lpstr>
      <vt:lpstr>Code_5506</vt:lpstr>
      <vt:lpstr>Code_5507</vt:lpstr>
      <vt:lpstr>Code_5512</vt:lpstr>
      <vt:lpstr>Code_7050</vt:lpstr>
      <vt:lpstr>Code_7051</vt:lpstr>
      <vt:lpstr>Code_7052</vt:lpstr>
      <vt:lpstr>Code_7053</vt:lpstr>
      <vt:lpstr>Code_7054</vt:lpstr>
      <vt:lpstr>Code_7055</vt:lpstr>
      <vt:lpstr>Code_7056</vt:lpstr>
      <vt:lpstr>Code_7057</vt:lpstr>
      <vt:lpstr>Code_7061</vt:lpstr>
      <vt:lpstr>Code_7062</vt:lpstr>
      <vt:lpstr>Code_7063</vt:lpstr>
      <vt:lpstr>Code_7064</vt:lpstr>
      <vt:lpstr>Code_7065</vt:lpstr>
      <vt:lpstr>Code_7066</vt:lpstr>
      <vt:lpstr>Code_7068</vt:lpstr>
      <vt:lpstr>Code_7069</vt:lpstr>
      <vt:lpstr>Code_7070</vt:lpstr>
      <vt:lpstr>Code_7071</vt:lpstr>
      <vt:lpstr>Code_7072</vt:lpstr>
      <vt:lpstr>Code_7073</vt:lpstr>
      <vt:lpstr>Code_7075</vt:lpstr>
      <vt:lpstr>Code_7076</vt:lpstr>
      <vt:lpstr>Code_7077</vt:lpstr>
      <vt:lpstr>Code_7078</vt:lpstr>
      <vt:lpstr>Code_7079</vt:lpstr>
      <vt:lpstr>Code_7080</vt:lpstr>
      <vt:lpstr>Code_7082</vt:lpstr>
      <vt:lpstr>Code_7085</vt:lpstr>
      <vt:lpstr>Code_7086</vt:lpstr>
      <vt:lpstr>Code_7087</vt:lpstr>
      <vt:lpstr>Code_7088</vt:lpstr>
      <vt:lpstr>Code_7089</vt:lpstr>
      <vt:lpstr>Code_7090</vt:lpstr>
      <vt:lpstr>Code_7091</vt:lpstr>
      <vt:lpstr>Code_7092</vt:lpstr>
      <vt:lpstr>Code_7094</vt:lpstr>
      <vt:lpstr>Code_7095</vt:lpstr>
      <vt:lpstr>Code_7096</vt:lpstr>
      <vt:lpstr>Code_7097</vt:lpstr>
      <vt:lpstr>Code_7098</vt:lpstr>
      <vt:lpstr>Code_7099</vt:lpstr>
      <vt:lpstr>Code_7100</vt:lpstr>
      <vt:lpstr>Code_7101</vt:lpstr>
      <vt:lpstr>Code_7102</vt:lpstr>
      <vt:lpstr>Code_7103</vt:lpstr>
      <vt:lpstr>Code_7104</vt:lpstr>
      <vt:lpstr>Code_7105</vt:lpstr>
      <vt:lpstr>Code_7106</vt:lpstr>
      <vt:lpstr>Code_7107</vt:lpstr>
      <vt:lpstr>Code_7108</vt:lpstr>
      <vt:lpstr>Code_7109</vt:lpstr>
      <vt:lpstr>Code_7110</vt:lpstr>
      <vt:lpstr>Code_7111</vt:lpstr>
      <vt:lpstr>Code_7113</vt:lpstr>
      <vt:lpstr>Code_7117</vt:lpstr>
      <vt:lpstr>Code_7118</vt:lpstr>
      <vt:lpstr>Code_7119</vt:lpstr>
      <vt:lpstr>Code_7120</vt:lpstr>
      <vt:lpstr>Code_7121</vt:lpstr>
      <vt:lpstr>Code_7122</vt:lpstr>
      <vt:lpstr>Code_7123</vt:lpstr>
      <vt:lpstr>Code_7124</vt:lpstr>
      <vt:lpstr>Code_7125</vt:lpstr>
      <vt:lpstr>Code_7126</vt:lpstr>
      <vt:lpstr>Code_7127</vt:lpstr>
      <vt:lpstr>Code_7128</vt:lpstr>
      <vt:lpstr>Code_7130</vt:lpstr>
      <vt:lpstr>Code_7131</vt:lpstr>
      <vt:lpstr>Code_7133</vt:lpstr>
      <vt:lpstr>Code_7134</vt:lpstr>
      <vt:lpstr>Code_7135</vt:lpstr>
      <vt:lpstr>Code_7136</vt:lpstr>
      <vt:lpstr>Code_7138</vt:lpstr>
      <vt:lpstr>Code_7139</vt:lpstr>
      <vt:lpstr>Code_7141</vt:lpstr>
      <vt:lpstr>Code_7142</vt:lpstr>
      <vt:lpstr>Code_7144</vt:lpstr>
      <vt:lpstr>Code_7145</vt:lpstr>
      <vt:lpstr>Code_7147</vt:lpstr>
      <vt:lpstr>Code_7148</vt:lpstr>
      <vt:lpstr>Code_7155</vt:lpstr>
      <vt:lpstr>Code_7156</vt:lpstr>
      <vt:lpstr>Code_7157</vt:lpstr>
      <vt:lpstr>Code_7158</vt:lpstr>
      <vt:lpstr>Code_7159</vt:lpstr>
      <vt:lpstr>Code_7161</vt:lpstr>
      <vt:lpstr>Code_7162</vt:lpstr>
      <vt:lpstr>Code_7163</vt:lpstr>
      <vt:lpstr>Code_7164</vt:lpstr>
      <vt:lpstr>Code_7166</vt:lpstr>
      <vt:lpstr>Code_7167</vt:lpstr>
      <vt:lpstr>Code_7168</vt:lpstr>
      <vt:lpstr>Code_7176</vt:lpstr>
      <vt:lpstr>Code_7177</vt:lpstr>
      <vt:lpstr>Code_7178</vt:lpstr>
      <vt:lpstr>Code_7179</vt:lpstr>
      <vt:lpstr>Code_7180</vt:lpstr>
      <vt:lpstr>Code_7181</vt:lpstr>
      <vt:lpstr>Code_7183</vt:lpstr>
      <vt:lpstr>Code_7184</vt:lpstr>
      <vt:lpstr>Code_7185</vt:lpstr>
      <vt:lpstr>Code_7186</vt:lpstr>
      <vt:lpstr>Code_7188</vt:lpstr>
      <vt:lpstr>Code_7189</vt:lpstr>
      <vt:lpstr>Code_7225</vt:lpstr>
      <vt:lpstr>Code_7234</vt:lpstr>
      <vt:lpstr>Code_7235</vt:lpstr>
      <vt:lpstr>Code_7242</vt:lpstr>
      <vt:lpstr>Code_7243</vt:lpstr>
      <vt:lpstr>Code_7244</vt:lpstr>
      <vt:lpstr>Code_7245</vt:lpstr>
      <vt:lpstr>Code_7248</vt:lpstr>
      <vt:lpstr>Code_7250</vt:lpstr>
      <vt:lpstr>Code_7251</vt:lpstr>
      <vt:lpstr>Code_7253</vt:lpstr>
      <vt:lpstr>Code_7256</vt:lpstr>
      <vt:lpstr>Code_7259</vt:lpstr>
      <vt:lpstr>Code_7260</vt:lpstr>
      <vt:lpstr>Code_7261</vt:lpstr>
      <vt:lpstr>Code_7263</vt:lpstr>
      <vt:lpstr>Code_7264</vt:lpstr>
      <vt:lpstr>Code_7266</vt:lpstr>
      <vt:lpstr>Code_7267</vt:lpstr>
      <vt:lpstr>Code_7269</vt:lpstr>
      <vt:lpstr>Code_7310</vt:lpstr>
      <vt:lpstr>Code_7410</vt:lpstr>
      <vt:lpstr>Code_7426</vt:lpstr>
      <vt:lpstr>Code_7441</vt:lpstr>
      <vt:lpstr>Code_7497</vt:lpstr>
      <vt:lpstr>Code_7498</vt:lpstr>
      <vt:lpstr>Code_7499</vt:lpstr>
      <vt:lpstr>Code_7567</vt:lpstr>
      <vt:lpstr>Code_7568</vt:lpstr>
      <vt:lpstr>Code_7569</vt:lpstr>
      <vt:lpstr>Code_7570</vt:lpstr>
      <vt:lpstr>Code_7571</vt:lpstr>
      <vt:lpstr>Code_7572</vt:lpstr>
      <vt:lpstr>Code_7573</vt:lpstr>
      <vt:lpstr>Code_7574</vt:lpstr>
      <vt:lpstr>Code_7575</vt:lpstr>
      <vt:lpstr>Code_7576</vt:lpstr>
      <vt:lpstr>Code_7577</vt:lpstr>
      <vt:lpstr>Code_7578</vt:lpstr>
      <vt:lpstr>Code_7579</vt:lpstr>
      <vt:lpstr>Code_7580</vt:lpstr>
      <vt:lpstr>Code_7581</vt:lpstr>
      <vt:lpstr>Code_7582</vt:lpstr>
      <vt:lpstr>Code_7583</vt:lpstr>
      <vt:lpstr>Code_7584</vt:lpstr>
      <vt:lpstr>Code_7585</vt:lpstr>
      <vt:lpstr>Code_7586</vt:lpstr>
      <vt:lpstr>Code_7587</vt:lpstr>
      <vt:lpstr>Code_7588</vt:lpstr>
      <vt:lpstr>Code_7589</vt:lpstr>
      <vt:lpstr>Code_7590</vt:lpstr>
      <vt:lpstr>Code_7591</vt:lpstr>
      <vt:lpstr>Code_7592</vt:lpstr>
      <vt:lpstr>Code_7593</vt:lpstr>
      <vt:lpstr>Code_7594</vt:lpstr>
      <vt:lpstr>Code_7595</vt:lpstr>
      <vt:lpstr>Code_7596</vt:lpstr>
      <vt:lpstr>Code_7689</vt:lpstr>
      <vt:lpstr>Code_7690</vt:lpstr>
      <vt:lpstr>Code_7691</vt:lpstr>
      <vt:lpstr>Code_8062</vt:lpstr>
      <vt:lpstr>Code_8063</vt:lpstr>
      <vt:lpstr>Code_8100</vt:lpstr>
      <vt:lpstr>Code_8101</vt:lpstr>
      <vt:lpstr>Code_8102</vt:lpstr>
      <vt:lpstr>Code_9999</vt:lpstr>
      <vt:lpstr>def_0630</vt:lpstr>
      <vt:lpstr>def_0637</vt:lpstr>
      <vt:lpstr>def_0650</vt:lpstr>
      <vt:lpstr>Definitions!def_0655</vt:lpstr>
      <vt:lpstr>def_0655</vt:lpstr>
      <vt:lpstr>def_0751</vt:lpstr>
      <vt:lpstr>def_0762</vt:lpstr>
      <vt:lpstr>def_0847</vt:lpstr>
      <vt:lpstr>def_4026</vt:lpstr>
      <vt:lpstr>def_4344</vt:lpstr>
      <vt:lpstr>def_7082</vt:lpstr>
      <vt:lpstr>def_7310</vt:lpstr>
      <vt:lpstr>def_7410</vt:lpstr>
      <vt:lpstr>def_7567</vt:lpstr>
      <vt:lpstr>def_7570</vt:lpstr>
      <vt:lpstr>def_7573_7574</vt:lpstr>
      <vt:lpstr>def_7575</vt:lpstr>
      <vt:lpstr>def_7576</vt:lpstr>
      <vt:lpstr>def_7577</vt:lpstr>
      <vt:lpstr>def_7578</vt:lpstr>
      <vt:lpstr>def_7579</vt:lpstr>
      <vt:lpstr>Definitions!def_7580</vt:lpstr>
      <vt:lpstr>def_7580</vt:lpstr>
      <vt:lpstr>def_7581</vt:lpstr>
      <vt:lpstr>Definitions!def_7582</vt:lpstr>
      <vt:lpstr>def_7582</vt:lpstr>
      <vt:lpstr>def_7583</vt:lpstr>
      <vt:lpstr>def_7584</vt:lpstr>
      <vt:lpstr>def_7594</vt:lpstr>
      <vt:lpstr>def_8100</vt:lpstr>
      <vt:lpstr>Def_Date_Spend_Commit</vt:lpstr>
      <vt:lpstr>def_exceptions</vt:lpstr>
      <vt:lpstr>def_medical_equip</vt:lpstr>
      <vt:lpstr>def_NPI</vt:lpstr>
      <vt:lpstr>DRGs</vt:lpstr>
      <vt:lpstr>Explanation_of_Adjustments</vt:lpstr>
      <vt:lpstr>HCCIS_ID</vt:lpstr>
      <vt:lpstr>HCCIS_ID_list</vt:lpstr>
      <vt:lpstr>Audit_Tab_Data!Hospital_Data</vt:lpstr>
      <vt:lpstr>Hospital_Data</vt:lpstr>
      <vt:lpstr>HCCIS_ID!ID_list</vt:lpstr>
      <vt:lpstr>ID_list</vt:lpstr>
      <vt:lpstr>NPI</vt:lpstr>
      <vt:lpstr>'2021 HAR'!Print_Area</vt:lpstr>
      <vt:lpstr>'Audit Checks'!Print_Area</vt:lpstr>
      <vt:lpstr>CapExpData!Print_Area</vt:lpstr>
      <vt:lpstr>'Capital Expend Project Specific'!Print_Area</vt:lpstr>
      <vt:lpstr>'Offsite Locations'!Print_Area</vt:lpstr>
      <vt:lpstr>'Prior Cap Exp Report'!Print_Area</vt:lpstr>
      <vt:lpstr>'Service Line Data'!Print_Area</vt:lpstr>
      <vt:lpstr>'Tip Sheet'!Print_Area</vt:lpstr>
      <vt:lpstr>Verify_Data_MA_Surcharge!Print_Area</vt:lpstr>
      <vt:lpstr>Reclassifications!Print_Titles</vt:lpstr>
      <vt:lpstr>ValidCapacity</vt:lpstr>
      <vt:lpstr>ValidEvidence</vt:lpstr>
      <vt:lpstr>ValidImpact</vt:lpstr>
      <vt:lpstr>ValidPriorCap</vt:lpstr>
      <vt:lpstr>ValidProjType</vt:lpstr>
      <vt:lpstr>ValidRemote</vt:lpstr>
      <vt:lpstr>ValidSubtype1</vt:lpstr>
      <vt:lpstr>ValidSubtype2</vt:lpstr>
      <vt:lpstr>ValidSubtype3</vt:lpstr>
      <vt:lpstr>ValidYN</vt:lpstr>
      <vt:lpstr>VCapacity</vt:lpstr>
      <vt:lpstr>VEvidence</vt:lpstr>
      <vt:lpstr>VImpact</vt:lpstr>
      <vt:lpstr>VPriorCap</vt:lpstr>
      <vt:lpstr>VProjType</vt:lpstr>
      <vt:lpstr>VRemote</vt:lpstr>
      <vt:lpstr>VSubtype1</vt:lpstr>
      <vt:lpstr>VSubtype2</vt:lpstr>
      <vt:lpstr>VSubtype3</vt:lpstr>
      <vt:lpstr>VYN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jpeters</dc:creator>
  <cp:lastModifiedBy>Mason Todd</cp:lastModifiedBy>
  <cp:lastPrinted>2018-08-14T16:34:58Z</cp:lastPrinted>
  <dcterms:created xsi:type="dcterms:W3CDTF">2008-07-28T18:04:10Z</dcterms:created>
  <dcterms:modified xsi:type="dcterms:W3CDTF">2021-12-28T18:11:27Z</dcterms:modified>
</cp:coreProperties>
</file>